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H:\Dokumentumok\2020\2020ktgvetés\Sármellék\"/>
    </mc:Choice>
  </mc:AlternateContent>
  <xr:revisionPtr revIDLastSave="0" documentId="13_ncr:1_{BF25C48C-41EF-4BCB-92F1-B9CECE28F9C5}" xr6:coauthVersionLast="41" xr6:coauthVersionMax="41" xr10:uidLastSave="{00000000-0000-0000-0000-000000000000}"/>
  <bookViews>
    <workbookView xWindow="-120" yWindow="-120" windowWidth="20730" windowHeight="11160" firstSheet="12" activeTab="26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1a" sheetId="13" r:id="rId12"/>
    <sheet name="11b" sheetId="14" r:id="rId13"/>
    <sheet name="11c" sheetId="15" r:id="rId14"/>
    <sheet name="11d" sheetId="28" r:id="rId15"/>
    <sheet name="12" sheetId="17" r:id="rId16"/>
    <sheet name="13" sheetId="18" r:id="rId17"/>
    <sheet name="13a" sheetId="19" r:id="rId18"/>
    <sheet name="13b" sheetId="29" r:id="rId19"/>
    <sheet name="14" sheetId="20" r:id="rId20"/>
    <sheet name="15" sheetId="21" r:id="rId21"/>
    <sheet name="16" sheetId="22" r:id="rId22"/>
    <sheet name="16a" sheetId="23" r:id="rId23"/>
    <sheet name="16b" sheetId="24" r:id="rId24"/>
    <sheet name="16c" sheetId="27" r:id="rId25"/>
    <sheet name="16d" sheetId="26" r:id="rId26"/>
    <sheet name="17" sheetId="25" r:id="rId27"/>
  </sheets>
  <externalReferences>
    <externalReference r:id="rId28"/>
    <externalReference r:id="rId29"/>
    <externalReference r:id="rId30"/>
    <externalReference r:id="rId31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9" l="1"/>
  <c r="E19" i="29" s="1"/>
  <c r="K10" i="29"/>
  <c r="K13" i="29" s="1"/>
  <c r="K19" i="29" s="1"/>
  <c r="E10" i="29"/>
  <c r="C10" i="4" l="1"/>
  <c r="D10" i="4"/>
  <c r="E10" i="4"/>
  <c r="B10" i="4"/>
  <c r="C41" i="4"/>
  <c r="D41" i="4"/>
  <c r="E41" i="4"/>
  <c r="F41" i="4"/>
  <c r="B41" i="4"/>
  <c r="E40" i="4"/>
  <c r="B40" i="4"/>
  <c r="D18" i="4"/>
  <c r="E18" i="4"/>
  <c r="B18" i="4"/>
  <c r="D15" i="4"/>
  <c r="E15" i="4"/>
  <c r="B15" i="4"/>
  <c r="I15" i="9" l="1"/>
  <c r="I16" i="9"/>
  <c r="F15" i="9"/>
  <c r="E64" i="2"/>
  <c r="E58" i="2"/>
  <c r="E54" i="2"/>
  <c r="E51" i="2"/>
  <c r="E48" i="2"/>
  <c r="E42" i="2"/>
  <c r="E34" i="2"/>
  <c r="F28" i="25"/>
  <c r="E28" i="25"/>
  <c r="E21" i="25"/>
  <c r="E50" i="25"/>
  <c r="E48" i="25" s="1"/>
  <c r="F55" i="25"/>
  <c r="E55" i="25"/>
  <c r="E49" i="25"/>
  <c r="F23" i="25"/>
  <c r="E23" i="25"/>
  <c r="V14" i="5"/>
  <c r="J67" i="27"/>
  <c r="D67" i="27"/>
  <c r="B67" i="27"/>
  <c r="B68" i="27" s="1"/>
  <c r="B49" i="27"/>
  <c r="B46" i="27"/>
  <c r="B41" i="27"/>
  <c r="B39" i="27" s="1"/>
  <c r="J39" i="27"/>
  <c r="J36" i="27"/>
  <c r="B36" i="27"/>
  <c r="D35" i="27"/>
  <c r="C34" i="27"/>
  <c r="D34" i="27" s="1"/>
  <c r="D36" i="27" s="1"/>
  <c r="D33" i="27"/>
  <c r="D32" i="27"/>
  <c r="J30" i="27"/>
  <c r="D30" i="27"/>
  <c r="C28" i="27"/>
  <c r="B21" i="27"/>
  <c r="L20" i="27"/>
  <c r="C19" i="27"/>
  <c r="D19" i="27" s="1"/>
  <c r="C18" i="27"/>
  <c r="D18" i="27" s="1"/>
  <c r="C17" i="27"/>
  <c r="D17" i="27" s="1"/>
  <c r="J14" i="27"/>
  <c r="B14" i="27"/>
  <c r="D11" i="27"/>
  <c r="D10" i="27"/>
  <c r="C9" i="27"/>
  <c r="C14" i="27" s="1"/>
  <c r="D8" i="27"/>
  <c r="D7" i="27"/>
  <c r="D6" i="27"/>
  <c r="E33" i="26"/>
  <c r="E30" i="26"/>
  <c r="C30" i="26"/>
  <c r="B30" i="26"/>
  <c r="B33" i="26" s="1"/>
  <c r="B24" i="26"/>
  <c r="E21" i="26"/>
  <c r="B18" i="26"/>
  <c r="B21" i="26" s="1"/>
  <c r="B16" i="26"/>
  <c r="E15" i="26"/>
  <c r="B13" i="26"/>
  <c r="B14" i="26" s="1"/>
  <c r="B11" i="26"/>
  <c r="AG18" i="24"/>
  <c r="AD18" i="24"/>
  <c r="AC18" i="24"/>
  <c r="Z18" i="24"/>
  <c r="AD17" i="24"/>
  <c r="AB17" i="24"/>
  <c r="AA17" i="24"/>
  <c r="Y17" i="24"/>
  <c r="AG16" i="24"/>
  <c r="AD16" i="24"/>
  <c r="AC16" i="24"/>
  <c r="AB16" i="24"/>
  <c r="AB18" i="24" s="1"/>
  <c r="AA16" i="24"/>
  <c r="AA18" i="24" s="1"/>
  <c r="Z16" i="24"/>
  <c r="AE14" i="24"/>
  <c r="Y14" i="24"/>
  <c r="AH13" i="24"/>
  <c r="AH15" i="24" s="1"/>
  <c r="AH16" i="24" s="1"/>
  <c r="AH18" i="24" s="1"/>
  <c r="AH19" i="24" s="1"/>
  <c r="AG13" i="24"/>
  <c r="AF13" i="24"/>
  <c r="AF15" i="24" s="1"/>
  <c r="AF16" i="24" s="1"/>
  <c r="AF18" i="24" s="1"/>
  <c r="AF19" i="24" s="1"/>
  <c r="AE13" i="24"/>
  <c r="Y13" i="24"/>
  <c r="Y12" i="24"/>
  <c r="AE11" i="24"/>
  <c r="AD11" i="24"/>
  <c r="AC11" i="24"/>
  <c r="Y11" i="24" s="1"/>
  <c r="AB11" i="24"/>
  <c r="AA11" i="24"/>
  <c r="AG10" i="24"/>
  <c r="Y10" i="24" s="1"/>
  <c r="AA10" i="24"/>
  <c r="Z10" i="24"/>
  <c r="AD9" i="24"/>
  <c r="AB9" i="24"/>
  <c r="AA9" i="24"/>
  <c r="Z15" i="24"/>
  <c r="Y9" i="24"/>
  <c r="AG8" i="24"/>
  <c r="AD8" i="24"/>
  <c r="AB8" i="24"/>
  <c r="AA8" i="24"/>
  <c r="Y8" i="24" s="1"/>
  <c r="AE7" i="24"/>
  <c r="AE15" i="24" s="1"/>
  <c r="AE16" i="24" s="1"/>
  <c r="AE18" i="24" s="1"/>
  <c r="AE19" i="24" s="1"/>
  <c r="AD7" i="24"/>
  <c r="AD15" i="24" s="1"/>
  <c r="AC7" i="24"/>
  <c r="Y7" i="24" s="1"/>
  <c r="AB7" i="24"/>
  <c r="AB15" i="24" s="1"/>
  <c r="AA7" i="24"/>
  <c r="AA15" i="24" s="1"/>
  <c r="AX37" i="23"/>
  <c r="AT37" i="23"/>
  <c r="AP37" i="23"/>
  <c r="AH37" i="23"/>
  <c r="AD37" i="23"/>
  <c r="Z37" i="23"/>
  <c r="Z38" i="23" s="1"/>
  <c r="X36" i="23"/>
  <c r="X35" i="23"/>
  <c r="X32" i="23" s="1"/>
  <c r="X34" i="23"/>
  <c r="X33" i="23"/>
  <c r="AZ32" i="23"/>
  <c r="AZ37" i="23" s="1"/>
  <c r="AZ38" i="23" s="1"/>
  <c r="AY32" i="23"/>
  <c r="AY37" i="23" s="1"/>
  <c r="AX32" i="23"/>
  <c r="AW32" i="23"/>
  <c r="AV32" i="23"/>
  <c r="AV37" i="23" s="1"/>
  <c r="AU32" i="23"/>
  <c r="AU37" i="23" s="1"/>
  <c r="AT32" i="23"/>
  <c r="AS32" i="23"/>
  <c r="AR32" i="23"/>
  <c r="AR37" i="23" s="1"/>
  <c r="AQ32" i="23"/>
  <c r="AP32" i="23"/>
  <c r="AO32" i="23"/>
  <c r="AN32" i="23"/>
  <c r="AN37" i="23" s="1"/>
  <c r="AM32" i="23"/>
  <c r="AM37" i="23" s="1"/>
  <c r="AL32" i="23"/>
  <c r="AK32" i="23"/>
  <c r="AJ32" i="23"/>
  <c r="AJ37" i="23" s="1"/>
  <c r="AI32" i="23"/>
  <c r="AI37" i="23" s="1"/>
  <c r="AH32" i="23"/>
  <c r="AG32" i="23"/>
  <c r="AF32" i="23"/>
  <c r="AF37" i="23" s="1"/>
  <c r="AE32" i="23"/>
  <c r="AE37" i="23" s="1"/>
  <c r="AD32" i="23"/>
  <c r="AC32" i="23"/>
  <c r="AB32" i="23"/>
  <c r="AB37" i="23" s="1"/>
  <c r="AA32" i="23"/>
  <c r="AA37" i="23" s="1"/>
  <c r="Y32" i="23"/>
  <c r="X31" i="23"/>
  <c r="X30" i="23"/>
  <c r="AZ29" i="23"/>
  <c r="AY29" i="23"/>
  <c r="AX29" i="23"/>
  <c r="AW29" i="23"/>
  <c r="AW37" i="23" s="1"/>
  <c r="AV29" i="23"/>
  <c r="AU29" i="23"/>
  <c r="AT29" i="23"/>
  <c r="AS29" i="23"/>
  <c r="AR29" i="23"/>
  <c r="AQ29" i="23"/>
  <c r="AP29" i="23"/>
  <c r="AO29" i="23"/>
  <c r="AO37" i="23" s="1"/>
  <c r="AN29" i="23"/>
  <c r="AM29" i="23"/>
  <c r="AL29" i="23"/>
  <c r="AK29" i="23"/>
  <c r="AK37" i="23" s="1"/>
  <c r="AJ29" i="23"/>
  <c r="AI29" i="23"/>
  <c r="AH29" i="23"/>
  <c r="AG29" i="23"/>
  <c r="AG37" i="23" s="1"/>
  <c r="AF29" i="23"/>
  <c r="AE29" i="23"/>
  <c r="AD29" i="23"/>
  <c r="AC29" i="23"/>
  <c r="AC37" i="23" s="1"/>
  <c r="AB29" i="23"/>
  <c r="AA29" i="23"/>
  <c r="Y29" i="23"/>
  <c r="Y37" i="23" s="1"/>
  <c r="X29" i="23"/>
  <c r="X28" i="23"/>
  <c r="AS27" i="23"/>
  <c r="AS37" i="23" s="1"/>
  <c r="AQ27" i="23"/>
  <c r="AQ37" i="23" s="1"/>
  <c r="AL27" i="23"/>
  <c r="X27" i="23" s="1"/>
  <c r="AZ26" i="23"/>
  <c r="AY26" i="23"/>
  <c r="AX26" i="23"/>
  <c r="AW26" i="23"/>
  <c r="AV26" i="23"/>
  <c r="AU26" i="23"/>
  <c r="AT26" i="23"/>
  <c r="AS26" i="23"/>
  <c r="AR26" i="23"/>
  <c r="AQ26" i="23"/>
  <c r="AP26" i="23"/>
  <c r="AO26" i="23"/>
  <c r="AN26" i="23"/>
  <c r="AM26" i="23"/>
  <c r="AL26" i="23"/>
  <c r="AK26" i="23"/>
  <c r="AJ26" i="23"/>
  <c r="AI26" i="23"/>
  <c r="AH26" i="23"/>
  <c r="AG26" i="23"/>
  <c r="AF26" i="23"/>
  <c r="AE26" i="23"/>
  <c r="AD26" i="23"/>
  <c r="AC26" i="23"/>
  <c r="AB26" i="23"/>
  <c r="AA26" i="23"/>
  <c r="Y26" i="23"/>
  <c r="Y38" i="23" s="1"/>
  <c r="X25" i="23"/>
  <c r="X24" i="23"/>
  <c r="X26" i="23" s="1"/>
  <c r="AZ23" i="23"/>
  <c r="AY23" i="23"/>
  <c r="AX23" i="23"/>
  <c r="AW23" i="23"/>
  <c r="AV23" i="23"/>
  <c r="AU23" i="23"/>
  <c r="AT23" i="23"/>
  <c r="AS23" i="23"/>
  <c r="AR23" i="23"/>
  <c r="AQ23" i="23"/>
  <c r="AP23" i="23"/>
  <c r="AO23" i="23"/>
  <c r="AN23" i="23"/>
  <c r="AM23" i="23"/>
  <c r="AK23" i="23"/>
  <c r="AJ23" i="23"/>
  <c r="AI23" i="23"/>
  <c r="AH23" i="23"/>
  <c r="AG23" i="23"/>
  <c r="AF23" i="23"/>
  <c r="AE23" i="23"/>
  <c r="AD23" i="23"/>
  <c r="AC23" i="23"/>
  <c r="AB23" i="23"/>
  <c r="AA23" i="23"/>
  <c r="Z23" i="23"/>
  <c r="Y23" i="23"/>
  <c r="AL22" i="23"/>
  <c r="X22" i="23"/>
  <c r="X21" i="23"/>
  <c r="X20" i="23"/>
  <c r="X19" i="23"/>
  <c r="X18" i="23"/>
  <c r="X17" i="23"/>
  <c r="X16" i="23"/>
  <c r="X23" i="23" s="1"/>
  <c r="X15" i="23"/>
  <c r="AL14" i="23"/>
  <c r="AL23" i="23" s="1"/>
  <c r="X14" i="23"/>
  <c r="AZ13" i="23"/>
  <c r="AY13" i="23"/>
  <c r="AX13" i="23"/>
  <c r="AW13" i="23"/>
  <c r="AV13" i="23"/>
  <c r="AU13" i="23"/>
  <c r="AT13" i="23"/>
  <c r="AR13" i="23"/>
  <c r="AP13" i="23"/>
  <c r="AO13" i="23"/>
  <c r="AN13" i="23"/>
  <c r="AM13" i="23"/>
  <c r="AL13" i="23"/>
  <c r="AK13" i="23"/>
  <c r="AJ13" i="23"/>
  <c r="AI13" i="23"/>
  <c r="AH13" i="23"/>
  <c r="AG13" i="23"/>
  <c r="AF13" i="23"/>
  <c r="AE13" i="23"/>
  <c r="AD13" i="23"/>
  <c r="AC13" i="23"/>
  <c r="AB13" i="23"/>
  <c r="AA13" i="23"/>
  <c r="Y13" i="23"/>
  <c r="AS12" i="23"/>
  <c r="X12" i="23" s="1"/>
  <c r="AQ11" i="23"/>
  <c r="AQ13" i="23" s="1"/>
  <c r="AJ11" i="23"/>
  <c r="X11" i="23"/>
  <c r="AZ10" i="23"/>
  <c r="AY10" i="23"/>
  <c r="AY38" i="23" s="1"/>
  <c r="AX10" i="23"/>
  <c r="AX38" i="23" s="1"/>
  <c r="AW10" i="23"/>
  <c r="AW38" i="23" s="1"/>
  <c r="AV10" i="23"/>
  <c r="AV38" i="23" s="1"/>
  <c r="AU10" i="23"/>
  <c r="AU38" i="23" s="1"/>
  <c r="AT10" i="23"/>
  <c r="AT38" i="23" s="1"/>
  <c r="AS10" i="23"/>
  <c r="AR10" i="23"/>
  <c r="AR38" i="23" s="1"/>
  <c r="AQ10" i="23"/>
  <c r="AQ38" i="23" s="1"/>
  <c r="AP10" i="23"/>
  <c r="AP38" i="23" s="1"/>
  <c r="AO10" i="23"/>
  <c r="AO38" i="23" s="1"/>
  <c r="AN10" i="23"/>
  <c r="AN38" i="23" s="1"/>
  <c r="AM10" i="23"/>
  <c r="AM38" i="23" s="1"/>
  <c r="AL10" i="23"/>
  <c r="AK10" i="23"/>
  <c r="AK38" i="23" s="1"/>
  <c r="AJ10" i="23"/>
  <c r="AJ38" i="23" s="1"/>
  <c r="AI10" i="23"/>
  <c r="AI38" i="23" s="1"/>
  <c r="AH10" i="23"/>
  <c r="AH38" i="23" s="1"/>
  <c r="AG10" i="23"/>
  <c r="AG38" i="23" s="1"/>
  <c r="AF10" i="23"/>
  <c r="AF38" i="23" s="1"/>
  <c r="AE10" i="23"/>
  <c r="AE38" i="23" s="1"/>
  <c r="AD10" i="23"/>
  <c r="AD38" i="23" s="1"/>
  <c r="AC10" i="23"/>
  <c r="AC38" i="23" s="1"/>
  <c r="AB10" i="23"/>
  <c r="AB38" i="23" s="1"/>
  <c r="AA10" i="23"/>
  <c r="AA38" i="23" s="1"/>
  <c r="Y10" i="23"/>
  <c r="X10" i="23"/>
  <c r="X9" i="23"/>
  <c r="X8" i="23"/>
  <c r="X7" i="23"/>
  <c r="D21" i="27" l="1"/>
  <c r="C21" i="27"/>
  <c r="C36" i="27"/>
  <c r="D9" i="27"/>
  <c r="D14" i="27" s="1"/>
  <c r="AD19" i="24"/>
  <c r="AA19" i="24"/>
  <c r="Y18" i="24"/>
  <c r="AG19" i="24"/>
  <c r="AB19" i="24"/>
  <c r="Z19" i="24"/>
  <c r="AC15" i="24"/>
  <c r="Y15" i="24" s="1"/>
  <c r="AG15" i="24"/>
  <c r="Y16" i="24"/>
  <c r="X38" i="23"/>
  <c r="X13" i="23"/>
  <c r="X37" i="23"/>
  <c r="AL38" i="23"/>
  <c r="X39" i="23" s="1"/>
  <c r="AL37" i="23"/>
  <c r="AS13" i="23"/>
  <c r="AS38" i="23" s="1"/>
  <c r="D22" i="27" l="1"/>
  <c r="AC19" i="24"/>
  <c r="Y19" i="24" s="1"/>
  <c r="D77" i="21" l="1"/>
  <c r="D82" i="21" s="1"/>
  <c r="D70" i="21"/>
  <c r="D75" i="21" s="1"/>
  <c r="D68" i="21"/>
  <c r="D65" i="21"/>
  <c r="D55" i="21"/>
  <c r="D52" i="21"/>
  <c r="D49" i="21"/>
  <c r="D43" i="21"/>
  <c r="D39" i="21"/>
  <c r="D35" i="21"/>
  <c r="D27" i="21"/>
  <c r="D14" i="21"/>
  <c r="D23" i="21" s="1"/>
  <c r="D31" i="21" s="1"/>
  <c r="X39" i="6"/>
  <c r="X33" i="6"/>
  <c r="X35" i="6" s="1"/>
  <c r="X22" i="6"/>
  <c r="D76" i="21" l="1"/>
  <c r="D48" i="21"/>
  <c r="D62" i="21" s="1"/>
  <c r="D84" i="21" s="1"/>
  <c r="D59" i="21"/>
  <c r="D83" i="21"/>
  <c r="X36" i="6"/>
  <c r="D86" i="21" l="1"/>
  <c r="D63" i="21"/>
  <c r="O22" i="20" l="1"/>
  <c r="F70" i="19"/>
  <c r="G67" i="19"/>
  <c r="F67" i="19"/>
  <c r="H66" i="19"/>
  <c r="H67" i="19" s="1"/>
  <c r="F65" i="19"/>
  <c r="G64" i="19"/>
  <c r="H63" i="19"/>
  <c r="H62" i="19"/>
  <c r="H61" i="19"/>
  <c r="H60" i="19"/>
  <c r="H59" i="19"/>
  <c r="F57" i="19"/>
  <c r="H56" i="19"/>
  <c r="G54" i="19"/>
  <c r="F54" i="19"/>
  <c r="H53" i="19"/>
  <c r="H54" i="19" s="1"/>
  <c r="F51" i="19"/>
  <c r="H50" i="19"/>
  <c r="H49" i="19"/>
  <c r="H48" i="19"/>
  <c r="G47" i="19"/>
  <c r="H47" i="19" s="1"/>
  <c r="H46" i="19"/>
  <c r="G45" i="19"/>
  <c r="H44" i="19"/>
  <c r="H43" i="19"/>
  <c r="G42" i="19"/>
  <c r="F42" i="19"/>
  <c r="H41" i="19"/>
  <c r="H40" i="19"/>
  <c r="G39" i="19"/>
  <c r="H39" i="19" s="1"/>
  <c r="G38" i="19"/>
  <c r="F38" i="19"/>
  <c r="H37" i="19"/>
  <c r="H36" i="19"/>
  <c r="F34" i="19"/>
  <c r="G33" i="19"/>
  <c r="H33" i="19" s="1"/>
  <c r="H34" i="19" s="1"/>
  <c r="G31" i="19"/>
  <c r="H31" i="19" s="1"/>
  <c r="G30" i="19"/>
  <c r="H30" i="19" s="1"/>
  <c r="G29" i="19"/>
  <c r="H29" i="19" s="1"/>
  <c r="F28" i="19"/>
  <c r="G27" i="19"/>
  <c r="H27" i="19" s="1"/>
  <c r="H26" i="19"/>
  <c r="G25" i="19"/>
  <c r="H25" i="19" s="1"/>
  <c r="G24" i="19"/>
  <c r="G22" i="19"/>
  <c r="F22" i="19"/>
  <c r="H21" i="19"/>
  <c r="H20" i="19"/>
  <c r="H19" i="19"/>
  <c r="H18" i="19"/>
  <c r="F17" i="19"/>
  <c r="F23" i="19" s="1"/>
  <c r="G16" i="19"/>
  <c r="G14" i="19"/>
  <c r="G13" i="19"/>
  <c r="H12" i="19"/>
  <c r="H11" i="19"/>
  <c r="F9" i="19"/>
  <c r="H9" i="19" s="1"/>
  <c r="H8" i="19"/>
  <c r="H7" i="19"/>
  <c r="H6" i="19"/>
  <c r="H5" i="19"/>
  <c r="G15" i="19" l="1"/>
  <c r="H42" i="19"/>
  <c r="F68" i="19"/>
  <c r="G32" i="19"/>
  <c r="F52" i="19"/>
  <c r="G51" i="19"/>
  <c r="H38" i="19"/>
  <c r="G52" i="19"/>
  <c r="H14" i="19"/>
  <c r="H22" i="19"/>
  <c r="G34" i="19"/>
  <c r="F32" i="19"/>
  <c r="F35" i="19" s="1"/>
  <c r="F58" i="19" s="1"/>
  <c r="H28" i="19"/>
  <c r="F10" i="19"/>
  <c r="G17" i="19"/>
  <c r="G23" i="19" s="1"/>
  <c r="H16" i="19"/>
  <c r="H17" i="19" s="1"/>
  <c r="H23" i="19" s="1"/>
  <c r="G65" i="19"/>
  <c r="G68" i="19" s="1"/>
  <c r="H64" i="19"/>
  <c r="H65" i="19" s="1"/>
  <c r="H68" i="19" s="1"/>
  <c r="H24" i="19"/>
  <c r="H45" i="19"/>
  <c r="H51" i="19" s="1"/>
  <c r="H70" i="19"/>
  <c r="G35" i="19" l="1"/>
  <c r="G55" i="19" s="1"/>
  <c r="H52" i="19"/>
  <c r="F13" i="19"/>
  <c r="F71" i="19" s="1"/>
  <c r="H10" i="19"/>
  <c r="H32" i="19"/>
  <c r="H35" i="19" s="1"/>
  <c r="H55" i="19" l="1"/>
  <c r="H57" i="19" s="1"/>
  <c r="G57" i="19"/>
  <c r="G58" i="19" s="1"/>
  <c r="G71" i="19" s="1"/>
  <c r="H58" i="19"/>
  <c r="H71" i="19"/>
  <c r="F15" i="19"/>
  <c r="H13" i="19"/>
  <c r="H15" i="19" s="1"/>
  <c r="O35" i="28" l="1"/>
  <c r="O27" i="28"/>
  <c r="L27" i="28"/>
  <c r="O26" i="28"/>
  <c r="Q26" i="28" s="1"/>
  <c r="M26" i="28"/>
  <c r="L26" i="28"/>
  <c r="Q22" i="28"/>
  <c r="P20" i="28"/>
  <c r="O37" i="28" s="1"/>
  <c r="M20" i="28"/>
  <c r="O19" i="28"/>
  <c r="O36" i="28" s="1"/>
  <c r="L18" i="28"/>
  <c r="L19" i="28" s="1"/>
  <c r="N19" i="28" s="1"/>
  <c r="Q14" i="28"/>
  <c r="O14" i="28"/>
  <c r="L14" i="28"/>
  <c r="F95" i="15"/>
  <c r="H94" i="15"/>
  <c r="F93" i="15"/>
  <c r="G92" i="15"/>
  <c r="H92" i="15" s="1"/>
  <c r="G91" i="15"/>
  <c r="H91" i="15" s="1"/>
  <c r="G90" i="15"/>
  <c r="H90" i="15" s="1"/>
  <c r="G89" i="15"/>
  <c r="H89" i="15" s="1"/>
  <c r="G88" i="15"/>
  <c r="H88" i="15" s="1"/>
  <c r="G87" i="15"/>
  <c r="G86" i="15"/>
  <c r="H86" i="15" s="1"/>
  <c r="H85" i="15"/>
  <c r="G84" i="15"/>
  <c r="H84" i="15" s="1"/>
  <c r="G83" i="15"/>
  <c r="H83" i="15" s="1"/>
  <c r="G82" i="15"/>
  <c r="H82" i="15" s="1"/>
  <c r="G81" i="15"/>
  <c r="H81" i="15" s="1"/>
  <c r="G80" i="15"/>
  <c r="H80" i="15" s="1"/>
  <c r="G79" i="15"/>
  <c r="H79" i="15" s="1"/>
  <c r="G78" i="15"/>
  <c r="H78" i="15" s="1"/>
  <c r="F76" i="15"/>
  <c r="H75" i="15"/>
  <c r="G73" i="15"/>
  <c r="F73" i="15"/>
  <c r="H72" i="15"/>
  <c r="H71" i="15"/>
  <c r="H73" i="15" s="1"/>
  <c r="G68" i="15"/>
  <c r="H68" i="15" s="1"/>
  <c r="H67" i="15"/>
  <c r="H66" i="15"/>
  <c r="H65" i="15"/>
  <c r="H64" i="15"/>
  <c r="H63" i="15"/>
  <c r="F62" i="15"/>
  <c r="H62" i="15" s="1"/>
  <c r="H60" i="15"/>
  <c r="H59" i="15"/>
  <c r="H58" i="15"/>
  <c r="H57" i="15"/>
  <c r="H56" i="15"/>
  <c r="F55" i="15"/>
  <c r="G54" i="15"/>
  <c r="H54" i="15" s="1"/>
  <c r="H53" i="15"/>
  <c r="G53" i="15"/>
  <c r="G52" i="15"/>
  <c r="H51" i="15"/>
  <c r="G51" i="15"/>
  <c r="F51" i="15"/>
  <c r="H50" i="15"/>
  <c r="G49" i="15"/>
  <c r="H49" i="15" s="1"/>
  <c r="H48" i="15"/>
  <c r="G48" i="15"/>
  <c r="F47" i="15"/>
  <c r="G46" i="15"/>
  <c r="H46" i="15" s="1"/>
  <c r="H47" i="15" s="1"/>
  <c r="G44" i="15"/>
  <c r="F44" i="15"/>
  <c r="H43" i="15"/>
  <c r="G42" i="15"/>
  <c r="H42" i="15" s="1"/>
  <c r="H41" i="15"/>
  <c r="G41" i="15"/>
  <c r="G45" i="15" s="1"/>
  <c r="F41" i="15"/>
  <c r="F45" i="15" s="1"/>
  <c r="G40" i="15"/>
  <c r="H40" i="15" s="1"/>
  <c r="H37" i="15"/>
  <c r="H36" i="15"/>
  <c r="H35" i="15"/>
  <c r="F34" i="15"/>
  <c r="F38" i="15" s="1"/>
  <c r="F39" i="15" s="1"/>
  <c r="G33" i="15"/>
  <c r="H33" i="15" s="1"/>
  <c r="G32" i="15"/>
  <c r="H32" i="15" s="1"/>
  <c r="G31" i="15"/>
  <c r="H31" i="15" s="1"/>
  <c r="G30" i="15"/>
  <c r="H30" i="15" s="1"/>
  <c r="G29" i="15"/>
  <c r="H29" i="15" s="1"/>
  <c r="G28" i="15"/>
  <c r="H28" i="15" s="1"/>
  <c r="H27" i="15"/>
  <c r="G27" i="15"/>
  <c r="G26" i="15"/>
  <c r="H26" i="15" s="1"/>
  <c r="G25" i="15"/>
  <c r="H25" i="15" s="1"/>
  <c r="G24" i="15"/>
  <c r="H24" i="15" s="1"/>
  <c r="G23" i="15"/>
  <c r="H23" i="15" s="1"/>
  <c r="G22" i="15"/>
  <c r="F21" i="15"/>
  <c r="G20" i="15"/>
  <c r="H20" i="15" s="1"/>
  <c r="G19" i="15"/>
  <c r="G21" i="15" s="1"/>
  <c r="H17" i="15"/>
  <c r="F17" i="15"/>
  <c r="F16" i="15"/>
  <c r="F18" i="15" s="1"/>
  <c r="G15" i="15"/>
  <c r="G16" i="15" s="1"/>
  <c r="G18" i="15" s="1"/>
  <c r="F15" i="15"/>
  <c r="H14" i="15"/>
  <c r="H13" i="15"/>
  <c r="H12" i="15"/>
  <c r="H11" i="15"/>
  <c r="H10" i="15"/>
  <c r="H15" i="15" s="1"/>
  <c r="H16" i="15" s="1"/>
  <c r="H18" i="15" s="1"/>
  <c r="H9" i="15"/>
  <c r="H8" i="15"/>
  <c r="H7" i="15"/>
  <c r="H6" i="15"/>
  <c r="N26" i="28" l="1"/>
  <c r="L20" i="28"/>
  <c r="O38" i="28"/>
  <c r="Q19" i="28"/>
  <c r="O20" i="28"/>
  <c r="Q20" i="28" s="1"/>
  <c r="N14" i="28"/>
  <c r="G93" i="15"/>
  <c r="G96" i="15" s="1"/>
  <c r="H87" i="15"/>
  <c r="G34" i="15"/>
  <c r="G38" i="15" s="1"/>
  <c r="G39" i="15" s="1"/>
  <c r="H45" i="15"/>
  <c r="G47" i="15"/>
  <c r="G69" i="15"/>
  <c r="G70" i="15" s="1"/>
  <c r="F69" i="15"/>
  <c r="F70" i="15" s="1"/>
  <c r="F77" i="15" s="1"/>
  <c r="F97" i="15" s="1"/>
  <c r="H44" i="15"/>
  <c r="H55" i="15"/>
  <c r="H95" i="15"/>
  <c r="G95" i="15"/>
  <c r="H96" i="15"/>
  <c r="H93" i="15"/>
  <c r="H19" i="15"/>
  <c r="H21" i="15" s="1"/>
  <c r="H22" i="15"/>
  <c r="H52" i="15"/>
  <c r="L36" i="28" l="1"/>
  <c r="L38" i="28" s="1"/>
  <c r="N20" i="28"/>
  <c r="G74" i="15"/>
  <c r="H38" i="15"/>
  <c r="H39" i="15"/>
  <c r="H69" i="15"/>
  <c r="H70" i="15" s="1"/>
  <c r="H34" i="15"/>
  <c r="H74" i="15"/>
  <c r="H76" i="15" s="1"/>
  <c r="G76" i="15"/>
  <c r="G77" i="15" s="1"/>
  <c r="G97" i="15"/>
  <c r="H77" i="15" l="1"/>
  <c r="H97" i="15" s="1"/>
  <c r="F72" i="14" l="1"/>
  <c r="F74" i="14" s="1"/>
  <c r="G71" i="14"/>
  <c r="H71" i="14" s="1"/>
  <c r="G70" i="14"/>
  <c r="H70" i="14" s="1"/>
  <c r="H69" i="14"/>
  <c r="G69" i="14"/>
  <c r="G68" i="14"/>
  <c r="H68" i="14" s="1"/>
  <c r="G67" i="14"/>
  <c r="H67" i="14" s="1"/>
  <c r="G66" i="14"/>
  <c r="H66" i="14" s="1"/>
  <c r="G65" i="14"/>
  <c r="H65" i="14" s="1"/>
  <c r="G64" i="14"/>
  <c r="H64" i="14" s="1"/>
  <c r="G63" i="14"/>
  <c r="H63" i="14" s="1"/>
  <c r="G62" i="14"/>
  <c r="H62" i="14" s="1"/>
  <c r="G61" i="14"/>
  <c r="H61" i="14" s="1"/>
  <c r="H58" i="14"/>
  <c r="H57" i="14"/>
  <c r="G56" i="14"/>
  <c r="F56" i="14"/>
  <c r="H55" i="14"/>
  <c r="H54" i="14"/>
  <c r="H56" i="14" s="1"/>
  <c r="F52" i="14"/>
  <c r="H51" i="14"/>
  <c r="G49" i="14"/>
  <c r="F49" i="14"/>
  <c r="H48" i="14"/>
  <c r="H49" i="14" s="1"/>
  <c r="F46" i="14"/>
  <c r="F47" i="14" s="1"/>
  <c r="H45" i="14"/>
  <c r="G44" i="14"/>
  <c r="H44" i="14" s="1"/>
  <c r="G43" i="14"/>
  <c r="H43" i="14" s="1"/>
  <c r="G42" i="14"/>
  <c r="H42" i="14" s="1"/>
  <c r="G41" i="14"/>
  <c r="F40" i="14"/>
  <c r="G39" i="14"/>
  <c r="G38" i="14"/>
  <c r="H38" i="14" s="1"/>
  <c r="G37" i="14"/>
  <c r="H37" i="14" s="1"/>
  <c r="G36" i="14"/>
  <c r="H36" i="14" s="1"/>
  <c r="F34" i="14"/>
  <c r="G33" i="14"/>
  <c r="G34" i="14" s="1"/>
  <c r="G32" i="14"/>
  <c r="F32" i="14"/>
  <c r="F35" i="14" s="1"/>
  <c r="H31" i="14"/>
  <c r="H32" i="14" s="1"/>
  <c r="G31" i="14"/>
  <c r="F29" i="14"/>
  <c r="G28" i="14"/>
  <c r="H28" i="14" s="1"/>
  <c r="H27" i="14"/>
  <c r="G26" i="14"/>
  <c r="H26" i="14" s="1"/>
  <c r="G25" i="14"/>
  <c r="H25" i="14" s="1"/>
  <c r="G24" i="14"/>
  <c r="H24" i="14" s="1"/>
  <c r="G23" i="14"/>
  <c r="H23" i="14" s="1"/>
  <c r="G22" i="14"/>
  <c r="H21" i="14"/>
  <c r="G20" i="14"/>
  <c r="H20" i="14" s="1"/>
  <c r="G19" i="14"/>
  <c r="H19" i="14" s="1"/>
  <c r="G18" i="14"/>
  <c r="H18" i="14" s="1"/>
  <c r="G17" i="14"/>
  <c r="F17" i="14"/>
  <c r="G16" i="14"/>
  <c r="H16" i="14" s="1"/>
  <c r="H15" i="14"/>
  <c r="G15" i="14"/>
  <c r="F13" i="14"/>
  <c r="H13" i="14" s="1"/>
  <c r="H11" i="14"/>
  <c r="F10" i="14"/>
  <c r="H10" i="14" s="1"/>
  <c r="F9" i="14"/>
  <c r="H9" i="14" s="1"/>
  <c r="H8" i="14"/>
  <c r="H7" i="14"/>
  <c r="H6" i="14"/>
  <c r="L61" i="13"/>
  <c r="K61" i="13"/>
  <c r="J61" i="13"/>
  <c r="I61" i="13"/>
  <c r="M59" i="13"/>
  <c r="M61" i="13" s="1"/>
  <c r="F59" i="13"/>
  <c r="G59" i="13" s="1"/>
  <c r="N58" i="13"/>
  <c r="O58" i="13" s="1"/>
  <c r="N57" i="13"/>
  <c r="O57" i="13" s="1"/>
  <c r="N56" i="13"/>
  <c r="O56" i="13" s="1"/>
  <c r="G56" i="13"/>
  <c r="H56" i="13" s="1"/>
  <c r="O55" i="13"/>
  <c r="N55" i="13"/>
  <c r="G55" i="13"/>
  <c r="H55" i="13" s="1"/>
  <c r="N54" i="13"/>
  <c r="H54" i="13"/>
  <c r="G54" i="13"/>
  <c r="N53" i="13"/>
  <c r="O53" i="13" s="1"/>
  <c r="G53" i="13"/>
  <c r="H53" i="13" s="1"/>
  <c r="N52" i="13"/>
  <c r="M52" i="13"/>
  <c r="G52" i="13"/>
  <c r="F52" i="13"/>
  <c r="O51" i="13"/>
  <c r="O52" i="13" s="1"/>
  <c r="H51" i="13"/>
  <c r="H50" i="13"/>
  <c r="H52" i="13" s="1"/>
  <c r="M47" i="13"/>
  <c r="O46" i="13"/>
  <c r="N44" i="13"/>
  <c r="M44" i="13"/>
  <c r="L44" i="13"/>
  <c r="K44" i="13"/>
  <c r="J44" i="13"/>
  <c r="I44" i="13"/>
  <c r="H44" i="13"/>
  <c r="G44" i="13"/>
  <c r="F44" i="13"/>
  <c r="O43" i="13"/>
  <c r="O44" i="13" s="1"/>
  <c r="L42" i="13"/>
  <c r="L48" i="13" s="1"/>
  <c r="M41" i="13"/>
  <c r="N40" i="13"/>
  <c r="O40" i="13" s="1"/>
  <c r="N39" i="13"/>
  <c r="O39" i="13" s="1"/>
  <c r="O38" i="13"/>
  <c r="M37" i="13"/>
  <c r="L37" i="13"/>
  <c r="K37" i="13"/>
  <c r="J37" i="13"/>
  <c r="I37" i="13"/>
  <c r="H37" i="13"/>
  <c r="G37" i="13"/>
  <c r="F37" i="13"/>
  <c r="N36" i="13"/>
  <c r="O35" i="13"/>
  <c r="O34" i="13"/>
  <c r="N34" i="13"/>
  <c r="M33" i="13"/>
  <c r="L33" i="13"/>
  <c r="K33" i="13"/>
  <c r="J33" i="13"/>
  <c r="I33" i="13"/>
  <c r="H33" i="13"/>
  <c r="G33" i="13"/>
  <c r="F33" i="13"/>
  <c r="N32" i="13"/>
  <c r="N33" i="13" s="1"/>
  <c r="L31" i="13"/>
  <c r="H31" i="13"/>
  <c r="H42" i="13" s="1"/>
  <c r="H48" i="13" s="1"/>
  <c r="M30" i="13"/>
  <c r="M31" i="13" s="1"/>
  <c r="L30" i="13"/>
  <c r="K30" i="13"/>
  <c r="K31" i="13" s="1"/>
  <c r="J30" i="13"/>
  <c r="J31" i="13" s="1"/>
  <c r="I30" i="13"/>
  <c r="I31" i="13" s="1"/>
  <c r="H30" i="13"/>
  <c r="G30" i="13"/>
  <c r="G31" i="13" s="1"/>
  <c r="F30" i="13"/>
  <c r="F31" i="13" s="1"/>
  <c r="N29" i="13"/>
  <c r="O29" i="13" s="1"/>
  <c r="O30" i="13" s="1"/>
  <c r="O31" i="13" s="1"/>
  <c r="M27" i="13"/>
  <c r="L27" i="13"/>
  <c r="L28" i="13" s="1"/>
  <c r="K27" i="13"/>
  <c r="K28" i="13" s="1"/>
  <c r="J27" i="13"/>
  <c r="J28" i="13" s="1"/>
  <c r="I27" i="13"/>
  <c r="I28" i="13" s="1"/>
  <c r="H27" i="13"/>
  <c r="H28" i="13" s="1"/>
  <c r="G27" i="13"/>
  <c r="G28" i="13" s="1"/>
  <c r="F27" i="13"/>
  <c r="F28" i="13" s="1"/>
  <c r="N26" i="13"/>
  <c r="O26" i="13" s="1"/>
  <c r="N25" i="13"/>
  <c r="O25" i="13" s="1"/>
  <c r="O24" i="13"/>
  <c r="N23" i="13"/>
  <c r="O23" i="13" s="1"/>
  <c r="N22" i="13"/>
  <c r="O22" i="13" s="1"/>
  <c r="N21" i="13"/>
  <c r="O21" i="13" s="1"/>
  <c r="N20" i="13"/>
  <c r="O20" i="13" s="1"/>
  <c r="O19" i="13"/>
  <c r="N18" i="13"/>
  <c r="O18" i="13" s="1"/>
  <c r="N17" i="13"/>
  <c r="O17" i="13" s="1"/>
  <c r="N16" i="13"/>
  <c r="M15" i="13"/>
  <c r="N14" i="13"/>
  <c r="N13" i="13"/>
  <c r="O13" i="13" s="1"/>
  <c r="O11" i="13"/>
  <c r="O9" i="13"/>
  <c r="O8" i="13"/>
  <c r="O7" i="13"/>
  <c r="O6" i="13"/>
  <c r="M5" i="13"/>
  <c r="M10" i="13" s="1"/>
  <c r="H60" i="14" l="1"/>
  <c r="H17" i="14"/>
  <c r="G29" i="14"/>
  <c r="G30" i="14" s="1"/>
  <c r="G40" i="14"/>
  <c r="G35" i="14"/>
  <c r="H59" i="14"/>
  <c r="H72" i="14" s="1"/>
  <c r="H74" i="14" s="1"/>
  <c r="F30" i="14"/>
  <c r="G46" i="14"/>
  <c r="G47" i="14" s="1"/>
  <c r="G50" i="14" s="1"/>
  <c r="H50" i="14" s="1"/>
  <c r="H52" i="14" s="1"/>
  <c r="F53" i="14"/>
  <c r="F12" i="14"/>
  <c r="H22" i="14"/>
  <c r="H29" i="14" s="1"/>
  <c r="H30" i="14" s="1"/>
  <c r="G72" i="14"/>
  <c r="H41" i="14"/>
  <c r="H46" i="14" s="1"/>
  <c r="H33" i="14"/>
  <c r="H34" i="14" s="1"/>
  <c r="H35" i="14" s="1"/>
  <c r="H39" i="14"/>
  <c r="H40" i="14" s="1"/>
  <c r="N60" i="13"/>
  <c r="O60" i="13" s="1"/>
  <c r="O5" i="13"/>
  <c r="N15" i="13"/>
  <c r="N45" i="13" s="1"/>
  <c r="I42" i="13"/>
  <c r="I48" i="13" s="1"/>
  <c r="M28" i="13"/>
  <c r="M42" i="13" s="1"/>
  <c r="M48" i="13" s="1"/>
  <c r="M62" i="13" s="1"/>
  <c r="F61" i="13"/>
  <c r="M12" i="13"/>
  <c r="O10" i="13"/>
  <c r="O12" i="13" s="1"/>
  <c r="O14" i="13"/>
  <c r="O15" i="13" s="1"/>
  <c r="O28" i="13" s="1"/>
  <c r="N30" i="13"/>
  <c r="N31" i="13" s="1"/>
  <c r="N37" i="13"/>
  <c r="O36" i="13"/>
  <c r="O37" i="13" s="1"/>
  <c r="F42" i="13"/>
  <c r="F48" i="13" s="1"/>
  <c r="J42" i="13"/>
  <c r="J48" i="13" s="1"/>
  <c r="N27" i="13"/>
  <c r="G42" i="13"/>
  <c r="G48" i="13" s="1"/>
  <c r="K42" i="13"/>
  <c r="K48" i="13" s="1"/>
  <c r="N59" i="13"/>
  <c r="N61" i="13" s="1"/>
  <c r="O61" i="13" s="1"/>
  <c r="O54" i="13"/>
  <c r="O59" i="13" s="1"/>
  <c r="G61" i="13"/>
  <c r="G60" i="13"/>
  <c r="H60" i="13" s="1"/>
  <c r="O41" i="13"/>
  <c r="N41" i="13"/>
  <c r="H59" i="13"/>
  <c r="H61" i="13" s="1"/>
  <c r="O16" i="13"/>
  <c r="O27" i="13" s="1"/>
  <c r="O32" i="13"/>
  <c r="O33" i="13" s="1"/>
  <c r="H53" i="14" l="1"/>
  <c r="G52" i="14"/>
  <c r="G53" i="14" s="1"/>
  <c r="H47" i="14"/>
  <c r="F14" i="14"/>
  <c r="F75" i="14" s="1"/>
  <c r="H75" i="14" s="1"/>
  <c r="H12" i="14"/>
  <c r="H14" i="14" s="1"/>
  <c r="G74" i="14"/>
  <c r="G75" i="14"/>
  <c r="G73" i="14"/>
  <c r="H73" i="14" s="1"/>
  <c r="N28" i="13"/>
  <c r="O42" i="13"/>
  <c r="O45" i="13"/>
  <c r="O47" i="13" s="1"/>
  <c r="N47" i="13"/>
  <c r="N48" i="13" s="1"/>
  <c r="N62" i="13" s="1"/>
  <c r="N42" i="13"/>
  <c r="O48" i="13" l="1"/>
  <c r="O62" i="13" s="1"/>
  <c r="V9" i="5" l="1"/>
  <c r="V15" i="5"/>
  <c r="V17" i="5" s="1"/>
  <c r="F12" i="25" l="1"/>
  <c r="F19" i="25"/>
  <c r="E15" i="9" l="1"/>
  <c r="I22" i="9"/>
  <c r="N12" i="17" l="1"/>
  <c r="E76" i="11"/>
  <c r="E80" i="11" s="1"/>
  <c r="E68" i="11"/>
  <c r="E73" i="11" s="1"/>
  <c r="E63" i="11"/>
  <c r="E66" i="11" s="1"/>
  <c r="E53" i="11"/>
  <c r="E50" i="11"/>
  <c r="E47" i="11"/>
  <c r="E42" i="11"/>
  <c r="E41" i="11"/>
  <c r="E37" i="11"/>
  <c r="E33" i="11"/>
  <c r="E46" i="11" s="1"/>
  <c r="E25" i="11"/>
  <c r="E14" i="11"/>
  <c r="E21" i="11" s="1"/>
  <c r="E29" i="11" s="1"/>
  <c r="E74" i="11" l="1"/>
  <c r="E57" i="11"/>
  <c r="E81" i="11"/>
  <c r="E60" i="11"/>
  <c r="E82" i="11" l="1"/>
  <c r="E61" i="11"/>
  <c r="F50" i="25" l="1"/>
  <c r="F48" i="25" s="1"/>
  <c r="F49" i="25"/>
  <c r="F77" i="25"/>
  <c r="F69" i="25"/>
  <c r="F74" i="25" s="1"/>
  <c r="F51" i="25"/>
  <c r="F40" i="25"/>
  <c r="E40" i="25" s="1"/>
  <c r="E76" i="25"/>
  <c r="F76" i="25" s="1"/>
  <c r="F54" i="25"/>
  <c r="E45" i="25"/>
  <c r="F45" i="25" s="1"/>
  <c r="E43" i="25"/>
  <c r="E39" i="25"/>
  <c r="F39" i="25" s="1"/>
  <c r="E41" i="25"/>
  <c r="F41" i="25" s="1"/>
  <c r="E37" i="25"/>
  <c r="F37" i="25" s="1"/>
  <c r="E36" i="25"/>
  <c r="F36" i="25" s="1"/>
  <c r="E35" i="25"/>
  <c r="F35" i="25" s="1"/>
  <c r="E33" i="25"/>
  <c r="F33" i="25" s="1"/>
  <c r="E24" i="25"/>
  <c r="F24" i="25" s="1"/>
  <c r="E20" i="25"/>
  <c r="F20" i="25" s="1"/>
  <c r="E18" i="25"/>
  <c r="F18" i="25" s="1"/>
  <c r="E16" i="25"/>
  <c r="E51" i="25"/>
  <c r="E54" i="25"/>
  <c r="E69" i="25"/>
  <c r="E74" i="25" s="1"/>
  <c r="E34" i="25" l="1"/>
  <c r="F58" i="25"/>
  <c r="F61" i="25" s="1"/>
  <c r="F34" i="25"/>
  <c r="E42" i="25"/>
  <c r="F38" i="25"/>
  <c r="E58" i="25"/>
  <c r="E61" i="25" s="1"/>
  <c r="E14" i="25"/>
  <c r="F81" i="25"/>
  <c r="F16" i="25"/>
  <c r="F14" i="25" s="1"/>
  <c r="F43" i="25"/>
  <c r="F42" i="25" s="1"/>
  <c r="E77" i="25"/>
  <c r="E81" i="25" s="1"/>
  <c r="D77" i="25"/>
  <c r="D69" i="25"/>
  <c r="D74" i="25" s="1"/>
  <c r="E65" i="25"/>
  <c r="F65" i="25" s="1"/>
  <c r="D54" i="25"/>
  <c r="D51" i="25"/>
  <c r="D48" i="25"/>
  <c r="D42" i="25"/>
  <c r="F21" i="25"/>
  <c r="F47" i="25" l="1"/>
  <c r="D64" i="25"/>
  <c r="D67" i="25" s="1"/>
  <c r="D75" i="25" s="1"/>
  <c r="E10" i="25"/>
  <c r="F10" i="25"/>
  <c r="D26" i="25"/>
  <c r="F11" i="25"/>
  <c r="E11" i="25"/>
  <c r="D58" i="25"/>
  <c r="F64" i="25"/>
  <c r="F67" i="25" s="1"/>
  <c r="F75" i="25" s="1"/>
  <c r="E64" i="25"/>
  <c r="N8" i="22"/>
  <c r="N9" i="22"/>
  <c r="N10" i="22"/>
  <c r="N11" i="22"/>
  <c r="N12" i="22"/>
  <c r="N13" i="22"/>
  <c r="N14" i="22"/>
  <c r="N15" i="22"/>
  <c r="N16" i="22"/>
  <c r="N17" i="22"/>
  <c r="N7" i="22"/>
  <c r="F83" i="25" l="1"/>
  <c r="E67" i="25"/>
  <c r="E75" i="25" s="1"/>
  <c r="E83" i="25"/>
  <c r="E26" i="25"/>
  <c r="F26" i="25"/>
  <c r="E22" i="25"/>
  <c r="M22" i="20"/>
  <c r="L22" i="20"/>
  <c r="K22" i="20"/>
  <c r="J22" i="20"/>
  <c r="I22" i="20"/>
  <c r="H22" i="20"/>
  <c r="G22" i="20"/>
  <c r="F22" i="20"/>
  <c r="E22" i="20"/>
  <c r="D22" i="20"/>
  <c r="C22" i="20"/>
  <c r="B22" i="20"/>
  <c r="N21" i="20"/>
  <c r="B20" i="20"/>
  <c r="N20" i="20" s="1"/>
  <c r="N19" i="20"/>
  <c r="N18" i="20"/>
  <c r="B17" i="20"/>
  <c r="N17" i="20" s="1"/>
  <c r="N16" i="20"/>
  <c r="B16" i="20"/>
  <c r="O14" i="20"/>
  <c r="M14" i="20"/>
  <c r="L14" i="20"/>
  <c r="K14" i="20"/>
  <c r="J14" i="20"/>
  <c r="I14" i="20"/>
  <c r="H14" i="20"/>
  <c r="G14" i="20"/>
  <c r="F14" i="20"/>
  <c r="E14" i="20"/>
  <c r="D14" i="20"/>
  <c r="C14" i="20"/>
  <c r="B14" i="20"/>
  <c r="N12" i="20"/>
  <c r="N11" i="20"/>
  <c r="N10" i="20"/>
  <c r="N9" i="20"/>
  <c r="N8" i="20"/>
  <c r="N7" i="20"/>
  <c r="E80" i="18"/>
  <c r="F79" i="18"/>
  <c r="F78" i="18"/>
  <c r="F77" i="18"/>
  <c r="D76" i="18"/>
  <c r="D80" i="18" s="1"/>
  <c r="F80" i="18" s="1"/>
  <c r="F75" i="18"/>
  <c r="F70" i="18"/>
  <c r="F69" i="18"/>
  <c r="D68" i="18"/>
  <c r="D73" i="18" s="1"/>
  <c r="F73" i="18" s="1"/>
  <c r="F67" i="18"/>
  <c r="F66" i="18"/>
  <c r="E63" i="18"/>
  <c r="E66" i="18" s="1"/>
  <c r="E74" i="18" s="1"/>
  <c r="D63" i="18"/>
  <c r="D66" i="18" s="1"/>
  <c r="G57" i="18"/>
  <c r="F56" i="18"/>
  <c r="F55" i="18"/>
  <c r="E53" i="18"/>
  <c r="D53" i="18"/>
  <c r="F52" i="18"/>
  <c r="F51" i="18"/>
  <c r="E50" i="18"/>
  <c r="D50" i="18"/>
  <c r="F50" i="18" s="1"/>
  <c r="F48" i="18"/>
  <c r="F47" i="18" s="1"/>
  <c r="E47" i="18"/>
  <c r="E57" i="18" s="1"/>
  <c r="D47" i="18"/>
  <c r="G46" i="18"/>
  <c r="F45" i="18"/>
  <c r="F44" i="18"/>
  <c r="F43" i="18"/>
  <c r="F41" i="18" s="1"/>
  <c r="E41" i="18"/>
  <c r="D41" i="18"/>
  <c r="F39" i="18"/>
  <c r="F37" i="18" s="1"/>
  <c r="E37" i="18"/>
  <c r="D37" i="18"/>
  <c r="F33" i="18"/>
  <c r="E33" i="18"/>
  <c r="E46" i="18" s="1"/>
  <c r="D33" i="18"/>
  <c r="D46" i="18" s="1"/>
  <c r="G29" i="18"/>
  <c r="G81" i="18" s="1"/>
  <c r="F28" i="18"/>
  <c r="F27" i="18"/>
  <c r="F29" i="18" s="1"/>
  <c r="E25" i="18"/>
  <c r="D25" i="18"/>
  <c r="E21" i="18"/>
  <c r="D14" i="18"/>
  <c r="D21" i="18" s="1"/>
  <c r="N22" i="20" l="1"/>
  <c r="D29" i="18"/>
  <c r="F53" i="18"/>
  <c r="F68" i="18"/>
  <c r="N14" i="20"/>
  <c r="E29" i="18"/>
  <c r="E81" i="18" s="1"/>
  <c r="E82" i="18" s="1"/>
  <c r="E84" i="18" s="1"/>
  <c r="D74" i="18"/>
  <c r="D57" i="18"/>
  <c r="G60" i="18"/>
  <c r="G61" i="18" s="1"/>
  <c r="F74" i="18"/>
  <c r="E30" i="25"/>
  <c r="E82" i="25" s="1"/>
  <c r="D81" i="18"/>
  <c r="D82" i="18" s="1"/>
  <c r="D84" i="18" s="1"/>
  <c r="F81" i="18"/>
  <c r="F46" i="18"/>
  <c r="G82" i="18"/>
  <c r="G84" i="18" s="1"/>
  <c r="E60" i="18"/>
  <c r="F57" i="18"/>
  <c r="D60" i="18"/>
  <c r="D61" i="18" s="1"/>
  <c r="F76" i="18"/>
  <c r="E61" i="18" l="1"/>
  <c r="F60" i="18"/>
  <c r="F82" i="18" l="1"/>
  <c r="F84" i="18" s="1"/>
  <c r="H84" i="18" s="1"/>
  <c r="F61" i="18"/>
  <c r="Q49" i="17" l="1"/>
  <c r="M22" i="17"/>
  <c r="L22" i="17"/>
  <c r="K22" i="17"/>
  <c r="J22" i="17"/>
  <c r="I22" i="17"/>
  <c r="H22" i="17"/>
  <c r="G22" i="17"/>
  <c r="F22" i="17"/>
  <c r="E22" i="17"/>
  <c r="D22" i="17"/>
  <c r="C22" i="17"/>
  <c r="B22" i="17"/>
  <c r="N21" i="17"/>
  <c r="N20" i="17"/>
  <c r="O22" i="17"/>
  <c r="N19" i="17"/>
  <c r="N18" i="17"/>
  <c r="N17" i="17"/>
  <c r="N16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N11" i="17"/>
  <c r="N10" i="17"/>
  <c r="N9" i="17"/>
  <c r="N8" i="17"/>
  <c r="N7" i="17"/>
  <c r="G81" i="11"/>
  <c r="D80" i="11"/>
  <c r="F80" i="11" s="1"/>
  <c r="F79" i="11"/>
  <c r="F78" i="11"/>
  <c r="F77" i="11"/>
  <c r="F76" i="11"/>
  <c r="D76" i="11"/>
  <c r="F75" i="11"/>
  <c r="F70" i="11"/>
  <c r="F69" i="11"/>
  <c r="D68" i="11"/>
  <c r="D73" i="11" s="1"/>
  <c r="F73" i="11" s="1"/>
  <c r="F67" i="11"/>
  <c r="F66" i="11"/>
  <c r="D63" i="11"/>
  <c r="D66" i="11" s="1"/>
  <c r="G57" i="11"/>
  <c r="F56" i="11"/>
  <c r="F55" i="11"/>
  <c r="D53" i="11"/>
  <c r="F52" i="11"/>
  <c r="F51" i="11"/>
  <c r="D50" i="11"/>
  <c r="F50" i="11" s="1"/>
  <c r="F48" i="11"/>
  <c r="F47" i="11" s="1"/>
  <c r="D47" i="11"/>
  <c r="G46" i="11"/>
  <c r="G60" i="11" s="1"/>
  <c r="F45" i="11"/>
  <c r="F44" i="11"/>
  <c r="F43" i="11"/>
  <c r="D42" i="11"/>
  <c r="F39" i="11"/>
  <c r="F37" i="11" s="1"/>
  <c r="D37" i="11"/>
  <c r="F33" i="11"/>
  <c r="D33" i="11"/>
  <c r="G29" i="11"/>
  <c r="F28" i="11"/>
  <c r="F27" i="11"/>
  <c r="F25" i="11"/>
  <c r="D25" i="11"/>
  <c r="F21" i="11"/>
  <c r="D14" i="11"/>
  <c r="D21" i="11" s="1"/>
  <c r="B23" i="17" l="1"/>
  <c r="D23" i="17"/>
  <c r="F41" i="11"/>
  <c r="D41" i="11" s="1"/>
  <c r="D57" i="11"/>
  <c r="D74" i="11"/>
  <c r="F68" i="11"/>
  <c r="N14" i="17"/>
  <c r="D46" i="11"/>
  <c r="D60" i="11" s="1"/>
  <c r="F53" i="11"/>
  <c r="F57" i="11" s="1"/>
  <c r="F29" i="11"/>
  <c r="O14" i="17"/>
  <c r="E23" i="17"/>
  <c r="M23" i="17"/>
  <c r="H23" i="17"/>
  <c r="L23" i="17"/>
  <c r="F23" i="17"/>
  <c r="J23" i="17"/>
  <c r="I23" i="17"/>
  <c r="C23" i="17"/>
  <c r="G23" i="17"/>
  <c r="K23" i="17"/>
  <c r="N23" i="17"/>
  <c r="F74" i="11"/>
  <c r="D29" i="11"/>
  <c r="D81" i="11" s="1"/>
  <c r="N22" i="17"/>
  <c r="E84" i="11"/>
  <c r="G82" i="11"/>
  <c r="G84" i="11" s="1"/>
  <c r="G61" i="11"/>
  <c r="F81" i="11"/>
  <c r="F46" i="11"/>
  <c r="E21" i="7"/>
  <c r="E22" i="7"/>
  <c r="F60" i="11" l="1"/>
  <c r="F82" i="11" s="1"/>
  <c r="F84" i="11" s="1"/>
  <c r="H84" i="11" s="1"/>
  <c r="D82" i="11"/>
  <c r="D84" i="11" s="1"/>
  <c r="D61" i="11"/>
  <c r="D29" i="4"/>
  <c r="E29" i="4"/>
  <c r="B29" i="4"/>
  <c r="H13" i="3"/>
  <c r="E77" i="2"/>
  <c r="E82" i="2" s="1"/>
  <c r="E69" i="2"/>
  <c r="E74" i="2" s="1"/>
  <c r="E67" i="2"/>
  <c r="E75" i="2" l="1"/>
  <c r="F61" i="11"/>
  <c r="O28" i="22" l="1"/>
  <c r="B18" i="22" l="1"/>
  <c r="G15" i="9" l="1"/>
  <c r="H15" i="9"/>
  <c r="I18" i="9"/>
  <c r="I19" i="9"/>
  <c r="I20" i="9"/>
  <c r="I21" i="9"/>
  <c r="D79" i="7"/>
  <c r="C79" i="7"/>
  <c r="B79" i="7"/>
  <c r="E79" i="7" s="1"/>
  <c r="E78" i="7"/>
  <c r="E77" i="7"/>
  <c r="D72" i="7"/>
  <c r="C72" i="7"/>
  <c r="B72" i="7"/>
  <c r="E71" i="7"/>
  <c r="E70" i="7"/>
  <c r="E69" i="7"/>
  <c r="E68" i="7"/>
  <c r="E67" i="7"/>
  <c r="E66" i="7"/>
  <c r="D51" i="7"/>
  <c r="C51" i="7"/>
  <c r="B51" i="7"/>
  <c r="E50" i="7"/>
  <c r="E48" i="7"/>
  <c r="D44" i="7"/>
  <c r="C44" i="7"/>
  <c r="B44" i="7"/>
  <c r="E43" i="7"/>
  <c r="E42" i="7"/>
  <c r="E41" i="7"/>
  <c r="E40" i="7"/>
  <c r="E39" i="7"/>
  <c r="E38" i="7"/>
  <c r="D24" i="7"/>
  <c r="C24" i="7"/>
  <c r="B24" i="7"/>
  <c r="E23" i="7"/>
  <c r="E20" i="7"/>
  <c r="D17" i="7"/>
  <c r="C17" i="7"/>
  <c r="B17" i="7"/>
  <c r="E16" i="7"/>
  <c r="E15" i="7"/>
  <c r="E14" i="7"/>
  <c r="E13" i="7"/>
  <c r="E12" i="7"/>
  <c r="E11" i="7"/>
  <c r="E51" i="7" l="1"/>
  <c r="E44" i="7"/>
  <c r="E24" i="7"/>
  <c r="E72" i="7"/>
  <c r="E17" i="7"/>
  <c r="C42" i="4" l="1"/>
  <c r="D7" i="4"/>
  <c r="E7" i="4"/>
  <c r="B7" i="4"/>
  <c r="D42" i="4" l="1"/>
  <c r="Q55" i="22"/>
  <c r="M28" i="22"/>
  <c r="L28" i="22"/>
  <c r="K28" i="22"/>
  <c r="J28" i="22"/>
  <c r="I28" i="22"/>
  <c r="H28" i="22"/>
  <c r="G28" i="22"/>
  <c r="F28" i="22"/>
  <c r="E28" i="22"/>
  <c r="D28" i="22"/>
  <c r="C28" i="22"/>
  <c r="B28" i="22"/>
  <c r="B29" i="22" s="1"/>
  <c r="N26" i="22"/>
  <c r="N25" i="22"/>
  <c r="N24" i="22"/>
  <c r="N23" i="22"/>
  <c r="N22" i="22"/>
  <c r="N21" i="22"/>
  <c r="N20" i="22"/>
  <c r="O18" i="22"/>
  <c r="M18" i="22"/>
  <c r="L18" i="22"/>
  <c r="L29" i="22" s="1"/>
  <c r="K18" i="22"/>
  <c r="K29" i="22" s="1"/>
  <c r="J18" i="22"/>
  <c r="I18" i="22"/>
  <c r="I29" i="22" s="1"/>
  <c r="H18" i="22"/>
  <c r="H29" i="22" s="1"/>
  <c r="G18" i="22"/>
  <c r="G29" i="22" s="1"/>
  <c r="F18" i="22"/>
  <c r="E18" i="22"/>
  <c r="E29" i="22" s="1"/>
  <c r="D18" i="22"/>
  <c r="D29" i="22" s="1"/>
  <c r="C18" i="22"/>
  <c r="C29" i="22" s="1"/>
  <c r="Q14" i="10"/>
  <c r="J14" i="10"/>
  <c r="C14" i="10"/>
  <c r="C20" i="10" s="1"/>
  <c r="I26" i="9"/>
  <c r="E25" i="9"/>
  <c r="D25" i="9"/>
  <c r="I24" i="9"/>
  <c r="H23" i="9"/>
  <c r="G23" i="9"/>
  <c r="I23" i="9" s="1"/>
  <c r="I17" i="9"/>
  <c r="D15" i="9"/>
  <c r="I14" i="9"/>
  <c r="I13" i="9"/>
  <c r="H12" i="9"/>
  <c r="G12" i="9"/>
  <c r="G27" i="9" s="1"/>
  <c r="F12" i="9"/>
  <c r="E12" i="9"/>
  <c r="D12" i="9"/>
  <c r="I11" i="9"/>
  <c r="I10" i="9"/>
  <c r="D9" i="9"/>
  <c r="C26" i="8"/>
  <c r="D26" i="8"/>
  <c r="F42" i="4"/>
  <c r="B42" i="4"/>
  <c r="D31" i="3"/>
  <c r="H25" i="3"/>
  <c r="D25" i="3"/>
  <c r="D20" i="3"/>
  <c r="F80" i="2"/>
  <c r="F79" i="2"/>
  <c r="F78" i="2"/>
  <c r="D77" i="2"/>
  <c r="D82" i="2" s="1"/>
  <c r="F71" i="2"/>
  <c r="F70" i="2"/>
  <c r="D69" i="2"/>
  <c r="F69" i="2" s="1"/>
  <c r="F68" i="2"/>
  <c r="F65" i="2"/>
  <c r="F64" i="2" s="1"/>
  <c r="F67" i="2" s="1"/>
  <c r="D64" i="2"/>
  <c r="D67" i="2" s="1"/>
  <c r="F63" i="2"/>
  <c r="G58" i="2"/>
  <c r="F57" i="2"/>
  <c r="F56" i="2"/>
  <c r="F55" i="2"/>
  <c r="D54" i="2"/>
  <c r="F53" i="2"/>
  <c r="F52" i="2"/>
  <c r="D51" i="2"/>
  <c r="F51" i="2" s="1"/>
  <c r="F50" i="2"/>
  <c r="F49" i="2"/>
  <c r="G47" i="2"/>
  <c r="F46" i="2"/>
  <c r="F45" i="2"/>
  <c r="F44" i="2"/>
  <c r="F43" i="2"/>
  <c r="F41" i="2"/>
  <c r="F40" i="2"/>
  <c r="F39" i="2"/>
  <c r="F37" i="2"/>
  <c r="F36" i="2"/>
  <c r="D34" i="2" s="1"/>
  <c r="F35" i="2"/>
  <c r="F33" i="2"/>
  <c r="G30" i="2"/>
  <c r="G83" i="2" s="1"/>
  <c r="F29" i="2"/>
  <c r="E26" i="2"/>
  <c r="D26" i="2"/>
  <c r="F24" i="2"/>
  <c r="F23" i="2"/>
  <c r="F21" i="2"/>
  <c r="F19" i="2"/>
  <c r="F17" i="2"/>
  <c r="E17" i="2"/>
  <c r="F15" i="2"/>
  <c r="E15" i="2"/>
  <c r="F13" i="2"/>
  <c r="E13" i="2"/>
  <c r="F12" i="2"/>
  <c r="F11" i="2"/>
  <c r="F10" i="2"/>
  <c r="E61" i="2" l="1"/>
  <c r="E40" i="2"/>
  <c r="E38" i="2" s="1"/>
  <c r="E47" i="2" s="1"/>
  <c r="F77" i="2"/>
  <c r="F82" i="2" s="1"/>
  <c r="H27" i="9"/>
  <c r="G61" i="2"/>
  <c r="G84" i="2" s="1"/>
  <c r="G86" i="2" s="1"/>
  <c r="N28" i="22"/>
  <c r="D40" i="2"/>
  <c r="D38" i="2" s="1"/>
  <c r="E42" i="4"/>
  <c r="F26" i="2"/>
  <c r="J29" i="22"/>
  <c r="M29" i="22"/>
  <c r="D15" i="2"/>
  <c r="D13" i="2"/>
  <c r="D17" i="2"/>
  <c r="D48" i="2"/>
  <c r="D58" i="2" s="1"/>
  <c r="F29" i="22"/>
  <c r="N29" i="22"/>
  <c r="N18" i="22"/>
  <c r="I12" i="9"/>
  <c r="D27" i="9"/>
  <c r="E27" i="9"/>
  <c r="F27" i="9"/>
  <c r="D26" i="3"/>
  <c r="F34" i="2"/>
  <c r="F42" i="2"/>
  <c r="H20" i="3"/>
  <c r="H33" i="3" s="1"/>
  <c r="F54" i="2"/>
  <c r="F14" i="2"/>
  <c r="F22" i="2" s="1"/>
  <c r="D42" i="2"/>
  <c r="I25" i="9"/>
  <c r="D33" i="3"/>
  <c r="E14" i="2"/>
  <c r="E22" i="2" s="1"/>
  <c r="F38" i="2"/>
  <c r="F48" i="2"/>
  <c r="D74" i="2"/>
  <c r="F74" i="2" s="1"/>
  <c r="F75" i="2" s="1"/>
  <c r="G62" i="2" l="1"/>
  <c r="D14" i="2"/>
  <c r="D22" i="2" s="1"/>
  <c r="D47" i="2"/>
  <c r="D61" i="2" s="1"/>
  <c r="E84" i="2"/>
  <c r="F58" i="2"/>
  <c r="F30" i="2"/>
  <c r="F83" i="2" s="1"/>
  <c r="D21" i="3"/>
  <c r="I27" i="9"/>
  <c r="E30" i="2"/>
  <c r="E62" i="2" s="1"/>
  <c r="D75" i="2"/>
  <c r="F47" i="2"/>
  <c r="F61" i="2" l="1"/>
  <c r="F84" i="2" s="1"/>
  <c r="F86" i="2" s="1"/>
  <c r="D84" i="2"/>
  <c r="E83" i="2"/>
  <c r="E86" i="2" s="1"/>
  <c r="D30" i="2"/>
  <c r="F62" i="2"/>
  <c r="D83" i="2" l="1"/>
  <c r="D85" i="2" s="1"/>
  <c r="D62" i="2"/>
  <c r="D86" i="2" l="1"/>
  <c r="D17" i="25" l="1"/>
  <c r="D15" i="25"/>
  <c r="D14" i="25" s="1"/>
  <c r="D22" i="25" s="1"/>
  <c r="D30" i="25" s="1"/>
  <c r="D82" i="25" s="1"/>
  <c r="E38" i="25" l="1"/>
  <c r="E47" i="25" s="1"/>
  <c r="D40" i="25"/>
  <c r="D38" i="25"/>
  <c r="D47" i="25" s="1"/>
  <c r="D61" i="25" s="1"/>
  <c r="D62" i="25" s="1"/>
  <c r="E62" i="25" l="1"/>
  <c r="D83" i="25"/>
  <c r="D13" i="25"/>
  <c r="F22" i="25"/>
  <c r="F30" i="25" s="1"/>
  <c r="F62" i="25" l="1"/>
  <c r="F82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I79" authorId="0" shapeId="0" xr:uid="{26563A09-03E7-43FA-A5C2-58BE8FF1AE32}">
      <text>
        <r>
          <rPr>
            <b/>
            <sz val="9"/>
            <color indexed="81"/>
            <rFont val="Tahoma"/>
            <family val="2"/>
            <charset val="238"/>
          </rPr>
          <t>dell:</t>
        </r>
        <r>
          <rPr>
            <sz val="9"/>
            <color indexed="81"/>
            <rFont val="Tahoma"/>
            <family val="2"/>
            <charset val="238"/>
          </rPr>
          <t xml:space="preserve">
átcsoportosítás a Musicer szlájára 17050
</t>
        </r>
      </text>
    </comment>
  </commentList>
</comments>
</file>

<file path=xl/sharedStrings.xml><?xml version="1.0" encoding="utf-8"?>
<sst xmlns="http://schemas.openxmlformats.org/spreadsheetml/2006/main" count="1946" uniqueCount="937">
  <si>
    <t>CÍMREND</t>
  </si>
  <si>
    <t>I.</t>
  </si>
  <si>
    <t>Sármelléki Önkormányzat</t>
  </si>
  <si>
    <t>Sármellék Község Önkormányzata</t>
  </si>
  <si>
    <t>Kiadásainak és bevételeinek fő összesítője</t>
  </si>
  <si>
    <t>2.melléklet</t>
  </si>
  <si>
    <t>Sor-szám</t>
  </si>
  <si>
    <t>Megnevezés</t>
  </si>
  <si>
    <t>Sármellék összesen</t>
  </si>
  <si>
    <t>Kötelező feladat</t>
  </si>
  <si>
    <t>Önként vállalt feladat</t>
  </si>
  <si>
    <t>Állami feladat</t>
  </si>
  <si>
    <t>KIADÁSOK</t>
  </si>
  <si>
    <t>Személyi juttatások</t>
  </si>
  <si>
    <t xml:space="preserve">Munkaadókat terhelő járulékok </t>
  </si>
  <si>
    <t>Dologi és egyéb folyó kiadások</t>
  </si>
  <si>
    <t>4.</t>
  </si>
  <si>
    <t>Ellátottak pénzbeli juttatásai</t>
  </si>
  <si>
    <t>5.</t>
  </si>
  <si>
    <t>Egyéb működési kiadások (a+b+c+d)</t>
  </si>
  <si>
    <t>a.</t>
  </si>
  <si>
    <t>b.</t>
  </si>
  <si>
    <t>Működési célú pénzeszközátadás AHT-n kívülre és belül</t>
  </si>
  <si>
    <t>c.</t>
  </si>
  <si>
    <t>Társadalom-, szociálpolitikai és egyéb juttatás, Önormányzat által folyósított ellátások</t>
  </si>
  <si>
    <t>d.</t>
  </si>
  <si>
    <t>Általános és céltartalék</t>
  </si>
  <si>
    <t>Kötött, - céltartalék</t>
  </si>
  <si>
    <t>Működési kiadások (1+….+5)</t>
  </si>
  <si>
    <t>6.</t>
  </si>
  <si>
    <t>Beruházás</t>
  </si>
  <si>
    <t>7.</t>
  </si>
  <si>
    <t>Felújítás</t>
  </si>
  <si>
    <t>8.</t>
  </si>
  <si>
    <t>Felhalmozási célú támogatásérétkű kiadás</t>
  </si>
  <si>
    <t>II.</t>
  </si>
  <si>
    <t>Felhalmozási kiadások (6+7+8)</t>
  </si>
  <si>
    <t>III.</t>
  </si>
  <si>
    <t>IV.</t>
  </si>
  <si>
    <t>V.</t>
  </si>
  <si>
    <t>A.</t>
  </si>
  <si>
    <r>
      <t xml:space="preserve">Költségvetési kiadások összesen </t>
    </r>
    <r>
      <rPr>
        <i/>
        <sz val="16"/>
        <rFont val="Times New Roman"/>
        <family val="1"/>
        <charset val="238"/>
      </rPr>
      <t>(I+II+III+IV+V)</t>
    </r>
  </si>
  <si>
    <t>BEVÉTELEK</t>
  </si>
  <si>
    <t>1.</t>
  </si>
  <si>
    <t>Intézményi Működési bevételek</t>
  </si>
  <si>
    <t>2.</t>
  </si>
  <si>
    <t>Önkormányzatok sajátos működési bevételei</t>
  </si>
  <si>
    <t>2.1.</t>
  </si>
  <si>
    <t>Helyi adók</t>
  </si>
  <si>
    <t>2.2.</t>
  </si>
  <si>
    <t>Átengedett központi adók</t>
  </si>
  <si>
    <t>2.3.</t>
  </si>
  <si>
    <t>Bírságok, egyéb bevételek</t>
  </si>
  <si>
    <t>3.</t>
  </si>
  <si>
    <t>Működési támogatások</t>
  </si>
  <si>
    <t>3.1.</t>
  </si>
  <si>
    <t>Helyi Önkormányzatok általános működésének támogatása</t>
  </si>
  <si>
    <t>3.2.</t>
  </si>
  <si>
    <t>Központosított előirányzatokból a működési célúak</t>
  </si>
  <si>
    <t>3.3.</t>
  </si>
  <si>
    <t>Helyi önkormányzatok kiegészítő támogatása</t>
  </si>
  <si>
    <t>Egyéb működési bevételek</t>
  </si>
  <si>
    <t>4.1.</t>
  </si>
  <si>
    <t>Támogatásértékű működési bevételek összesen</t>
  </si>
  <si>
    <t>4.2.</t>
  </si>
  <si>
    <t>Működési célú pénzeszköz átvétel államháztartáson kívülről</t>
  </si>
  <si>
    <t>4.3.</t>
  </si>
  <si>
    <t>ÁFA visszaigénylés</t>
  </si>
  <si>
    <t>4.4.</t>
  </si>
  <si>
    <t>Előző évi költségvetési kiegészítések, visszatérülések</t>
  </si>
  <si>
    <t>Működési bevételek (1+2+3+4)</t>
  </si>
  <si>
    <t>Felhalmozási és tőkejellegű bevételek</t>
  </si>
  <si>
    <t>5.1.</t>
  </si>
  <si>
    <t>Tárgyi eszközök, immateriális javak értékesítése</t>
  </si>
  <si>
    <t>5.2.</t>
  </si>
  <si>
    <t>Önkormányzatok sajátos felhalmozási és tőke bevételei</t>
  </si>
  <si>
    <t>Felhalmozási támogatások</t>
  </si>
  <si>
    <t>6.1.</t>
  </si>
  <si>
    <t>Köpontosított előirányzatokból fejlesztési célúak</t>
  </si>
  <si>
    <t>6.2.</t>
  </si>
  <si>
    <t>Fejlesztési célú támogatások</t>
  </si>
  <si>
    <t>Egyéb felhalmozási bevételek</t>
  </si>
  <si>
    <t>7.1.</t>
  </si>
  <si>
    <t>Támogatásértékű felhalmozási bevételek összesen</t>
  </si>
  <si>
    <t>7.2.</t>
  </si>
  <si>
    <t>Felhalmozási célú pénzeszközátvétel államháztartáson kívülről</t>
  </si>
  <si>
    <t>7.3.</t>
  </si>
  <si>
    <t>előző évi felhalmozási célú előirányzat-maradvány</t>
  </si>
  <si>
    <t>Felhalmozási bevételek (5+6+7)</t>
  </si>
  <si>
    <t>Támogatási kölcsönök visszatérülése</t>
  </si>
  <si>
    <t>Pénzforgalom nélküli bevételek</t>
  </si>
  <si>
    <t>B.</t>
  </si>
  <si>
    <t>Költségvetési bevételek összesen (I+II+III+IV)</t>
  </si>
  <si>
    <t>A.Költségvetési kiadások és B.költségvetési bevételek egyenlege (A-B)</t>
  </si>
  <si>
    <t>Felügyeleti szervtől kapott támogatás</t>
  </si>
  <si>
    <t>Pénzmaradvány igénybevétele</t>
  </si>
  <si>
    <t>Működési célra</t>
  </si>
  <si>
    <t>Felhalmozási célra</t>
  </si>
  <si>
    <t>C.</t>
  </si>
  <si>
    <t>Költségvetési hiány belső finanszírozására szolgáló pénzforgalom nélküli bevételek (V)</t>
  </si>
  <si>
    <t>VI.</t>
  </si>
  <si>
    <t>Értékpapír értékesítésének bevétele</t>
  </si>
  <si>
    <t>VII.</t>
  </si>
  <si>
    <t>Hitelek felvétele</t>
  </si>
  <si>
    <t>ÁHT-n kívülre nyújtott működési célú hitel bevétele</t>
  </si>
  <si>
    <t>Felhalmozási célú hitel felvétele</t>
  </si>
  <si>
    <t>Bérhitel</t>
  </si>
  <si>
    <t>Folyószámlahitel</t>
  </si>
  <si>
    <t>D.</t>
  </si>
  <si>
    <t>Költségvetési hiány belső finanszírozását meghaladó összegének külső finanszírozására szolgáló bevételek  (VI+VII)</t>
  </si>
  <si>
    <t>E.</t>
  </si>
  <si>
    <t>Finanszírozási bevételek (C+D)</t>
  </si>
  <si>
    <t>VIII.</t>
  </si>
  <si>
    <t>Felügyeleti szervi támogatás</t>
  </si>
  <si>
    <t>IX.</t>
  </si>
  <si>
    <t>Hitelek törlesztése</t>
  </si>
  <si>
    <t>Működési célú hitel nyújtása (éven belüli)</t>
  </si>
  <si>
    <t>Működési célú hitel nyújtása (éven túli)</t>
  </si>
  <si>
    <t>Felhalmozási célú hitel törlesztése</t>
  </si>
  <si>
    <t>X.</t>
  </si>
  <si>
    <t>F.</t>
  </si>
  <si>
    <t>Finanszírozási kiadások összesen (VIII+IX+X)</t>
  </si>
  <si>
    <t>G.</t>
  </si>
  <si>
    <t>Tárgyévi kiadások  össsesen (A+F)</t>
  </si>
  <si>
    <t>H.</t>
  </si>
  <si>
    <t>Tárgyévi bevételek összesen (B+E)</t>
  </si>
  <si>
    <t xml:space="preserve"> működési és felhalmozási célú bevételi éskiadási előirányzatok bemutatása tájékoztató jelleggel</t>
  </si>
  <si>
    <t>3 melléklet</t>
  </si>
  <si>
    <t>Önkormányzat összesen</t>
  </si>
  <si>
    <t>Működési bevételek</t>
  </si>
  <si>
    <t>Támogatásértékű működési kiadások</t>
  </si>
  <si>
    <t xml:space="preserve">Működési célú pénzeszközátadás </t>
  </si>
  <si>
    <t>Előző évi állami támogatás visszafizetés</t>
  </si>
  <si>
    <t>Irányítószerv alá tartozó költségvetési szervnek folyósított támogatás</t>
  </si>
  <si>
    <t>Működési bevételek (1+2+3+49)</t>
  </si>
  <si>
    <t xml:space="preserve">Működési bevételek és működési kiadások különbözete: </t>
  </si>
  <si>
    <t>Beruházási kiadások</t>
  </si>
  <si>
    <t>Egyéb felhalmozási kiadások</t>
  </si>
  <si>
    <t>Felhalmozási kiadások (6+….+8)</t>
  </si>
  <si>
    <t>Felhalmozási bevételek és kiadások különbözete:</t>
  </si>
  <si>
    <t>9.</t>
  </si>
  <si>
    <t>10.</t>
  </si>
  <si>
    <t>11.</t>
  </si>
  <si>
    <t xml:space="preserve">Hitelek </t>
  </si>
  <si>
    <t>Finanszírozási bevételek (8+9+10+11)</t>
  </si>
  <si>
    <t>Finanszírozási kiadások</t>
  </si>
  <si>
    <t>Költségvetési Bevételek Összesen (A+B+C)</t>
  </si>
  <si>
    <r>
      <t xml:space="preserve">Költségvetési kiadások összesen </t>
    </r>
    <r>
      <rPr>
        <sz val="12"/>
        <rFont val="Times New Roman"/>
        <family val="1"/>
        <charset val="238"/>
      </rPr>
      <t>(A+B+C+D)</t>
    </r>
  </si>
  <si>
    <t>Tárgyévi kiadások és bevételek egyenlege</t>
  </si>
  <si>
    <t>adatok Ft-ban</t>
  </si>
  <si>
    <t>Felhalmozási kiadások feladatonként</t>
  </si>
  <si>
    <t>4.melléklet</t>
  </si>
  <si>
    <t>Felhalmozási kiadás  megnevezése</t>
  </si>
  <si>
    <t>Teljes költség</t>
  </si>
  <si>
    <t>Kivitelezés kezdési és befejezési éve</t>
  </si>
  <si>
    <t>Felújítási kiadások célonként</t>
  </si>
  <si>
    <t>Beruházási kiadások feladatonként</t>
  </si>
  <si>
    <t>Gyerek mesekönyvek (K64)</t>
  </si>
  <si>
    <t>Mágneses kapuzár (K64)</t>
  </si>
  <si>
    <t>Cipőtároló (K64)</t>
  </si>
  <si>
    <t>Tálalószekrény (K64)</t>
  </si>
  <si>
    <t>Ruhaszárító 3 db  (K64)</t>
  </si>
  <si>
    <t>Kés, kenyérszeletelő 2 db  (K64)</t>
  </si>
  <si>
    <t>Szőnyeg 2 csoportszobába  (K64)</t>
  </si>
  <si>
    <t>Tornaszoba ablakokra redőny+szúnyogháló (K64)</t>
  </si>
  <si>
    <t>Óvoda összesen:</t>
  </si>
  <si>
    <t>Kerékpártároló (K64)</t>
  </si>
  <si>
    <t>Fogas, esernyőtartó (K64)</t>
  </si>
  <si>
    <t>pedagógus asztal (K64)</t>
  </si>
  <si>
    <t>Bölcsőde összesen:</t>
  </si>
  <si>
    <t>ÁMK aula világítás (K64)</t>
  </si>
  <si>
    <t>Könyvtári, közművelődési tev. Összesen:</t>
  </si>
  <si>
    <t xml:space="preserve">Beruházási kiadások összesen </t>
  </si>
  <si>
    <t>ÖSSZESEN:</t>
  </si>
  <si>
    <t>Önkormányzatok által folyósított ellátások részletezése</t>
  </si>
  <si>
    <t>ezer forintban</t>
  </si>
  <si>
    <t xml:space="preserve">Lakásfenntartási támogatás  </t>
  </si>
  <si>
    <t>Gyógyszer támogatás</t>
  </si>
  <si>
    <t>Települési támogatás</t>
  </si>
  <si>
    <t>Egyéb rendkívüli települési támogatás</t>
  </si>
  <si>
    <t>Babakötvény</t>
  </si>
  <si>
    <t>Rendkívüli települési támogatás</t>
  </si>
  <si>
    <t>Települési + rendkívüli települési támogatás</t>
  </si>
  <si>
    <t>Rendszeres gyerekvédelmi támogatás</t>
  </si>
  <si>
    <t>Mindösszesen</t>
  </si>
  <si>
    <t>Működési célú pénzeszköz-átadások részletezése</t>
  </si>
  <si>
    <t>forintban</t>
  </si>
  <si>
    <t>Eredeti előirányzat</t>
  </si>
  <si>
    <t>Rovatkód</t>
  </si>
  <si>
    <t>Működési célú pénzeszköz átadás ÁHT-n belül</t>
  </si>
  <si>
    <t>Bursa Hungarica ösztöndíj-támogatás</t>
  </si>
  <si>
    <t>K506-04</t>
  </si>
  <si>
    <t>K506-08</t>
  </si>
  <si>
    <t>K506-09</t>
  </si>
  <si>
    <t>Működési célú pénzeszköz átadás ÁHT-n belül összesen</t>
  </si>
  <si>
    <t>Működési célú pénzeszköz átadás ÁHT-n kívül</t>
  </si>
  <si>
    <t>Sármelléki Polgárőrség</t>
  </si>
  <si>
    <t>Sármelléki Sportegyesület</t>
  </si>
  <si>
    <t>K512-03</t>
  </si>
  <si>
    <t>K512-02</t>
  </si>
  <si>
    <t>Keszthelyi Mentőszolg.Alapítvány</t>
  </si>
  <si>
    <t>K512-08</t>
  </si>
  <si>
    <t>Működési célú pénzeszköz átadás ÁHT-n kívül összesen</t>
  </si>
  <si>
    <t>Működési célú pénzeszköz átadás ÁHT-n belűl és kívül összesen</t>
  </si>
  <si>
    <t>K89-02</t>
  </si>
  <si>
    <t>K89-01</t>
  </si>
  <si>
    <t>Felhalmozási célúcélú pénzeszköz átadás  összesen</t>
  </si>
  <si>
    <t>Európai Uniós támogatással megvalósuló projektek bevételei, kiadásai, hozzájárulások</t>
  </si>
  <si>
    <t>EU-s projekt azonosítója:</t>
  </si>
  <si>
    <t>Források</t>
  </si>
  <si>
    <t>Összesen</t>
  </si>
  <si>
    <t>Saját erő</t>
  </si>
  <si>
    <t>saját erőből központi támogatás</t>
  </si>
  <si>
    <t>EU-s forrás</t>
  </si>
  <si>
    <t>Társfinanszírozás</t>
  </si>
  <si>
    <t>Hitel</t>
  </si>
  <si>
    <t xml:space="preserve">Egyéb forrás </t>
  </si>
  <si>
    <t>Források összesen</t>
  </si>
  <si>
    <t>Kiadások, költségek</t>
  </si>
  <si>
    <t>Személyi jellegű</t>
  </si>
  <si>
    <t>Beruházások, beszerzések</t>
  </si>
  <si>
    <t>Szolgáltatások igénybevétele</t>
  </si>
  <si>
    <t>Tartalék</t>
  </si>
  <si>
    <t>7.melléklet</t>
  </si>
  <si>
    <t xml:space="preserve">Adott, közvetett támogatások  </t>
  </si>
  <si>
    <t>8.melléklet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</si>
  <si>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</si>
  <si>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</si>
  <si>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</si>
  <si>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</si>
  <si>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</si>
  <si>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</si>
  <si>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</si>
  <si>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</si>
  <si>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</si>
  <si>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</si>
  <si>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</si>
  <si>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</si>
  <si>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</si>
  <si>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</si>
  <si>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</si>
  <si>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</si>
  <si>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</si>
  <si>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</si>
  <si>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</si>
  <si>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</si>
  <si>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</si>
  <si>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</si>
  <si>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</si>
  <si>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</si>
  <si>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</si>
  <si>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</si>
  <si>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</si>
  <si>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</si>
  <si>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Összesen:</t>
  </si>
  <si>
    <t>9.melléklet</t>
  </si>
  <si>
    <t>Többéves kihatással járó kötelezettségvállalások listája</t>
  </si>
  <si>
    <t xml:space="preserve"> Ezer forintban </t>
  </si>
  <si>
    <t>Sor-
szám</t>
  </si>
  <si>
    <t>Kötelezettség jogcíme</t>
  </si>
  <si>
    <t>Köt. váll.
 éve</t>
  </si>
  <si>
    <t>Kiadás vonzata évenként</t>
  </si>
  <si>
    <t>2019.</t>
  </si>
  <si>
    <t>2021. után</t>
  </si>
  <si>
    <t>9=(4+5+6+7+8)</t>
  </si>
  <si>
    <t>Működési célú hiteltörlesztés tőke</t>
  </si>
  <si>
    <t>Felhalmozási célú hiteltörlesztés (tőke+kamat)</t>
  </si>
  <si>
    <t>Beruházás feladatonként</t>
  </si>
  <si>
    <t>............................</t>
  </si>
  <si>
    <t xml:space="preserve">Egyéb </t>
  </si>
  <si>
    <t>Összesen (1+4+7+9+11)</t>
  </si>
  <si>
    <t>10. melléklet</t>
  </si>
  <si>
    <t>Sármelléki Óvoda Művelődési Központ</t>
  </si>
  <si>
    <t>Sármelléki Közös Önkormányzati Hivatal</t>
  </si>
  <si>
    <t>Éves létszám-előirányzat</t>
  </si>
  <si>
    <t>Szakfeladat száma</t>
  </si>
  <si>
    <t>Szakfeladat megnevezése</t>
  </si>
  <si>
    <t>Éves létszám-előirányzat  (fő)</t>
  </si>
  <si>
    <t>096015</t>
  </si>
  <si>
    <t>Iskiolai Intézményi étkeztetés</t>
  </si>
  <si>
    <t>011130</t>
  </si>
  <si>
    <t>Önkormányzatok igazgatási tevékenysége</t>
  </si>
  <si>
    <t>091110</t>
  </si>
  <si>
    <t>Óvodai nevelés szakmai feladatai</t>
  </si>
  <si>
    <t>066020</t>
  </si>
  <si>
    <t>Községgazdálkodás</t>
  </si>
  <si>
    <t>011131</t>
  </si>
  <si>
    <t>Önkományzati jogalkotás</t>
  </si>
  <si>
    <t>082092</t>
  </si>
  <si>
    <t>Közművelődés</t>
  </si>
  <si>
    <t>Önkormányzati jogalkotás</t>
  </si>
  <si>
    <t>011220</t>
  </si>
  <si>
    <t>Bölcsőde</t>
  </si>
  <si>
    <t>074031</t>
  </si>
  <si>
    <t>család és nővédelem</t>
  </si>
  <si>
    <t>Óvoda működtetés</t>
  </si>
  <si>
    <t>Közfoglalkoztatás éves létszám-előirányzata</t>
  </si>
  <si>
    <t>Éves létszám-előirányzat (fő)</t>
  </si>
  <si>
    <t>041233</t>
  </si>
  <si>
    <t>Közfoglalkoztatás</t>
  </si>
  <si>
    <t>Sármelléki Óvoda Általános Művelődési Központ</t>
  </si>
  <si>
    <t>Előző évi működési célú előirányzat-maradvány, pénzmaradvány átadás</t>
  </si>
  <si>
    <r>
      <t xml:space="preserve">Költségvetési kiadások összesen </t>
    </r>
    <r>
      <rPr>
        <sz val="12"/>
        <rFont val="Times New Roman"/>
        <family val="1"/>
        <charset val="238"/>
      </rPr>
      <t>(I+II+III+IV+V)</t>
    </r>
  </si>
  <si>
    <t>Előző évi működési célú előirányzat-maradvány, pénzmaradvány átvétel</t>
  </si>
  <si>
    <t xml:space="preserve">Működési célú hitel felvétele </t>
  </si>
  <si>
    <t>Értékpapír vásárlásainak kiadása</t>
  </si>
  <si>
    <t>Működési célú hitel törlesztése (folyószámlahitel)</t>
  </si>
  <si>
    <t>Működési célú hitel törlesztése (éven túli)</t>
  </si>
  <si>
    <t>Finanszírozási kiadások összesen (VIII+IX)</t>
  </si>
  <si>
    <t>összeg</t>
  </si>
  <si>
    <t>ÁFA</t>
  </si>
  <si>
    <t>Törvény szerinti illetmények, munkabérek (K1101)</t>
  </si>
  <si>
    <t>Céljuttatás, projektprémium (K1103)</t>
  </si>
  <si>
    <t>Béren kívüli juttatások (K1107)</t>
  </si>
  <si>
    <t>Közlekedési költségtérítés (K1109)</t>
  </si>
  <si>
    <t>Foglalkoztatottak személyi juttatásai (K11)</t>
  </si>
  <si>
    <t>Tiszteletdíj: Ferge Józsefné (K122)</t>
  </si>
  <si>
    <t>Tiszteletdíj: Balogh Anikó (K122)</t>
  </si>
  <si>
    <t>Külső személyi juttatások összesen (K12)</t>
  </si>
  <si>
    <t>SZEMÉLYI JUTTATÁSOK MINDÖSSZESEN (K1)</t>
  </si>
  <si>
    <t>MUNKAADÓKAT TERHELŐ JÁRULÉKOK ÉS SZOCIÁLIS HOZZÁJÁRULÁSI ADÓ (K2)</t>
  </si>
  <si>
    <t>Szakmai ismeretek, folyóirat előfizetése</t>
  </si>
  <si>
    <t>szakmai anyagok csoport foglalkozásokhoz</t>
  </si>
  <si>
    <t>szakmai anyagok beszerzése összesen (K311)</t>
  </si>
  <si>
    <t xml:space="preserve">papír, írószer, fénymásoló papír, nyomtatvány </t>
  </si>
  <si>
    <t>tintaparton, toner</t>
  </si>
  <si>
    <t>tisztítószer</t>
  </si>
  <si>
    <t>10 db 12 személyes asztalterítő</t>
  </si>
  <si>
    <t>Üzemeltetési anyagok beszerzése összesen  (K312)</t>
  </si>
  <si>
    <t>KÉSZLETBESZERZÉS (K31)</t>
  </si>
  <si>
    <t>Adatátviteli célú távközlési díj:internet</t>
  </si>
  <si>
    <t>Informatikai szolgáltatások igénybevétele (K321)</t>
  </si>
  <si>
    <t xml:space="preserve">Telefondíj, mobil telefon díjak </t>
  </si>
  <si>
    <t>Egyéb kommunikációs szolgáltatások (K322)</t>
  </si>
  <si>
    <t>KOMMUNIKÁCIÓS SZOLGÁLTATÁSOK (K32)</t>
  </si>
  <si>
    <t>Közüzemi  díjak (K331)</t>
  </si>
  <si>
    <t>Karbantartási, kisjavítási szolgáltatások (K334)</t>
  </si>
  <si>
    <t>szakmai tréning (K336)</t>
  </si>
  <si>
    <t>Szakmai tevékenységet segítő szolgáltatások (K336)</t>
  </si>
  <si>
    <t>rágcsálóírtás</t>
  </si>
  <si>
    <t>SÖTYE-Nőklub éves működés (K337)</t>
  </si>
  <si>
    <t>Otelló Borbarátok éves működés (K337)</t>
  </si>
  <si>
    <t>BRACCS éves működés (K337)</t>
  </si>
  <si>
    <t>Horváth Szilárd heti 1 óra furulyaoktatás 1500 Ft/óra (K337)</t>
  </si>
  <si>
    <t>Egyéb szolgáltatások (K337)</t>
  </si>
  <si>
    <t>Szolgáltatási kiadások (K33)</t>
  </si>
  <si>
    <t>Kiküldetések kiadásai (K341)</t>
  </si>
  <si>
    <t>ARTISJUS egész éves rendezvény díja (K341)</t>
  </si>
  <si>
    <t>Kiküldetések, reklám- és propagandakiadások (K34)</t>
  </si>
  <si>
    <t>Működési célú általános forgalmi adó (K351)</t>
  </si>
  <si>
    <t>Különféle befizetések és egyéb dologi kiadások (K35)</t>
  </si>
  <si>
    <t>DOLOGI KIADÁSOK ÖSSZESEN (K3)</t>
  </si>
  <si>
    <t>Egyéb dologi kiadás (K355)</t>
  </si>
  <si>
    <t>Egyéb tárgyi eszközök összesen (K64)</t>
  </si>
  <si>
    <t>Beruházási célú előzetesen felszámított ÁFA (K67)</t>
  </si>
  <si>
    <t>KÖLTSÉGVETÉSI KIADÁSOK MINDÖSSZESEN</t>
  </si>
  <si>
    <t xml:space="preserve">Szakmai ismeretek, folyóirat előfizetése:Kereplő újság </t>
  </si>
  <si>
    <t>ezer ft-ban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</si>
  <si>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</si>
  <si>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</si>
  <si>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</si>
  <si>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</si>
  <si>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</si>
  <si>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</si>
  <si>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</si>
  <si>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</si>
  <si>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</si>
  <si>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</si>
  <si>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</si>
  <si>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</si>
  <si>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</si>
  <si>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Munkaadót terhelő járulékok</t>
  </si>
  <si>
    <t>Végleges pénzeszközátadás, egyéb támogatás</t>
  </si>
  <si>
    <t>Társadalom és szoc.pol. Ellátások</t>
  </si>
  <si>
    <t>Felhalmozási kiadások</t>
  </si>
  <si>
    <t xml:space="preserve">Kiadások összesen </t>
  </si>
  <si>
    <t>Intézményi müködési bevételek</t>
  </si>
  <si>
    <t>Intézményfinanszírozás</t>
  </si>
  <si>
    <t>Támogatásértékű bevételek, átvett pénzeszközök</t>
  </si>
  <si>
    <t xml:space="preserve">Bevételek összesen </t>
  </si>
  <si>
    <t>Közös Önk.Hiv.</t>
  </si>
  <si>
    <t>Foglalkoztatottak egyéb személyi juttatásai (K1113)</t>
  </si>
  <si>
    <t>Költségvetési levelek előfizetése</t>
  </si>
  <si>
    <t>wINsZOC program díja: ABAUS</t>
  </si>
  <si>
    <t>informatikai eszk. Karbantartás:TC Informatika</t>
  </si>
  <si>
    <t>ECOSTAT rendszer karbantartás:CompuTrend</t>
  </si>
  <si>
    <t xml:space="preserve">Internet modem bérleti díja </t>
  </si>
  <si>
    <t>Bérleti és lízing díjak (K333)</t>
  </si>
  <si>
    <t>Szakmai tev.segítő szolg.:üzemorvosi dÍj (K336)</t>
  </si>
  <si>
    <t>Postaköltségek, postafiókbérlet (K337)</t>
  </si>
  <si>
    <t>Bankköltségek (K337)</t>
  </si>
  <si>
    <t>KIADÁSOK MINDÖSSZESEN</t>
  </si>
  <si>
    <t>Sármellék Község Önkormányzat</t>
  </si>
  <si>
    <t>16.melléklet</t>
  </si>
  <si>
    <t>Előző évi állami visszafiz.</t>
  </si>
  <si>
    <t>Intézmény finanszírozás</t>
  </si>
  <si>
    <t>Hitelek</t>
  </si>
  <si>
    <t xml:space="preserve">Dologi és egyéb folyó kiadásai intézményi és összesített kimutatása </t>
  </si>
  <si>
    <t>Rovatszám</t>
  </si>
  <si>
    <t>Tartozik</t>
  </si>
  <si>
    <t>Szakmai anyagok beszerzése</t>
  </si>
  <si>
    <t>01</t>
  </si>
  <si>
    <t>311</t>
  </si>
  <si>
    <t>Üzemeltetési anyagok beszerzése</t>
  </si>
  <si>
    <t>02</t>
  </si>
  <si>
    <t>312</t>
  </si>
  <si>
    <t>5102</t>
  </si>
  <si>
    <t>Árubeszerzés</t>
  </si>
  <si>
    <t>03</t>
  </si>
  <si>
    <t>313</t>
  </si>
  <si>
    <t>5113</t>
  </si>
  <si>
    <t>Készletbeszerzés (01+…+3)</t>
  </si>
  <si>
    <t>04</t>
  </si>
  <si>
    <t>5103</t>
  </si>
  <si>
    <t>Informatikai szolgáltatások igénybevétele</t>
  </si>
  <si>
    <t>05</t>
  </si>
  <si>
    <t>321</t>
  </si>
  <si>
    <t>Egyéb kommunikációs szolgáltatások</t>
  </si>
  <si>
    <t>06</t>
  </si>
  <si>
    <t>322</t>
  </si>
  <si>
    <t>Kommunikációs szolgáltatások (5+6)</t>
  </si>
  <si>
    <t>07</t>
  </si>
  <si>
    <t>Közüzemi díjak</t>
  </si>
  <si>
    <t>08</t>
  </si>
  <si>
    <t>331</t>
  </si>
  <si>
    <t>Vásárolt élelmezés</t>
  </si>
  <si>
    <t>09</t>
  </si>
  <si>
    <t>332</t>
  </si>
  <si>
    <t>5108</t>
  </si>
  <si>
    <t>Bérleti és lízing díjak</t>
  </si>
  <si>
    <t>10</t>
  </si>
  <si>
    <t>333</t>
  </si>
  <si>
    <t>ebből PPP alapuló szerződéses konstrukció</t>
  </si>
  <si>
    <t>11</t>
  </si>
  <si>
    <t>5110</t>
  </si>
  <si>
    <t>Karbantartási kisjavítási szolgáltatások</t>
  </si>
  <si>
    <t>12</t>
  </si>
  <si>
    <t>334</t>
  </si>
  <si>
    <t>Közvetített szolgáltatások</t>
  </si>
  <si>
    <t>13</t>
  </si>
  <si>
    <t>335</t>
  </si>
  <si>
    <t>5112</t>
  </si>
  <si>
    <t>ebből ÁHT-n belül</t>
  </si>
  <si>
    <t>14</t>
  </si>
  <si>
    <t>Szakmai tevékenységet segítő szolgáltatások</t>
  </si>
  <si>
    <t>15</t>
  </si>
  <si>
    <t>336</t>
  </si>
  <si>
    <t>Egyéb szolgáltatások</t>
  </si>
  <si>
    <t>16</t>
  </si>
  <si>
    <t>337</t>
  </si>
  <si>
    <t>5201</t>
  </si>
  <si>
    <t>Szolgáltatási kiadások (08+09+10+12+13+15+16)</t>
  </si>
  <si>
    <t>17</t>
  </si>
  <si>
    <t>Kiküldetés kiadásai</t>
  </si>
  <si>
    <t>18</t>
  </si>
  <si>
    <t>341</t>
  </si>
  <si>
    <t>Reklám- és propaganda kiadások</t>
  </si>
  <si>
    <t>19</t>
  </si>
  <si>
    <t>342</t>
  </si>
  <si>
    <t>Kiküldetés, reklám kiadások (18+19)</t>
  </si>
  <si>
    <t>20</t>
  </si>
  <si>
    <t>5204</t>
  </si>
  <si>
    <t>Műk.c. előzetesen felszámított ÁFA</t>
  </si>
  <si>
    <t>21</t>
  </si>
  <si>
    <t>351</t>
  </si>
  <si>
    <t>5205</t>
  </si>
  <si>
    <t>Fizetendő ÁFA</t>
  </si>
  <si>
    <t>22</t>
  </si>
  <si>
    <t>352</t>
  </si>
  <si>
    <t>Kamatkiadások   (24+25)</t>
  </si>
  <si>
    <t>23</t>
  </si>
  <si>
    <t>353</t>
  </si>
  <si>
    <t>ebből ÁÁHT-n belül</t>
  </si>
  <si>
    <t>24</t>
  </si>
  <si>
    <t>5207</t>
  </si>
  <si>
    <t>ebből fedezeti ügyletek kamatkiadásai</t>
  </si>
  <si>
    <t>25</t>
  </si>
  <si>
    <t>5208</t>
  </si>
  <si>
    <t>Egyéb pénzügyi műveletek kiadásai(27+28+29)</t>
  </si>
  <si>
    <t>26</t>
  </si>
  <si>
    <t>354</t>
  </si>
  <si>
    <t>ebből valuta, deviza eszközök realizált árf. Veszt.</t>
  </si>
  <si>
    <t>27</t>
  </si>
  <si>
    <t>5210</t>
  </si>
  <si>
    <t>ebből hitelviszonyt megtestesítő értékp. Árf. Különbözet</t>
  </si>
  <si>
    <t>28</t>
  </si>
  <si>
    <t>5211</t>
  </si>
  <si>
    <t>ebből deviza kötelezettségek realizált árf. Veszt.</t>
  </si>
  <si>
    <t>29</t>
  </si>
  <si>
    <t>5212</t>
  </si>
  <si>
    <t>Egyéb dologi kiadások</t>
  </si>
  <si>
    <t>30</t>
  </si>
  <si>
    <t>355</t>
  </si>
  <si>
    <t>KLF. Befizetések, egyéb dologi kiadások (21+22+23+26+30)</t>
  </si>
  <si>
    <t>31</t>
  </si>
  <si>
    <t>DOLOGI KIADÁSOK  (4+7+17+20+31)</t>
  </si>
  <si>
    <t>32</t>
  </si>
  <si>
    <t>reprezentáció (K123)</t>
  </si>
  <si>
    <t>Kiadásainak és bevételeinek fő összesítője költségvetési évet követő három év</t>
  </si>
  <si>
    <t>17.melléklet</t>
  </si>
  <si>
    <t>Általánostartalék</t>
  </si>
  <si>
    <t>kötött, - céltartalék</t>
  </si>
  <si>
    <t>1. sz. melléklet</t>
  </si>
  <si>
    <t>VPG-7-2-1 Külterületi utak fejlesztése Szentgyörgyvár - Sármellék</t>
  </si>
  <si>
    <t>EFOP-1.5.2-16-2017 Humán szolgáltatások fejlesztése Sármellék térségben</t>
  </si>
  <si>
    <t>EFOP-3.7.3.-16 Az egész életen át tartó tanuláshoz hozzáférés biztosítása Sármellék és Alsópáhok településeken</t>
  </si>
  <si>
    <t>EU-s  projekt azonosítója:</t>
  </si>
  <si>
    <t>2017 évi állami visszafizetése</t>
  </si>
  <si>
    <t>Sármellék  öszesen</t>
  </si>
  <si>
    <t>Önkormányzati hivatal működésének általános támogatása</t>
  </si>
  <si>
    <t>B111</t>
  </si>
  <si>
    <t>Települési önkormányzatok egyes köznevelési feladatainak támogatás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</si>
  <si>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</si>
  <si>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</si>
  <si>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</si>
  <si>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</t>
  </si>
  <si>
    <t>B114</t>
  </si>
  <si>
    <t>Kiegészítő támogatás</t>
  </si>
  <si>
    <t>Bérkompenzáció ÁMK</t>
  </si>
  <si>
    <t>B115</t>
  </si>
  <si>
    <t>Bérkompenzáció Közös Hivatal</t>
  </si>
  <si>
    <t>Szociális ágazati és kiegészítő pótlék ÁMK</t>
  </si>
  <si>
    <t>Mezőőri támogatás</t>
  </si>
  <si>
    <t>B16-04</t>
  </si>
  <si>
    <t>B16-06</t>
  </si>
  <si>
    <t>B16-05</t>
  </si>
  <si>
    <t>Rendkívüli gyermekvédelmi tám.</t>
  </si>
  <si>
    <t>B16-02</t>
  </si>
  <si>
    <t>EU-tól kapott támogatások</t>
  </si>
  <si>
    <t>EU Támogatások összesen:</t>
  </si>
  <si>
    <t>Intézményi működési</t>
  </si>
  <si>
    <t>Nettó</t>
  </si>
  <si>
    <t>Bruttó</t>
  </si>
  <si>
    <t>Temető fenntartási ktg.</t>
  </si>
  <si>
    <t>nettó</t>
  </si>
  <si>
    <t>Garázsbérlet</t>
  </si>
  <si>
    <t>B402</t>
  </si>
  <si>
    <t>Lakbér</t>
  </si>
  <si>
    <t>Háziorvosi rezsi hozzájárulás</t>
  </si>
  <si>
    <t>B406</t>
  </si>
  <si>
    <t>Földbérleti díjak</t>
  </si>
  <si>
    <t>Közműfejlesztési hozzáj.</t>
  </si>
  <si>
    <t>Sírhely megváltás</t>
  </si>
  <si>
    <t xml:space="preserve">Helység bérleti díjak </t>
  </si>
  <si>
    <t>Óvodai étkeztetés</t>
  </si>
  <si>
    <t>B405</t>
  </si>
  <si>
    <t>Iskolai étkeztetés</t>
  </si>
  <si>
    <t>Szocétkeztetés</t>
  </si>
  <si>
    <t>Koncessziós díj Iv .név ÁFA</t>
  </si>
  <si>
    <t>levonható ÁFA  étkeztetés, tisztítószer csak iskola+óvoda</t>
  </si>
  <si>
    <t>Visszaigényelhető ÁFA</t>
  </si>
  <si>
    <t>B407</t>
  </si>
  <si>
    <t>Előző évi visszaigényelhető ÁFA</t>
  </si>
  <si>
    <t>összes visszaigényelhető ÁFA</t>
  </si>
  <si>
    <t>ZSA osztalék</t>
  </si>
  <si>
    <t>B404-05</t>
  </si>
  <si>
    <t xml:space="preserve">Hévíz </t>
  </si>
  <si>
    <t>B404-02</t>
  </si>
  <si>
    <t>Koncessziós díj</t>
  </si>
  <si>
    <t>Westel torony</t>
  </si>
  <si>
    <t>Felhalmozási és tőke jellegű bevétel összesen:</t>
  </si>
  <si>
    <t>pénzmaradvány igénybevétele:</t>
  </si>
  <si>
    <t>B8131</t>
  </si>
  <si>
    <t>pénztár</t>
  </si>
  <si>
    <t>elszámolási szlák összesen</t>
  </si>
  <si>
    <t>lakás bevétel</t>
  </si>
  <si>
    <t>B52</t>
  </si>
  <si>
    <t>Lakáseladás részletének bevétele</t>
  </si>
  <si>
    <t>Mándi Imréné</t>
  </si>
  <si>
    <t xml:space="preserve">Nagy Orsolya 570600/év </t>
  </si>
  <si>
    <t xml:space="preserve">Bittó Katalin </t>
  </si>
  <si>
    <t>építmény</t>
  </si>
  <si>
    <t>B34-01</t>
  </si>
  <si>
    <t>B34-03</t>
  </si>
  <si>
    <t>iparűzés</t>
  </si>
  <si>
    <t>B351-07</t>
  </si>
  <si>
    <t>talajtrh.</t>
  </si>
  <si>
    <t>B36-15</t>
  </si>
  <si>
    <t>gépjármű</t>
  </si>
  <si>
    <t>B354-01</t>
  </si>
  <si>
    <t>termőf. Bérbead.</t>
  </si>
  <si>
    <t>B311-03</t>
  </si>
  <si>
    <t>Jövedéki adó</t>
  </si>
  <si>
    <t>B36-12</t>
  </si>
  <si>
    <t>idegenforg.</t>
  </si>
  <si>
    <t>B355-08</t>
  </si>
  <si>
    <t>egyéb bev.:</t>
  </si>
  <si>
    <t>mezőőri jár.</t>
  </si>
  <si>
    <t>Önkormányzat sajátos működési bevételei összesen:</t>
  </si>
  <si>
    <t xml:space="preserve">Összesen: </t>
  </si>
  <si>
    <t xml:space="preserve">Állami támogatás </t>
  </si>
  <si>
    <t xml:space="preserve">Kiadás </t>
  </si>
  <si>
    <t>különbség</t>
  </si>
  <si>
    <t>Óvoda</t>
  </si>
  <si>
    <t>Óvodai állami támogatás összesen</t>
  </si>
  <si>
    <t>Bölcsődei állami támogatás összesen</t>
  </si>
  <si>
    <t>Bölcsőde és Óvodai állami támogatások összesen</t>
  </si>
  <si>
    <t>Kulturális illetménypótlék</t>
  </si>
  <si>
    <t>Könyvtári, közművelődési feladatok támogatása mindösszesen</t>
  </si>
  <si>
    <t>Bérleti díj:Nyitok</t>
  </si>
  <si>
    <t>Helység bérleti díjak</t>
  </si>
  <si>
    <t>ÁMK bevételek mindösszesen</t>
  </si>
  <si>
    <t>ÁMK kiadások mindösszesen</t>
  </si>
  <si>
    <t>Különbség</t>
  </si>
  <si>
    <t>Bevétel</t>
  </si>
  <si>
    <t>Önk.hiv. működési támogatás</t>
  </si>
  <si>
    <t xml:space="preserve">pénztár: </t>
  </si>
  <si>
    <t>bankszámla</t>
  </si>
  <si>
    <t>KÖLTSÉGVETÉSI BEVÉTELEK  ÖSSZESEN:</t>
  </si>
  <si>
    <t>kiadások</t>
  </si>
  <si>
    <t>Különbözet</t>
  </si>
  <si>
    <t>B75</t>
  </si>
  <si>
    <t>2018. évi állami támogatás visszafizetése</t>
  </si>
  <si>
    <t>2019. Évi költségvetés</t>
  </si>
  <si>
    <t>Felhasználás
2019.XII.31-ig</t>
  </si>
  <si>
    <t>hűtőszekrény vásárlása (K64)</t>
  </si>
  <si>
    <t>Patriot Burst 120GB SSD PC 8 db számítógépre</t>
  </si>
  <si>
    <t>Közös Hivatal beszerzése Összesen:</t>
  </si>
  <si>
    <t>Sármellék Zalavár Kármentesítő Társulás</t>
  </si>
  <si>
    <t>Keszthely város környéki Önkormányztok Ügyelet és orvosi ügyelet éves díja</t>
  </si>
  <si>
    <t>Keszthelyi Kistérségi támogatás ( belső ellenőrzési hozzájárulás)</t>
  </si>
  <si>
    <t>Egyéb alapítványok támogatása</t>
  </si>
  <si>
    <t>Erdős Bt (Iskola e.ü.) 8400 Ft/hó</t>
  </si>
  <si>
    <t>TOP ipari park pályázat</t>
  </si>
  <si>
    <t>ÁMK összesen</t>
  </si>
  <si>
    <t>Foglalkoztatottak személyi juttatásai (K1113)</t>
  </si>
  <si>
    <t>Megbízási díj december havi: Takácsné Ilku Anita (K122)</t>
  </si>
  <si>
    <t xml:space="preserve">SZEMÉLYI JUTTATÁSOK ÉS MUNKAADÓKAT TERHELŐ JÁRULÉKOK ÉS SZOCIÁLIS HOZZÁJÁRULÁSI ADÓ ÖSSZESEN </t>
  </si>
  <si>
    <t xml:space="preserve">Szakmai anyagok beszerzése </t>
  </si>
  <si>
    <t>papír, írószer, fénymásoló papír, nyomtatvány+ SHIP irodaköltségek</t>
  </si>
  <si>
    <t xml:space="preserve">tintaparton, toner SHIP iroda költségei </t>
  </si>
  <si>
    <t>tisztítószer ÁMK+SHIP iroda</t>
  </si>
  <si>
    <t>Tisztasági festéséhez anyagok beszerzése</t>
  </si>
  <si>
    <t>12 db tálca, 6 db kancsó beszerzése</t>
  </si>
  <si>
    <t xml:space="preserve">kávés csésze készletek  </t>
  </si>
  <si>
    <t xml:space="preserve">2 dl-es üvegpoharak  100 db </t>
  </si>
  <si>
    <t>programok, rendezvények költségei:koszorú, oklevél, könyvjutalom, dekorációk, liszt beszerzése  kenyérszenteléshez, könyvtári foglalkozásokhoz anyagbeszerzések</t>
  </si>
  <si>
    <t xml:space="preserve"> díszfák, virágosítás, játéktároló kosarak, melléképület betonozása </t>
  </si>
  <si>
    <t xml:space="preserve">Vizdíj, gázdíj, áramdíj </t>
  </si>
  <si>
    <t>üzemorvosi díj (K336)</t>
  </si>
  <si>
    <t>Üst Gyula heti 6 alkalom 4500 Ft/37 iskolai hét 6 óra (K337)</t>
  </si>
  <si>
    <t>Színjátszó csoport éves működési díjA: Lasics Henrietta  (K337)</t>
  </si>
  <si>
    <t xml:space="preserve">programok, rendezvények költségei: fellépők díja, gyerekelőadások díja, zenekari szolgáltatások, Őrség messemondó díja </t>
  </si>
  <si>
    <t>tűzvédelmi és baleseti oktatás: Vörös Tibor (K337)</t>
  </si>
  <si>
    <t>munkahelyi kockázati tényezők szabályzata: Vörös Tibor  (K337)</t>
  </si>
  <si>
    <t>rágcsálóírtás (K337)</t>
  </si>
  <si>
    <t>teleszkópos pókhálózó (K64)</t>
  </si>
  <si>
    <t>teleszkópos ablaklehúzó szett (K64)</t>
  </si>
  <si>
    <t>ragasztó pisztoly  (K64)</t>
  </si>
  <si>
    <t>bölcsődei beruházások:</t>
  </si>
  <si>
    <t>homokozóra takaróponyva (64)</t>
  </si>
  <si>
    <t>munkaruha 3 fő részére</t>
  </si>
  <si>
    <t>tisztasági festés</t>
  </si>
  <si>
    <t>üzemorvosi díj  (K336)</t>
  </si>
  <si>
    <t>munkahelyi tűzvédelmi és baleseti oktatás: Vörös Tibor  (K337)</t>
  </si>
  <si>
    <t>Könyvtár festéséhez anyagok beszerzése</t>
  </si>
  <si>
    <t>2019. évi</t>
  </si>
  <si>
    <t>Intézményi bevételek</t>
  </si>
  <si>
    <t>2018. december 31-i pénzkészlet összesen:</t>
  </si>
  <si>
    <t>pénztár 2018.december 31-i egyenlege</t>
  </si>
  <si>
    <t>költségvetési elszámolási számla 2018. december 31-i egyenlege</t>
  </si>
  <si>
    <t>Önk.hiv.KIEGYENLÍTŐ BÉRRENDEZÉS támogatás</t>
  </si>
  <si>
    <t>2018. december 31.-i pénzmaradvány</t>
  </si>
  <si>
    <t>Megbízási díj (K122)</t>
  </si>
  <si>
    <t>Információs biztonsági referens éves díj:Cloudworks Kft</t>
  </si>
  <si>
    <t>Adatvédelmi tevékenység:CloudFactory Internet_kft.</t>
  </si>
  <si>
    <t>Szabályzatok elkészítése (2 Önk +intézm.+ROMA Önk.)(K337)</t>
  </si>
  <si>
    <t xml:space="preserve">szerver  </t>
  </si>
  <si>
    <t>Beruházások mindösszesen (K6)</t>
  </si>
  <si>
    <t>14. melléklet</t>
  </si>
  <si>
    <t xml:space="preserve">Személyi juttatásai és munkaadókat terhelő járulékai intézményi és összesített kimutatása </t>
  </si>
  <si>
    <t>066020 községgazdálkodás</t>
  </si>
  <si>
    <t>041233 közfoglalkoz-tatás</t>
  </si>
  <si>
    <t>096015    iskolai étkeztetés</t>
  </si>
  <si>
    <t>82091       EFOP 1.5.2 pályázat</t>
  </si>
  <si>
    <t>82092       EFOP 4.1.7 pályázat</t>
  </si>
  <si>
    <t>82093        EFOP 3.7.3 pályázat</t>
  </si>
  <si>
    <t>önk.ig.tev.</t>
  </si>
  <si>
    <t>Törvény szerinti illetmények, munkabérek</t>
  </si>
  <si>
    <t>1101</t>
  </si>
  <si>
    <t>Céljuttatás, projektprémium</t>
  </si>
  <si>
    <t>1103</t>
  </si>
  <si>
    <t>Béren kívüli juttatások</t>
  </si>
  <si>
    <t>1107</t>
  </si>
  <si>
    <t>Közlekedési költségtérítés</t>
  </si>
  <si>
    <t>1109</t>
  </si>
  <si>
    <t>Foglalkoztatottak egyéb személyi juttatásai</t>
  </si>
  <si>
    <t>1113</t>
  </si>
  <si>
    <t xml:space="preserve"> választott tisztségviselők juttatásai</t>
  </si>
  <si>
    <t>121</t>
  </si>
  <si>
    <t>munkavégzésre irányuló egyéb jogv.megbízásidíjai)</t>
  </si>
  <si>
    <t>122</t>
  </si>
  <si>
    <t>egyéb külső személyi juttatás</t>
  </si>
  <si>
    <t>123</t>
  </si>
  <si>
    <t xml:space="preserve">Személyi juttatások összesen </t>
  </si>
  <si>
    <t>Szociális hozzájárulási adó</t>
  </si>
  <si>
    <t>K2</t>
  </si>
  <si>
    <t>Munkáltatói SZJA</t>
  </si>
  <si>
    <t xml:space="preserve">Munkaadókat terhelő járulékok  és szociális hozzárjárulási adó összesen </t>
  </si>
  <si>
    <t xml:space="preserve">Személyi juttatások és munkaadókat terhelő járulékok és szoc.hj.adó összesen </t>
  </si>
  <si>
    <t>62 707 442</t>
  </si>
  <si>
    <t>29 120 300</t>
  </si>
  <si>
    <t>51 468 697</t>
  </si>
  <si>
    <t>2 228 820</t>
  </si>
  <si>
    <t>ÁLLAMI TÁMOGATÁSOK ÉS KIEGÉSZÍTŐ TÁMOGATÁSOK MINDÖSSZESEN</t>
  </si>
  <si>
    <t>Közfoglalkoztatottak támogatása</t>
  </si>
  <si>
    <t>Védőnői támogatás OEP támogatás (iskolaeü. 8400 Ft/hó, védőnő 407200 Ft/hó)</t>
  </si>
  <si>
    <t xml:space="preserve">Ifjúság garancia program támogatása 6 hónapig </t>
  </si>
  <si>
    <t xml:space="preserve">B21 </t>
  </si>
  <si>
    <t>top 1.4 óvoda pályázat</t>
  </si>
  <si>
    <t xml:space="preserve">TOP ipari park pályázat </t>
  </si>
  <si>
    <t>b75</t>
  </si>
  <si>
    <t>Támogatások mindösszesen</t>
  </si>
  <si>
    <t>Dr. Erdős Júlianna 106000/hó</t>
  </si>
  <si>
    <t>magánszemélyek kommunális adója</t>
  </si>
  <si>
    <t xml:space="preserve"> pótlék</t>
  </si>
  <si>
    <t xml:space="preserve">Kiadásainak és bevételeinek fő összesítője </t>
  </si>
  <si>
    <t>Tartalék (kötött, kötelezettségekkel terhelt)</t>
  </si>
  <si>
    <t xml:space="preserve">közművelődés -ifjúságvéd.program </t>
  </si>
  <si>
    <t>5. számú melléklet</t>
  </si>
  <si>
    <t>11.melléklet</t>
  </si>
  <si>
    <t>12. melléklet</t>
  </si>
  <si>
    <t>13. melléklet</t>
  </si>
  <si>
    <t>6. számú melléklet</t>
  </si>
  <si>
    <t>2021.</t>
  </si>
  <si>
    <t>2019. előtti kifizetés</t>
  </si>
  <si>
    <t xml:space="preserve">Támogatásértékű működési bevételek összesen </t>
  </si>
  <si>
    <t xml:space="preserve">    091140 Óvodai nevelés</t>
  </si>
  <si>
    <t>3811031     051030  Települési hulladék begyűjt.száll.</t>
  </si>
  <si>
    <t>062020 Településfejlesztési pojektek, támogatása</t>
  </si>
  <si>
    <t>5220011     045160    Közutak, hidak üzemeltetése</t>
  </si>
  <si>
    <t xml:space="preserve">    045161    Kerékpárútak üzemeltetése, fenntartása</t>
  </si>
  <si>
    <t xml:space="preserve">        096015 Gyermekétkeztetés köznevelési intézményben</t>
  </si>
  <si>
    <t xml:space="preserve">        104031 Gyermekek bölcsődei ellátása</t>
  </si>
  <si>
    <t xml:space="preserve">        104035 Gyermekek bölcsődei étkeztetése</t>
  </si>
  <si>
    <t xml:space="preserve">        104037 Intézményen kívüli gyerek- étkeztetés</t>
  </si>
  <si>
    <t>8130001        066010      Zöldterület-kezelés</t>
  </si>
  <si>
    <t>8411261        011130     Önkormányzati jogalkotás</t>
  </si>
  <si>
    <t>8414021        064010       Közvilágítás</t>
  </si>
  <si>
    <t>8414031        066020            községgazdálkodás</t>
  </si>
  <si>
    <t>8621011 072111       Háziorvosi alapellátás</t>
  </si>
  <si>
    <t xml:space="preserve"> 072112       Háziorvosi ügyelet</t>
  </si>
  <si>
    <t xml:space="preserve">  0732311   fogorvosi alapellátás</t>
  </si>
  <si>
    <t xml:space="preserve">  0732312    fogorvosi ügyelet</t>
  </si>
  <si>
    <t>8690411       074031        Család és nővédelem</t>
  </si>
  <si>
    <t>8899211       107051    szociális étkezés</t>
  </si>
  <si>
    <t>082091 közművelődés - közösségi és társadalmi fejlesztés</t>
  </si>
  <si>
    <t>082092 közművelődés-hagyományos közösségi</t>
  </si>
  <si>
    <t>082093 közművelődés-egész életen át tartó</t>
  </si>
  <si>
    <t xml:space="preserve">    041233         közhasznú foglalkoztatás</t>
  </si>
  <si>
    <t xml:space="preserve">    042120         mezőgazd.támogatás</t>
  </si>
  <si>
    <t xml:space="preserve">    042130         növényter-mesztés szolg.</t>
  </si>
  <si>
    <t>9311021         081030         Sportlétesítmények működtetése</t>
  </si>
  <si>
    <t xml:space="preserve">   013320     Köztemető fenntartása</t>
  </si>
  <si>
    <t xml:space="preserve">2020 ÉVI KÖLTSÉGVETÉS  </t>
  </si>
  <si>
    <t>2020 évi eredeti előirányzat (Ft)</t>
  </si>
  <si>
    <t xml:space="preserve">2020. ÉVI KÖLTSÉGVETÉS  </t>
  </si>
  <si>
    <t>Idősek rendkívüli települési támogatás 367* 7000/fő</t>
  </si>
  <si>
    <t>Gyerekek rendkívüli települési támogatás  268 fő * 7500/fő</t>
  </si>
  <si>
    <t>Keszthelyi és Környéke többcélú Kistérségi Társulás  házi segítségnyújtás, család és gyermekjóléti szolgáltatás támogatás</t>
  </si>
  <si>
    <t>TÖOSZ  tagdíj</t>
  </si>
  <si>
    <t>Keszthelyi és Környéke többcélú Kistérségi Társulás  tagdíj</t>
  </si>
  <si>
    <t>Fogászati tagdíj</t>
  </si>
  <si>
    <t>Hévíz éves tagdíj</t>
  </si>
  <si>
    <t>Da Bibere Zalai Borlovagrend Keszthely támogatása</t>
  </si>
  <si>
    <t>Keszthelyi Yacht Club támogatása</t>
  </si>
  <si>
    <t>Zala Megye Polgári védelmi Szövetség Zalaegerszeg támogatása</t>
  </si>
  <si>
    <t xml:space="preserve">2020 évi </t>
  </si>
  <si>
    <t>2020. évi eredeti előirányzat (eFt)</t>
  </si>
  <si>
    <t>BÖLCSŐDE  2020. évi KÖLTSÉGVETÉSI KIADÁSAI ÖSSZESEN</t>
  </si>
  <si>
    <t>törölköző</t>
  </si>
  <si>
    <t>kávéspoharak beszerzése</t>
  </si>
  <si>
    <t>előke beszerzése</t>
  </si>
  <si>
    <t xml:space="preserve">élelmiszer beszerzések </t>
  </si>
  <si>
    <t>korláthoz anyagbeszerzések</t>
  </si>
  <si>
    <t>Játékok beszerzése bölcsőde</t>
  </si>
  <si>
    <t>postaköltségek   (K337)</t>
  </si>
  <si>
    <t>Wifi erősítő beszerzése (K63)</t>
  </si>
  <si>
    <t>Wifi erőstő ÁFA (K67)</t>
  </si>
  <si>
    <t>Informatikai beszerzések összesen: (K63+67)</t>
  </si>
  <si>
    <t>Falipolc (K64)</t>
  </si>
  <si>
    <t>Szőnyeg 2x3 méteres (K64)</t>
  </si>
  <si>
    <t>BERUHÁZÁSOK MINDÖSSZESEN</t>
  </si>
  <si>
    <t>11.a melléklet</t>
  </si>
  <si>
    <t>ÓVODA KÖLTSÉGVETÉSI KIADÁSAI ÖSSZESEN</t>
  </si>
  <si>
    <t>Jubilumi jutalom 25 éves Zsiborás Katalin (K1106)</t>
  </si>
  <si>
    <t>hosszabító, viaszkos vászon, lábtörlő, öntözőkanna</t>
  </si>
  <si>
    <t>homok , virágföld</t>
  </si>
  <si>
    <t>játékok beszerzése</t>
  </si>
  <si>
    <t>hinta köré kerítés anyagok</t>
  </si>
  <si>
    <t xml:space="preserve">munkaruha 6 fő részére </t>
  </si>
  <si>
    <t>kés, késszeletelő deszka</t>
  </si>
  <si>
    <t>érintésvédelmi vizsgálat  (K337)</t>
  </si>
  <si>
    <t>bankköltségek, postaköltségek   (K337)</t>
  </si>
  <si>
    <t>Udvari árnyékolás (K64)</t>
  </si>
  <si>
    <t>Függönyök (K64)</t>
  </si>
  <si>
    <t>színes nyomtató (K64)</t>
  </si>
  <si>
    <t>Akkus elemek és töltő  (K64)</t>
  </si>
  <si>
    <t>hangfalak (2 db) (K64)</t>
  </si>
  <si>
    <t>melegítő lábos (2 db) (K64)</t>
  </si>
  <si>
    <t>Beruházási kiadások mindösszesen (K63+K64+K67)</t>
  </si>
  <si>
    <t>2020 évi költségvetés</t>
  </si>
  <si>
    <t>11 b. melléklet</t>
  </si>
  <si>
    <t>Közművelődés 2020. évi KÖLTSÉGVETÉSI KIADÁSAI ÖSSZESEN</t>
  </si>
  <si>
    <t>Tiszteletdíj: Bakos Sándor (K122) (Király Gyula)</t>
  </si>
  <si>
    <t>Szakmai anyagok beszerzése (Sötye)</t>
  </si>
  <si>
    <t>Egyéb anyagok beszerzése (Sötye, Braccs, Otelló)</t>
  </si>
  <si>
    <t>társasjátékok</t>
  </si>
  <si>
    <t>festéshez anyagbeszerzések</t>
  </si>
  <si>
    <t>Darts készlet 2 db</t>
  </si>
  <si>
    <t>Hálózati router tp linkhez szükséges kábelek és elemek:Extreme Digital Zrt.</t>
  </si>
  <si>
    <t>Hangosító berendezésekhez csatlakozók, átalakítók, audió kábelek:Muziker Bratislava</t>
  </si>
  <si>
    <t xml:space="preserve">Szatmári férfi viselet 2db, szatmári női viselet 6 db, sármelléki női viselet 6 db (Csóri Sándor pályázat) varrása:Bertalanné Varga Ildikó </t>
  </si>
  <si>
    <t>ARTISJUS egész éves rendezvény díja (K322)</t>
  </si>
  <si>
    <t>Bérleti díj (légvár bérlése) (K333)</t>
  </si>
  <si>
    <t xml:space="preserve"> néptánc felléspések rendezvényeken  (K337)</t>
  </si>
  <si>
    <t>Muharay Elemér Népművészeti Szövetség tagdíja (K337)</t>
  </si>
  <si>
    <t>Csóri Sándor pályázat (népviseletek készítése, stb) (K337)</t>
  </si>
  <si>
    <t>Bánáti György  könyvtári szolgáltatás, közműv.tev. (K337) (átkerül a Sármelléki Önkormányzat közművelődési tevékenységéhez)</t>
  </si>
  <si>
    <t>Csóri Sándor pályázat elszámolása: Zene és táncművészeti tevékenység: Üst Gyula</t>
  </si>
  <si>
    <t>Csóri Sándor pályázat elszámolása: Táncoktatás:Szabó Csaba</t>
  </si>
  <si>
    <t>Csóri Sándor pályázat elszámolása: Előadó művészeti tevékenység Horváth László zenekar tiszteletdíja</t>
  </si>
  <si>
    <t>Informatikai eszközök utáni szállítási költségek: Extreme Digital Zrt.</t>
  </si>
  <si>
    <t>Hangosító berendezésekhez csatlakozók, átalakítók, audió kábelek utáni szállítási költségek:Muziker Bratislava</t>
  </si>
  <si>
    <t>Tüskevár Egyesület  Ajkán tartandó rendezvény személyszállítás díja (K337)</t>
  </si>
  <si>
    <t>mentőláda (64)</t>
  </si>
  <si>
    <t>Katlan, főző üst, üst ház, gázrózsa (64)</t>
  </si>
  <si>
    <t>csocsó és ping-pong kellékek (64)</t>
  </si>
  <si>
    <t>EPSONL120 külső tintatartályos nyomtató vásárlása (K64)</t>
  </si>
  <si>
    <t>Függöny + karnis (K64)</t>
  </si>
  <si>
    <t>Akkus elemek és töltő (K64)</t>
  </si>
  <si>
    <t>Vasalódeszka (K64)</t>
  </si>
  <si>
    <t>Billentős szemeteskuka 3 db  (K64)</t>
  </si>
  <si>
    <t>Mikrofon 2 db  (K64)</t>
  </si>
  <si>
    <t>Dybox (K64)</t>
  </si>
  <si>
    <t>Informatikai eszközök beszerzése:Ihgálózati ROUTER TP-link   (K63) (extreme digital)</t>
  </si>
  <si>
    <t>Informatikai eszközök összesen (K63)</t>
  </si>
  <si>
    <t>11.c. melléklet</t>
  </si>
  <si>
    <t>Zöld Gólya Óvoda és Bölcsőde ÁMK bevétele</t>
  </si>
  <si>
    <t>Ifjúsági Garancia GINOP 5.2.1-14-2015-00001 bérköltség támogatás</t>
  </si>
  <si>
    <t>ZM Kormányhivataltól 2019.05.01-08.31-ig: Varga Bálint</t>
  </si>
  <si>
    <t>Egyéb működési bevételek (áramdíj visszatérítés)</t>
  </si>
  <si>
    <t>Egyéb működési bevételek (kamatbevételek)</t>
  </si>
  <si>
    <t>2018. december 31-i helyesbített pénzmaradvány:</t>
  </si>
  <si>
    <t>2020. ÉVI ELŐIRÁNYZAT-FELHASZNÁLÁSI TERV</t>
  </si>
  <si>
    <t>Sármelléki Közös Hivatal 2020. évi kiadásai mindösszesen</t>
  </si>
  <si>
    <t>13. a. számú melléklet</t>
  </si>
  <si>
    <t xml:space="preserve">Egyéb külső személyi juttatások (K123) </t>
  </si>
  <si>
    <t>MUNKAADÓKAT TERHELŐ JÁRULÉKOK (K2)</t>
  </si>
  <si>
    <t>SZEMÉLYI JUTTATÁSOK MINDÖSSZESEN (K1) + MUNKAADÓKAT TERHELŐ JÁRULÉKOK ÉS SZOCIÁLIS HOZZÁJÁRULÁSI ADÓ (K2)</t>
  </si>
  <si>
    <t>EP választás  kiadásai(K312)</t>
  </si>
  <si>
    <t>2019.10.13-i  önk.választás kiadásai (K312)</t>
  </si>
  <si>
    <t>IT rendszergazdai szolgáltatás:TC Informatika</t>
  </si>
  <si>
    <t>E-szoftverfejlesztő Kft (kataszteri nyilvántartás)</t>
  </si>
  <si>
    <t>Fiók bérleti díja:posta 8250/név</t>
  </si>
  <si>
    <t>Szakmai tev.segítő szolg.:továbbképzési díjak (K336)</t>
  </si>
  <si>
    <t>Szakmai tev.segítő szolg.összesen (K336)</t>
  </si>
  <si>
    <t>tisztviselői normatíva :Nemzeti Közszolgálati Egyetem</t>
  </si>
  <si>
    <t>munkavédelmi szabályzatok elkészítése:Vörös Tibor</t>
  </si>
  <si>
    <t xml:space="preserve"> e-hiteles térképmásolat költségei (K337)</t>
  </si>
  <si>
    <t>Egyéb szolgálatatások (EP választási költségek) (K337)</t>
  </si>
  <si>
    <t>Egészségügyi szolgáltatás költsége (K337)</t>
  </si>
  <si>
    <t xml:space="preserve">Rackszekrény </t>
  </si>
  <si>
    <t>Szünetmentes tápegység a rackszekrénybe</t>
  </si>
  <si>
    <t xml:space="preserve">Router+WIFI </t>
  </si>
  <si>
    <t xml:space="preserve">számítástechnikai eszközök </t>
  </si>
  <si>
    <t>Informatikai eszközök beszerzése (K63)</t>
  </si>
  <si>
    <t>bankjegyvizsgáló anyakönyvi kivonathoz (K64)</t>
  </si>
  <si>
    <t>Egyéb tárgyi eszközök beszerzése (K64)</t>
  </si>
  <si>
    <t>Egyéb működési célú kiadások államháztartáson kívülre (K512)</t>
  </si>
  <si>
    <t>Nagykanizsai Tankerületi Központ részére támogatás</t>
  </si>
  <si>
    <t>Sármelléki Gyermekekért Alapítvány részére támogatás (menő menza pályázat megelőlegezése)</t>
  </si>
  <si>
    <t>K512</t>
  </si>
  <si>
    <t xml:space="preserve">Sármellékért Közhasznú Nonprofit Kft. </t>
  </si>
  <si>
    <t>2020. ÉVI KÖLTSÉGVETÉS</t>
  </si>
  <si>
    <t>Kölcsön nyújtása áht-N KÍVÜLRE</t>
  </si>
  <si>
    <t>d</t>
  </si>
  <si>
    <t>Államháztartáson belüli megelőlegezések visszafizetése</t>
  </si>
  <si>
    <t>Államháztartáson belüli megelőlegezések</t>
  </si>
  <si>
    <t>2020. ÉVI Sármellék Önk,</t>
  </si>
  <si>
    <t xml:space="preserve">2020.  ÉVI KÖLTSÉGVETÉS  </t>
  </si>
  <si>
    <t>eredeti előirányzat (Ft)</t>
  </si>
  <si>
    <t>2020 ÉVI ELŐIRÁNYZAT-FELHASZNÁLÁSI ütemTERV</t>
  </si>
  <si>
    <t>államháztartáson belüli megelőlegezések</t>
  </si>
  <si>
    <t xml:space="preserve"> 051020  Szennyező désmentesítési tev.</t>
  </si>
  <si>
    <t>16.a. számú melléklet</t>
  </si>
  <si>
    <t xml:space="preserve">2020.  ÉVI KÖLTSÉGVETÉS </t>
  </si>
  <si>
    <t>2020. évi költségvetés</t>
  </si>
  <si>
    <t>082092 Közművelődés-</t>
  </si>
  <si>
    <t>074031 védőnő</t>
  </si>
  <si>
    <t>16.b. számú melléklet</t>
  </si>
  <si>
    <t>2019év</t>
  </si>
  <si>
    <t xml:space="preserve">Kerékpárút pályázat </t>
  </si>
  <si>
    <t>b25</t>
  </si>
  <si>
    <t>SÁRMELLÉK KÖZSÉG ÖNKORMÁNYZAT 2020. ÉVI ÁLLAMI TÁMOGATÁSA                                           16.d. melléklet</t>
  </si>
  <si>
    <t>2019. év</t>
  </si>
  <si>
    <t>étkezések</t>
  </si>
  <si>
    <t>helyesbített pénzmaradvány</t>
  </si>
  <si>
    <t>Sármellék Község Önkormányzat 2020. évi intézményi, működési és felhalmozási bevételei                    16.c. melléklet</t>
  </si>
  <si>
    <t>2020. Évi költségvetés</t>
  </si>
  <si>
    <t xml:space="preserve"> 2020. évi költségevetés</t>
  </si>
  <si>
    <t>Államháztartáson belüli megelőlegezés visszafizetése</t>
  </si>
  <si>
    <t xml:space="preserve">Óvoda felújításai pályázat </t>
  </si>
  <si>
    <t xml:space="preserve">TOP. Művelődési ház fejlesztési energetikai korszerűsítése </t>
  </si>
  <si>
    <t>TOP. Ált.isk. fejlesztési energetikai korszerűsítése</t>
  </si>
  <si>
    <t xml:space="preserve">EFOP 1.5.2. Humán szolgáltatások fejlesztése pályázat </t>
  </si>
  <si>
    <t xml:space="preserve">VP6 Külterületi utak  pályázat </t>
  </si>
  <si>
    <t xml:space="preserve">TOP 1.2.1. Kerékpárút építés pályázat  </t>
  </si>
  <si>
    <t xml:space="preserve">2020 év Költségvetés </t>
  </si>
  <si>
    <t>Szolgálati lakás felújítás, lakásszámla</t>
  </si>
  <si>
    <t xml:space="preserve">2020. évi eredeti előirányzat </t>
  </si>
  <si>
    <t>2020. év utáni szükséglet
(6=2 - 4 - 5)</t>
  </si>
  <si>
    <t>udvari árnyékolás (K64)</t>
  </si>
  <si>
    <t>Színes nyomtató (K64)</t>
  </si>
  <si>
    <t>2 db hangfal (K64)</t>
  </si>
  <si>
    <t>melegítő lábos 2 db (K64)</t>
  </si>
  <si>
    <t>wifi erősítő (K63)</t>
  </si>
  <si>
    <t>kerékpár tároló (K64)</t>
  </si>
  <si>
    <t>informatikai eszközök beszerzése</t>
  </si>
  <si>
    <t>11. d. számú melléklet</t>
  </si>
  <si>
    <t xml:space="preserve">eredeti </t>
  </si>
  <si>
    <t>előirányzat</t>
  </si>
  <si>
    <t>eredeti előirányzat</t>
  </si>
  <si>
    <t>2020 évi eredeti előirányzat</t>
  </si>
  <si>
    <t xml:space="preserve">2020. ÉVI KÖLTSÉGVETÉS </t>
  </si>
  <si>
    <t>2020. évi eredeti előirányzat</t>
  </si>
  <si>
    <t>2020. évi tervezett bevételek</t>
  </si>
  <si>
    <t>2019.évi  bevételek</t>
  </si>
  <si>
    <t>Önk.hivatal működési támogatás</t>
  </si>
  <si>
    <t>Szentgyörgyvári Önk. Átvett pénzeszköz:int.fin.</t>
  </si>
  <si>
    <t>Európai parlamenti választára átvett pénzeszköz(B16)</t>
  </si>
  <si>
    <t>2019. december 31.-i pénzmaradvány</t>
  </si>
  <si>
    <t>módosítottt kiadások</t>
  </si>
  <si>
    <t>2020. évi bevételek Közös Hivatal Sármellék</t>
  </si>
  <si>
    <t>eredeti előir.</t>
  </si>
  <si>
    <t>Eredeti előirányzat Sármellék összesen</t>
  </si>
  <si>
    <t>2020 év eredeti előir.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</si>
</sst>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0\ _F_t"/>
    <numFmt numFmtId="166" formatCode="_-* #,##0.00\ _€_-;\-* #,##0.00\ _€_-;_-* &quot;-&quot;??\ _€_-;_-@_-"/>
    <numFmt numFmtId="167" formatCode="_-* #,##0\ _F_t_-;\-* #,##0\ _F_t_-;_-* &quot;-&quot;??\ _F_t_-;_-@_-"/>
    <numFmt numFmtId="168" formatCode="#,###"/>
    <numFmt numFmtId="169" formatCode="0__"/>
    <numFmt numFmtId="170" formatCode="#"/>
    <numFmt numFmtId="171" formatCode="#,##0_ ;\-#,##0\ "/>
  </numFmts>
  <fonts count="9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Arial"/>
      <family val="2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i/>
      <sz val="16"/>
      <name val="Times New Roman"/>
      <family val="1"/>
      <charset val="238"/>
    </font>
    <font>
      <i/>
      <sz val="16"/>
      <name val="Times New Roman"/>
      <family val="1"/>
      <charset val="238"/>
    </font>
    <font>
      <b/>
      <sz val="14"/>
      <name val="Arial"/>
      <family val="2"/>
      <charset val="238"/>
    </font>
    <font>
      <b/>
      <sz val="13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Arial CE"/>
      <charset val="238"/>
    </font>
    <font>
      <sz val="10"/>
      <name val="Times New Roman CE"/>
      <charset val="238"/>
    </font>
    <font>
      <b/>
      <sz val="14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4"/>
      <name val="Times New Roman CE"/>
      <family val="1"/>
      <charset val="238"/>
    </font>
    <font>
      <sz val="14"/>
      <name val="Arial CE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12"/>
      <name val="Arial CE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Arial CE"/>
      <charset val="238"/>
    </font>
    <font>
      <b/>
      <sz val="16"/>
      <name val="Times New Roman CE"/>
      <family val="1"/>
      <charset val="238"/>
    </font>
    <font>
      <b/>
      <sz val="16"/>
      <name val="Times New Roman CE"/>
      <charset val="238"/>
    </font>
    <font>
      <sz val="16"/>
      <name val="Arial CE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14"/>
      <name val="Times New Roman CE"/>
      <charset val="238"/>
    </font>
    <font>
      <b/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11"/>
      <name val="Times New Roman CE"/>
      <charset val="238"/>
    </font>
    <font>
      <b/>
      <sz val="16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indexed="10"/>
      <name val="Arial CE"/>
      <charset val="238"/>
    </font>
    <font>
      <sz val="10"/>
      <color rgb="FFFF0000"/>
      <name val="Arial CE"/>
      <charset val="238"/>
    </font>
    <font>
      <i/>
      <sz val="10"/>
      <name val="Arial CE"/>
      <charset val="238"/>
    </font>
    <font>
      <b/>
      <sz val="12"/>
      <color theme="0"/>
      <name val="Arial CE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sz val="10"/>
      <name val="Arial"/>
      <family val="2"/>
    </font>
    <font>
      <b/>
      <sz val="8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gray0625">
        <bgColor indexed="43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lightHorizontal"/>
    </fill>
    <fill>
      <patternFill patternType="lightHorizontal">
        <bgColor theme="9" tint="0.5999633777886288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23" fillId="0" borderId="0"/>
    <xf numFmtId="0" fontId="4" fillId="0" borderId="0"/>
    <xf numFmtId="44" fontId="2" fillId="0" borderId="0" applyFont="0" applyFill="0" applyBorder="0" applyAlignment="0" applyProtection="0"/>
  </cellStyleXfs>
  <cellXfs count="1092">
    <xf numFmtId="0" fontId="0" fillId="0" borderId="0" xfId="0"/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9" xfId="2" applyFont="1" applyBorder="1" applyAlignment="1">
      <alignment vertical="center"/>
    </xf>
    <xf numFmtId="0" fontId="12" fillId="0" borderId="10" xfId="2" applyFont="1" applyBorder="1" applyAlignment="1">
      <alignment horizontal="center" vertical="center" wrapText="1"/>
    </xf>
    <xf numFmtId="0" fontId="13" fillId="2" borderId="11" xfId="2" applyFont="1" applyFill="1" applyBorder="1" applyAlignment="1">
      <alignment horizontal="center" vertical="center" wrapText="1"/>
    </xf>
    <xf numFmtId="0" fontId="13" fillId="2" borderId="12" xfId="2" applyFont="1" applyFill="1" applyBorder="1" applyAlignment="1">
      <alignment horizontal="center" vertical="center" wrapText="1"/>
    </xf>
    <xf numFmtId="0" fontId="13" fillId="2" borderId="13" xfId="2" applyFont="1" applyFill="1" applyBorder="1" applyAlignment="1">
      <alignment horizontal="center" vertical="center" wrapText="1"/>
    </xf>
    <xf numFmtId="165" fontId="6" fillId="0" borderId="14" xfId="2" applyNumberFormat="1" applyFont="1" applyBorder="1" applyAlignment="1">
      <alignment horizontal="center" vertical="center"/>
    </xf>
    <xf numFmtId="165" fontId="6" fillId="0" borderId="5" xfId="3" applyNumberFormat="1" applyFont="1" applyFill="1" applyBorder="1" applyAlignment="1">
      <alignment horizontal="center"/>
    </xf>
    <xf numFmtId="167" fontId="7" fillId="0" borderId="6" xfId="1" applyNumberFormat="1" applyFont="1" applyBorder="1" applyAlignment="1">
      <alignment vertical="center"/>
    </xf>
    <xf numFmtId="167" fontId="6" fillId="0" borderId="6" xfId="1" applyNumberFormat="1" applyFont="1" applyBorder="1" applyAlignment="1">
      <alignment horizontal="center" vertical="center"/>
    </xf>
    <xf numFmtId="167" fontId="7" fillId="0" borderId="15" xfId="1" applyNumberFormat="1" applyFont="1" applyBorder="1" applyAlignment="1">
      <alignment vertical="center"/>
    </xf>
    <xf numFmtId="165" fontId="6" fillId="0" borderId="16" xfId="2" applyNumberFormat="1" applyFont="1" applyBorder="1" applyAlignment="1">
      <alignment horizontal="center" vertical="center"/>
    </xf>
    <xf numFmtId="165" fontId="6" fillId="0" borderId="5" xfId="2" applyNumberFormat="1" applyFont="1" applyBorder="1" applyAlignment="1">
      <alignment horizontal="center" vertical="center"/>
    </xf>
    <xf numFmtId="165" fontId="6" fillId="0" borderId="15" xfId="2" applyNumberFormat="1" applyFont="1" applyBorder="1" applyAlignment="1">
      <alignment horizontal="center" vertical="center"/>
    </xf>
    <xf numFmtId="165" fontId="6" fillId="0" borderId="5" xfId="3" applyNumberFormat="1" applyFont="1" applyBorder="1" applyAlignment="1">
      <alignment horizontal="center"/>
    </xf>
    <xf numFmtId="0" fontId="8" fillId="0" borderId="4" xfId="2" applyFont="1" applyBorder="1" applyAlignment="1">
      <alignment horizontal="center" vertical="center"/>
    </xf>
    <xf numFmtId="165" fontId="8" fillId="3" borderId="5" xfId="2" applyNumberFormat="1" applyFont="1" applyFill="1" applyBorder="1" applyAlignment="1">
      <alignment horizontal="center" vertical="center"/>
    </xf>
    <xf numFmtId="165" fontId="8" fillId="3" borderId="15" xfId="2" applyNumberFormat="1" applyFont="1" applyFill="1" applyBorder="1" applyAlignment="1">
      <alignment horizontal="center" vertical="center"/>
    </xf>
    <xf numFmtId="0" fontId="15" fillId="0" borderId="0" xfId="0" applyFont="1"/>
    <xf numFmtId="165" fontId="8" fillId="3" borderId="5" xfId="3" applyNumberFormat="1" applyFont="1" applyFill="1" applyBorder="1" applyAlignment="1">
      <alignment horizontal="center"/>
    </xf>
    <xf numFmtId="167" fontId="16" fillId="3" borderId="6" xfId="1" applyNumberFormat="1" applyFont="1" applyFill="1" applyBorder="1" applyAlignment="1">
      <alignment vertical="center"/>
    </xf>
    <xf numFmtId="165" fontId="6" fillId="0" borderId="14" xfId="3" applyNumberFormat="1" applyFont="1" applyBorder="1" applyAlignment="1">
      <alignment horizontal="center"/>
    </xf>
    <xf numFmtId="165" fontId="8" fillId="0" borderId="5" xfId="3" applyNumberFormat="1" applyFont="1" applyBorder="1" applyAlignment="1">
      <alignment horizontal="center"/>
    </xf>
    <xf numFmtId="165" fontId="8" fillId="0" borderId="14" xfId="3" applyNumberFormat="1" applyFont="1" applyBorder="1" applyAlignment="1">
      <alignment horizontal="center"/>
    </xf>
    <xf numFmtId="165" fontId="6" fillId="4" borderId="18" xfId="3" applyNumberFormat="1" applyFont="1" applyFill="1" applyBorder="1" applyAlignment="1">
      <alignment horizontal="center"/>
    </xf>
    <xf numFmtId="0" fontId="5" fillId="0" borderId="4" xfId="2" applyFont="1" applyBorder="1" applyAlignment="1">
      <alignment horizontal="center" vertical="center"/>
    </xf>
    <xf numFmtId="165" fontId="5" fillId="5" borderId="16" xfId="3" applyNumberFormat="1" applyFont="1" applyFill="1" applyBorder="1" applyAlignment="1">
      <alignment horizontal="center"/>
    </xf>
    <xf numFmtId="165" fontId="5" fillId="5" borderId="5" xfId="3" applyNumberFormat="1" applyFont="1" applyFill="1" applyBorder="1" applyAlignment="1">
      <alignment horizontal="center"/>
    </xf>
    <xf numFmtId="165" fontId="5" fillId="5" borderId="15" xfId="3" applyNumberFormat="1" applyFont="1" applyFill="1" applyBorder="1" applyAlignment="1">
      <alignment horizontal="center"/>
    </xf>
    <xf numFmtId="0" fontId="6" fillId="6" borderId="4" xfId="2" applyFont="1" applyFill="1" applyBorder="1" applyAlignment="1">
      <alignment horizontal="center" vertical="center"/>
    </xf>
    <xf numFmtId="165" fontId="6" fillId="7" borderId="16" xfId="3" applyNumberFormat="1" applyFont="1" applyFill="1" applyBorder="1" applyAlignment="1">
      <alignment horizontal="center"/>
    </xf>
    <xf numFmtId="165" fontId="6" fillId="7" borderId="5" xfId="3" applyNumberFormat="1" applyFont="1" applyFill="1" applyBorder="1" applyAlignment="1">
      <alignment horizontal="center"/>
    </xf>
    <xf numFmtId="165" fontId="6" fillId="7" borderId="14" xfId="3" applyNumberFormat="1" applyFont="1" applyFill="1" applyBorder="1" applyAlignment="1">
      <alignment horizontal="center"/>
    </xf>
    <xf numFmtId="165" fontId="6" fillId="7" borderId="6" xfId="3" applyNumberFormat="1" applyFont="1" applyFill="1" applyBorder="1" applyAlignment="1">
      <alignment horizontal="center"/>
    </xf>
    <xf numFmtId="165" fontId="6" fillId="5" borderId="5" xfId="3" applyNumberFormat="1" applyFont="1" applyFill="1" applyBorder="1" applyAlignment="1">
      <alignment horizontal="center"/>
    </xf>
    <xf numFmtId="165" fontId="6" fillId="5" borderId="12" xfId="3" applyNumberFormat="1" applyFont="1" applyFill="1" applyBorder="1" applyAlignment="1">
      <alignment horizontal="center"/>
    </xf>
    <xf numFmtId="167" fontId="7" fillId="5" borderId="6" xfId="1" applyNumberFormat="1" applyFont="1" applyFill="1" applyBorder="1" applyAlignment="1">
      <alignment vertical="center"/>
    </xf>
    <xf numFmtId="3" fontId="6" fillId="0" borderId="5" xfId="2" applyNumberFormat="1" applyFont="1" applyBorder="1" applyAlignment="1">
      <alignment horizontal="center" vertical="center"/>
    </xf>
    <xf numFmtId="3" fontId="6" fillId="0" borderId="14" xfId="3" applyNumberFormat="1" applyFont="1" applyBorder="1" applyAlignment="1">
      <alignment horizontal="center"/>
    </xf>
    <xf numFmtId="3" fontId="7" fillId="0" borderId="6" xfId="1" applyNumberFormat="1" applyFont="1" applyBorder="1" applyAlignment="1">
      <alignment vertical="center"/>
    </xf>
    <xf numFmtId="49" fontId="6" fillId="0" borderId="5" xfId="0" applyNumberFormat="1" applyFont="1" applyBorder="1" applyAlignment="1">
      <alignment horizontal="center"/>
    </xf>
    <xf numFmtId="0" fontId="6" fillId="0" borderId="5" xfId="0" applyFont="1" applyBorder="1"/>
    <xf numFmtId="3" fontId="6" fillId="0" borderId="5" xfId="3" applyNumberFormat="1" applyFont="1" applyBorder="1" applyAlignment="1">
      <alignment horizontal="center"/>
    </xf>
    <xf numFmtId="3" fontId="6" fillId="0" borderId="5" xfId="3" applyNumberFormat="1" applyFont="1" applyFill="1" applyBorder="1" applyAlignment="1">
      <alignment horizontal="center"/>
    </xf>
    <xf numFmtId="49" fontId="6" fillId="0" borderId="5" xfId="2" applyNumberFormat="1" applyFont="1" applyBorder="1" applyAlignment="1">
      <alignment horizontal="left"/>
    </xf>
    <xf numFmtId="0" fontId="6" fillId="0" borderId="5" xfId="2" applyFont="1" applyBorder="1" applyAlignment="1">
      <alignment horizontal="left"/>
    </xf>
    <xf numFmtId="0" fontId="6" fillId="0" borderId="5" xfId="2" applyFont="1" applyFill="1" applyBorder="1" applyAlignment="1">
      <alignment horizontal="left"/>
    </xf>
    <xf numFmtId="3" fontId="8" fillId="3" borderId="5" xfId="3" applyNumberFormat="1" applyFont="1" applyFill="1" applyBorder="1" applyAlignment="1">
      <alignment horizontal="center"/>
    </xf>
    <xf numFmtId="3" fontId="8" fillId="3" borderId="15" xfId="3" applyNumberFormat="1" applyFont="1" applyFill="1" applyBorder="1" applyAlignment="1">
      <alignment horizontal="center"/>
    </xf>
    <xf numFmtId="3" fontId="8" fillId="0" borderId="5" xfId="3" applyNumberFormat="1" applyFont="1" applyBorder="1" applyAlignment="1">
      <alignment horizontal="center"/>
    </xf>
    <xf numFmtId="3" fontId="8" fillId="0" borderId="5" xfId="3" applyNumberFormat="1" applyFont="1" applyFill="1" applyBorder="1" applyAlignment="1">
      <alignment horizontal="center"/>
    </xf>
    <xf numFmtId="3" fontId="16" fillId="0" borderId="15" xfId="1" applyNumberFormat="1" applyFont="1" applyBorder="1" applyAlignment="1">
      <alignment vertical="center"/>
    </xf>
    <xf numFmtId="3" fontId="5" fillId="5" borderId="5" xfId="3" applyNumberFormat="1" applyFont="1" applyFill="1" applyBorder="1" applyAlignment="1">
      <alignment horizontal="center"/>
    </xf>
    <xf numFmtId="3" fontId="5" fillId="5" borderId="17" xfId="3" applyNumberFormat="1" applyFont="1" applyFill="1" applyBorder="1" applyAlignment="1">
      <alignment horizontal="center"/>
    </xf>
    <xf numFmtId="3" fontId="5" fillId="5" borderId="15" xfId="3" applyNumberFormat="1" applyFont="1" applyFill="1" applyBorder="1" applyAlignment="1">
      <alignment horizontal="center"/>
    </xf>
    <xf numFmtId="165" fontId="5" fillId="0" borderId="5" xfId="3" applyNumberFormat="1" applyFont="1" applyBorder="1" applyAlignment="1">
      <alignment horizontal="center"/>
    </xf>
    <xf numFmtId="165" fontId="5" fillId="0" borderId="15" xfId="3" applyNumberFormat="1" applyFont="1" applyBorder="1" applyAlignment="1">
      <alignment horizontal="center"/>
    </xf>
    <xf numFmtId="49" fontId="6" fillId="0" borderId="5" xfId="2" applyNumberFormat="1" applyFont="1" applyBorder="1" applyAlignment="1">
      <alignment horizontal="right"/>
    </xf>
    <xf numFmtId="167" fontId="19" fillId="0" borderId="15" xfId="1" applyNumberFormat="1" applyFont="1" applyBorder="1" applyAlignment="1">
      <alignment vertical="center"/>
    </xf>
    <xf numFmtId="165" fontId="5" fillId="0" borderId="17" xfId="3" applyNumberFormat="1" applyFont="1" applyBorder="1" applyAlignment="1">
      <alignment horizontal="center"/>
    </xf>
    <xf numFmtId="165" fontId="5" fillId="0" borderId="14" xfId="3" applyNumberFormat="1" applyFont="1" applyBorder="1" applyAlignment="1">
      <alignment horizontal="center"/>
    </xf>
    <xf numFmtId="165" fontId="5" fillId="0" borderId="5" xfId="3" applyNumberFormat="1" applyFont="1" applyFill="1" applyBorder="1" applyAlignment="1">
      <alignment horizontal="center"/>
    </xf>
    <xf numFmtId="167" fontId="19" fillId="0" borderId="6" xfId="1" applyNumberFormat="1" applyFont="1" applyBorder="1" applyAlignment="1">
      <alignment vertical="center"/>
    </xf>
    <xf numFmtId="165" fontId="10" fillId="0" borderId="5" xfId="3" applyNumberFormat="1" applyFont="1" applyBorder="1" applyAlignment="1">
      <alignment horizontal="center"/>
    </xf>
    <xf numFmtId="165" fontId="10" fillId="0" borderId="14" xfId="3" applyNumberFormat="1" applyFont="1" applyBorder="1" applyAlignment="1">
      <alignment horizontal="center"/>
    </xf>
    <xf numFmtId="165" fontId="10" fillId="0" borderId="5" xfId="3" applyNumberFormat="1" applyFont="1" applyFill="1" applyBorder="1" applyAlignment="1">
      <alignment horizontal="center"/>
    </xf>
    <xf numFmtId="165" fontId="10" fillId="0" borderId="14" xfId="3" applyNumberFormat="1" applyFont="1" applyFill="1" applyBorder="1" applyAlignment="1">
      <alignment horizontal="center"/>
    </xf>
    <xf numFmtId="0" fontId="5" fillId="8" borderId="4" xfId="2" applyFont="1" applyFill="1" applyBorder="1" applyAlignment="1">
      <alignment horizontal="center" vertical="center"/>
    </xf>
    <xf numFmtId="165" fontId="5" fillId="8" borderId="5" xfId="2" applyNumberFormat="1" applyFont="1" applyFill="1" applyBorder="1" applyAlignment="1">
      <alignment horizontal="center"/>
    </xf>
    <xf numFmtId="165" fontId="5" fillId="8" borderId="15" xfId="2" applyNumberFormat="1" applyFont="1" applyFill="1" applyBorder="1" applyAlignment="1">
      <alignment horizontal="center"/>
    </xf>
    <xf numFmtId="0" fontId="5" fillId="8" borderId="7" xfId="2" applyFont="1" applyFill="1" applyBorder="1" applyAlignment="1">
      <alignment horizontal="center" vertical="center"/>
    </xf>
    <xf numFmtId="0" fontId="5" fillId="8" borderId="8" xfId="2" applyFont="1" applyFill="1" applyBorder="1" applyAlignment="1">
      <alignment vertical="center"/>
    </xf>
    <xf numFmtId="165" fontId="5" fillId="8" borderId="8" xfId="2" applyNumberFormat="1" applyFont="1" applyFill="1" applyBorder="1" applyAlignment="1">
      <alignment horizontal="center"/>
    </xf>
    <xf numFmtId="165" fontId="5" fillId="8" borderId="9" xfId="2" applyNumberFormat="1" applyFont="1" applyFill="1" applyBorder="1" applyAlignment="1">
      <alignment horizont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horizontal="center" vertical="center" wrapText="1"/>
    </xf>
    <xf numFmtId="165" fontId="6" fillId="0" borderId="0" xfId="2" applyNumberFormat="1" applyFont="1" applyAlignment="1">
      <alignment horizontal="center" vertical="center" wrapText="1"/>
    </xf>
    <xf numFmtId="0" fontId="0" fillId="0" borderId="0" xfId="0" applyBorder="1"/>
    <xf numFmtId="0" fontId="8" fillId="0" borderId="0" xfId="2" applyFont="1" applyBorder="1" applyAlignment="1">
      <alignment horizontal="right"/>
    </xf>
    <xf numFmtId="0" fontId="0" fillId="0" borderId="1" xfId="0" applyBorder="1"/>
    <xf numFmtId="0" fontId="12" fillId="0" borderId="2" xfId="2" applyFont="1" applyBorder="1" applyAlignment="1">
      <alignment horizontal="center" vertical="center" wrapText="1"/>
    </xf>
    <xf numFmtId="0" fontId="0" fillId="0" borderId="4" xfId="0" applyBorder="1"/>
    <xf numFmtId="0" fontId="12" fillId="0" borderId="5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0" fillId="6" borderId="4" xfId="0" applyFill="1" applyBorder="1"/>
    <xf numFmtId="165" fontId="6" fillId="6" borderId="5" xfId="3" applyNumberFormat="1" applyFont="1" applyFill="1" applyBorder="1" applyAlignment="1">
      <alignment horizontal="center"/>
    </xf>
    <xf numFmtId="0" fontId="0" fillId="6" borderId="21" xfId="0" applyFill="1" applyBorder="1"/>
    <xf numFmtId="165" fontId="6" fillId="6" borderId="22" xfId="3" applyNumberFormat="1" applyFont="1" applyFill="1" applyBorder="1" applyAlignment="1">
      <alignment horizontal="center"/>
    </xf>
    <xf numFmtId="0" fontId="6" fillId="0" borderId="22" xfId="2" applyFont="1" applyBorder="1" applyAlignment="1">
      <alignment horizontal="center" vertical="center"/>
    </xf>
    <xf numFmtId="0" fontId="0" fillId="6" borderId="24" xfId="0" applyFill="1" applyBorder="1"/>
    <xf numFmtId="0" fontId="6" fillId="6" borderId="20" xfId="2" applyFont="1" applyFill="1" applyBorder="1" applyAlignment="1">
      <alignment horizontal="left"/>
    </xf>
    <xf numFmtId="165" fontId="6" fillId="6" borderId="20" xfId="3" applyNumberFormat="1" applyFont="1" applyFill="1" applyBorder="1" applyAlignment="1">
      <alignment horizontal="center"/>
    </xf>
    <xf numFmtId="0" fontId="21" fillId="0" borderId="5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2" fillId="0" borderId="27" xfId="0" applyFont="1" applyBorder="1"/>
    <xf numFmtId="165" fontId="12" fillId="0" borderId="28" xfId="3" applyNumberFormat="1" applyFont="1" applyFill="1" applyBorder="1" applyAlignment="1">
      <alignment horizontal="center"/>
    </xf>
    <xf numFmtId="0" fontId="12" fillId="0" borderId="28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22" fillId="0" borderId="0" xfId="0" applyFont="1"/>
    <xf numFmtId="0" fontId="12" fillId="0" borderId="24" xfId="0" applyFont="1" applyBorder="1"/>
    <xf numFmtId="165" fontId="12" fillId="0" borderId="20" xfId="3" applyNumberFormat="1" applyFont="1" applyFill="1" applyBorder="1" applyAlignment="1">
      <alignment horizontal="center"/>
    </xf>
    <xf numFmtId="0" fontId="12" fillId="0" borderId="20" xfId="2" applyFont="1" applyBorder="1" applyAlignment="1">
      <alignment horizontal="center" vertical="center"/>
    </xf>
    <xf numFmtId="0" fontId="12" fillId="0" borderId="20" xfId="2" applyFont="1" applyBorder="1" applyAlignment="1">
      <alignment horizontal="left" vertical="center"/>
    </xf>
    <xf numFmtId="0" fontId="0" fillId="0" borderId="10" xfId="0" applyBorder="1"/>
    <xf numFmtId="165" fontId="6" fillId="0" borderId="11" xfId="3" applyNumberFormat="1" applyFont="1" applyFill="1" applyBorder="1" applyAlignment="1">
      <alignment horizontal="center"/>
    </xf>
    <xf numFmtId="0" fontId="6" fillId="0" borderId="11" xfId="2" applyFont="1" applyBorder="1" applyAlignment="1">
      <alignment horizontal="center" vertical="center"/>
    </xf>
    <xf numFmtId="0" fontId="0" fillId="0" borderId="21" xfId="0" applyBorder="1"/>
    <xf numFmtId="165" fontId="6" fillId="0" borderId="22" xfId="3" applyNumberFormat="1" applyFont="1" applyFill="1" applyBorder="1" applyAlignment="1">
      <alignment horizontal="center"/>
    </xf>
    <xf numFmtId="0" fontId="12" fillId="0" borderId="20" xfId="2" applyFont="1" applyBorder="1" applyAlignment="1">
      <alignment horizontal="left" vertical="center" wrapText="1"/>
    </xf>
    <xf numFmtId="0" fontId="8" fillId="6" borderId="5" xfId="2" applyFont="1" applyFill="1" applyBorder="1" applyAlignment="1">
      <alignment horizontal="center" vertical="center"/>
    </xf>
    <xf numFmtId="0" fontId="6" fillId="6" borderId="5" xfId="2" applyFont="1" applyFill="1" applyBorder="1" applyAlignment="1">
      <alignment horizontal="center" vertical="center"/>
    </xf>
    <xf numFmtId="0" fontId="22" fillId="0" borderId="4" xfId="0" applyFont="1" applyBorder="1"/>
    <xf numFmtId="165" fontId="12" fillId="0" borderId="5" xfId="3" applyNumberFormat="1" applyFont="1" applyFill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165" fontId="6" fillId="6" borderId="6" xfId="3" applyNumberFormat="1" applyFont="1" applyFill="1" applyBorder="1" applyAlignment="1">
      <alignment horizontal="center"/>
    </xf>
    <xf numFmtId="0" fontId="5" fillId="0" borderId="5" xfId="2" applyFont="1" applyBorder="1" applyAlignment="1">
      <alignment horizontal="center" vertical="center"/>
    </xf>
    <xf numFmtId="0" fontId="0" fillId="0" borderId="7" xfId="0" applyBorder="1"/>
    <xf numFmtId="165" fontId="5" fillId="0" borderId="8" xfId="2" applyNumberFormat="1" applyFont="1" applyBorder="1" applyAlignment="1">
      <alignment horizontal="center"/>
    </xf>
    <xf numFmtId="0" fontId="5" fillId="0" borderId="8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/>
    </xf>
    <xf numFmtId="165" fontId="6" fillId="0" borderId="0" xfId="2" applyNumberFormat="1" applyFont="1" applyBorder="1" applyAlignment="1">
      <alignment horizontal="center" vertical="center"/>
    </xf>
    <xf numFmtId="165" fontId="5" fillId="0" borderId="0" xfId="3" applyNumberFormat="1" applyFont="1" applyFill="1" applyBorder="1" applyAlignment="1">
      <alignment horizontal="center"/>
    </xf>
    <xf numFmtId="0" fontId="5" fillId="0" borderId="0" xfId="2" applyFont="1" applyBorder="1" applyAlignment="1">
      <alignment horizontal="center" vertical="center"/>
    </xf>
    <xf numFmtId="165" fontId="5" fillId="0" borderId="0" xfId="2" applyNumberFormat="1" applyFont="1" applyBorder="1" applyAlignment="1">
      <alignment horizontal="center"/>
    </xf>
    <xf numFmtId="0" fontId="6" fillId="0" borderId="5" xfId="2" applyFont="1" applyBorder="1" applyAlignment="1">
      <alignment horizontal="left" vertical="center"/>
    </xf>
    <xf numFmtId="0" fontId="6" fillId="0" borderId="0" xfId="2" applyFont="1" applyBorder="1" applyAlignment="1">
      <alignment horizontal="left"/>
    </xf>
    <xf numFmtId="168" fontId="23" fillId="0" borderId="0" xfId="4" applyNumberFormat="1" applyFill="1" applyAlignment="1">
      <alignment vertical="center" wrapText="1"/>
    </xf>
    <xf numFmtId="167" fontId="0" fillId="0" borderId="0" xfId="1" applyNumberFormat="1" applyFont="1"/>
    <xf numFmtId="168" fontId="4" fillId="0" borderId="0" xfId="4" applyNumberFormat="1" applyFont="1" applyFill="1" applyAlignment="1">
      <alignment horizontal="right" wrapText="1"/>
    </xf>
    <xf numFmtId="168" fontId="25" fillId="0" borderId="27" xfId="4" applyNumberFormat="1" applyFont="1" applyFill="1" applyBorder="1" applyAlignment="1">
      <alignment horizontal="center" vertical="center" wrapText="1"/>
    </xf>
    <xf numFmtId="168" fontId="25" fillId="0" borderId="28" xfId="4" applyNumberFormat="1" applyFont="1" applyFill="1" applyBorder="1" applyAlignment="1">
      <alignment horizontal="center" vertical="center" wrapText="1"/>
    </xf>
    <xf numFmtId="168" fontId="25" fillId="0" borderId="29" xfId="4" applyNumberFormat="1" applyFont="1" applyFill="1" applyBorder="1" applyAlignment="1" applyProtection="1">
      <alignment horizontal="center" vertical="center" wrapText="1"/>
    </xf>
    <xf numFmtId="168" fontId="26" fillId="0" borderId="32" xfId="4" applyNumberFormat="1" applyFont="1" applyFill="1" applyBorder="1" applyAlignment="1" applyProtection="1">
      <alignment horizontal="center" vertical="center" wrapText="1"/>
    </xf>
    <xf numFmtId="168" fontId="26" fillId="0" borderId="33" xfId="4" applyNumberFormat="1" applyFont="1" applyFill="1" applyBorder="1" applyAlignment="1" applyProtection="1">
      <alignment horizontal="center" vertical="center" wrapText="1"/>
    </xf>
    <xf numFmtId="168" fontId="26" fillId="0" borderId="34" xfId="4" applyNumberFormat="1" applyFont="1" applyFill="1" applyBorder="1" applyAlignment="1" applyProtection="1">
      <alignment horizontal="center" vertical="center" wrapText="1"/>
    </xf>
    <xf numFmtId="168" fontId="24" fillId="0" borderId="4" xfId="4" applyNumberFormat="1" applyFont="1" applyFill="1" applyBorder="1" applyAlignment="1" applyProtection="1">
      <alignment horizontal="left" vertical="center" wrapText="1" indent="1"/>
      <protection locked="0"/>
    </xf>
    <xf numFmtId="168" fontId="24" fillId="0" borderId="5" xfId="4" applyNumberFormat="1" applyFont="1" applyFill="1" applyBorder="1" applyAlignment="1" applyProtection="1">
      <alignment vertical="center" wrapText="1"/>
      <protection locked="0"/>
    </xf>
    <xf numFmtId="168" fontId="27" fillId="0" borderId="6" xfId="4" applyNumberFormat="1" applyFont="1" applyFill="1" applyBorder="1" applyAlignment="1" applyProtection="1">
      <alignment vertical="center" wrapText="1"/>
    </xf>
    <xf numFmtId="167" fontId="14" fillId="0" borderId="0" xfId="1" applyNumberFormat="1" applyFont="1"/>
    <xf numFmtId="0" fontId="28" fillId="0" borderId="0" xfId="0" applyFont="1"/>
    <xf numFmtId="168" fontId="29" fillId="0" borderId="5" xfId="4" applyNumberFormat="1" applyFont="1" applyFill="1" applyBorder="1" applyAlignment="1" applyProtection="1">
      <alignment vertical="center" wrapText="1"/>
      <protection locked="0"/>
    </xf>
    <xf numFmtId="1" fontId="29" fillId="0" borderId="5" xfId="4" applyNumberFormat="1" applyFont="1" applyFill="1" applyBorder="1" applyAlignment="1" applyProtection="1">
      <alignment vertical="center" wrapText="1"/>
      <protection locked="0"/>
    </xf>
    <xf numFmtId="168" fontId="30" fillId="0" borderId="6" xfId="4" applyNumberFormat="1" applyFont="1" applyFill="1" applyBorder="1" applyAlignment="1" applyProtection="1">
      <alignment vertical="center" wrapText="1"/>
    </xf>
    <xf numFmtId="167" fontId="0" fillId="0" borderId="0" xfId="0" applyNumberFormat="1"/>
    <xf numFmtId="168" fontId="29" fillId="0" borderId="22" xfId="4" applyNumberFormat="1" applyFont="1" applyFill="1" applyBorder="1" applyAlignment="1" applyProtection="1">
      <alignment vertical="center" wrapText="1"/>
      <protection locked="0"/>
    </xf>
    <xf numFmtId="1" fontId="29" fillId="0" borderId="22" xfId="4" applyNumberFormat="1" applyFont="1" applyFill="1" applyBorder="1" applyAlignment="1" applyProtection="1">
      <alignment vertical="center" wrapText="1"/>
      <protection locked="0"/>
    </xf>
    <xf numFmtId="168" fontId="30" fillId="0" borderId="23" xfId="4" applyNumberFormat="1" applyFont="1" applyFill="1" applyBorder="1" applyAlignment="1" applyProtection="1">
      <alignment vertical="center" wrapText="1"/>
    </xf>
    <xf numFmtId="168" fontId="24" fillId="0" borderId="35" xfId="4" applyNumberFormat="1" applyFont="1" applyFill="1" applyBorder="1" applyAlignment="1" applyProtection="1">
      <alignment horizontal="left" vertical="center" wrapText="1" indent="1"/>
      <protection locked="0"/>
    </xf>
    <xf numFmtId="168" fontId="24" fillId="0" borderId="27" xfId="4" applyNumberFormat="1" applyFont="1" applyFill="1" applyBorder="1" applyAlignment="1" applyProtection="1">
      <alignment vertical="center" wrapText="1"/>
      <protection locked="0"/>
    </xf>
    <xf numFmtId="168" fontId="30" fillId="0" borderId="29" xfId="4" applyNumberFormat="1" applyFont="1" applyFill="1" applyBorder="1" applyAlignment="1" applyProtection="1">
      <alignment vertical="center" wrapText="1"/>
    </xf>
    <xf numFmtId="167" fontId="31" fillId="0" borderId="0" xfId="1" applyNumberFormat="1" applyFont="1"/>
    <xf numFmtId="0" fontId="0" fillId="0" borderId="37" xfId="0" applyFont="1" applyBorder="1" applyAlignment="1"/>
    <xf numFmtId="0" fontId="0" fillId="0" borderId="33" xfId="0" applyFont="1" applyBorder="1" applyAlignment="1"/>
    <xf numFmtId="168" fontId="30" fillId="0" borderId="13" xfId="4" applyNumberFormat="1" applyFont="1" applyFill="1" applyBorder="1" applyAlignment="1" applyProtection="1">
      <alignment vertical="center" wrapText="1"/>
    </xf>
    <xf numFmtId="0" fontId="0" fillId="0" borderId="36" xfId="0" applyFont="1" applyBorder="1" applyAlignment="1"/>
    <xf numFmtId="0" fontId="0" fillId="0" borderId="28" xfId="0" applyFont="1" applyBorder="1" applyAlignment="1"/>
    <xf numFmtId="168" fontId="24" fillId="0" borderId="37" xfId="4" applyNumberFormat="1" applyFont="1" applyFill="1" applyBorder="1" applyAlignment="1" applyProtection="1">
      <alignment horizontal="left" vertical="center" wrapText="1" indent="1"/>
      <protection locked="0"/>
    </xf>
    <xf numFmtId="167" fontId="19" fillId="0" borderId="35" xfId="1" applyNumberFormat="1" applyFont="1" applyFill="1" applyBorder="1" applyAlignment="1" applyProtection="1">
      <alignment vertical="center" wrapText="1"/>
      <protection locked="0"/>
    </xf>
    <xf numFmtId="0" fontId="0" fillId="0" borderId="42" xfId="0" applyFont="1" applyBorder="1" applyAlignment="1"/>
    <xf numFmtId="0" fontId="0" fillId="0" borderId="38" xfId="0" applyFont="1" applyBorder="1" applyAlignment="1"/>
    <xf numFmtId="0" fontId="0" fillId="0" borderId="43" xfId="0" applyFont="1" applyBorder="1" applyAlignment="1"/>
    <xf numFmtId="0" fontId="0" fillId="0" borderId="35" xfId="0" applyFont="1" applyBorder="1" applyAlignment="1"/>
    <xf numFmtId="0" fontId="0" fillId="0" borderId="44" xfId="0" applyFont="1" applyBorder="1" applyAlignment="1"/>
    <xf numFmtId="167" fontId="14" fillId="0" borderId="35" xfId="1" applyNumberFormat="1" applyFont="1" applyBorder="1"/>
    <xf numFmtId="168" fontId="34" fillId="0" borderId="37" xfId="4" applyNumberFormat="1" applyFont="1" applyFill="1" applyBorder="1" applyAlignment="1" applyProtection="1">
      <alignment horizontal="left" vertical="center" wrapText="1" indent="1"/>
      <protection locked="0"/>
    </xf>
    <xf numFmtId="167" fontId="31" fillId="0" borderId="28" xfId="1" applyNumberFormat="1" applyFont="1" applyBorder="1"/>
    <xf numFmtId="167" fontId="35" fillId="0" borderId="0" xfId="1" applyNumberFormat="1" applyFont="1"/>
    <xf numFmtId="0" fontId="35" fillId="0" borderId="0" xfId="0" applyFont="1"/>
    <xf numFmtId="167" fontId="35" fillId="0" borderId="0" xfId="0" applyNumberFormat="1" applyFont="1"/>
    <xf numFmtId="167" fontId="38" fillId="0" borderId="0" xfId="1" applyNumberFormat="1" applyFont="1"/>
    <xf numFmtId="0" fontId="38" fillId="0" borderId="0" xfId="0" applyFont="1"/>
    <xf numFmtId="167" fontId="38" fillId="0" borderId="0" xfId="0" applyNumberFormat="1" applyFont="1"/>
    <xf numFmtId="168" fontId="23" fillId="0" borderId="0" xfId="4" applyNumberFormat="1" applyFill="1" applyAlignment="1">
      <alignment horizontal="center" vertical="center" wrapText="1"/>
    </xf>
    <xf numFmtId="168" fontId="23" fillId="0" borderId="0" xfId="4" applyNumberFormat="1" applyFont="1" applyFill="1" applyAlignment="1">
      <alignment vertical="center" wrapText="1"/>
    </xf>
    <xf numFmtId="168" fontId="32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8" fontId="23" fillId="0" borderId="0" xfId="4" applyNumberFormat="1" applyFont="1" applyFill="1" applyBorder="1" applyAlignment="1">
      <alignment vertical="center" wrapText="1"/>
    </xf>
    <xf numFmtId="0" fontId="23" fillId="0" borderId="0" xfId="4" applyNumberFormat="1" applyFont="1" applyFill="1" applyBorder="1" applyAlignment="1">
      <alignment horizontal="center" vertical="center" wrapText="1"/>
    </xf>
    <xf numFmtId="0" fontId="23" fillId="0" borderId="0" xfId="4" applyNumberFormat="1" applyFill="1" applyAlignment="1">
      <alignment horizontal="center" vertical="center" wrapText="1"/>
    </xf>
    <xf numFmtId="168" fontId="23" fillId="0" borderId="0" xfId="4" applyNumberFormat="1" applyFill="1" applyBorder="1" applyAlignment="1">
      <alignment vertical="center" wrapText="1"/>
    </xf>
    <xf numFmtId="0" fontId="23" fillId="0" borderId="0" xfId="4" applyNumberFormat="1" applyFill="1" applyBorder="1" applyAlignment="1">
      <alignment horizontal="center" vertical="center" wrapText="1"/>
    </xf>
    <xf numFmtId="168" fontId="33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8" fontId="23" fillId="0" borderId="0" xfId="4" applyNumberFormat="1" applyFill="1" applyBorder="1" applyAlignment="1">
      <alignment horizontal="center" vertical="center" wrapText="1"/>
    </xf>
    <xf numFmtId="0" fontId="23" fillId="0" borderId="0" xfId="4" applyNumberFormat="1" applyFill="1" applyBorder="1" applyAlignment="1">
      <alignment vertical="center" wrapText="1"/>
    </xf>
    <xf numFmtId="167" fontId="39" fillId="0" borderId="0" xfId="1" applyNumberFormat="1" applyFont="1" applyAlignment="1">
      <alignment horizontal="center"/>
    </xf>
    <xf numFmtId="0" fontId="40" fillId="0" borderId="0" xfId="0" applyFont="1"/>
    <xf numFmtId="167" fontId="39" fillId="0" borderId="0" xfId="1" applyNumberFormat="1" applyFont="1" applyAlignment="1">
      <alignment horizontal="center" vertical="center"/>
    </xf>
    <xf numFmtId="167" fontId="40" fillId="0" borderId="0" xfId="1" applyNumberFormat="1" applyFont="1"/>
    <xf numFmtId="0" fontId="40" fillId="0" borderId="0" xfId="0" applyFont="1" applyAlignment="1">
      <alignment horizontal="left"/>
    </xf>
    <xf numFmtId="169" fontId="40" fillId="0" borderId="0" xfId="0" applyNumberFormat="1" applyFont="1"/>
    <xf numFmtId="0" fontId="21" fillId="0" borderId="0" xfId="0" applyFont="1"/>
    <xf numFmtId="0" fontId="6" fillId="0" borderId="0" xfId="0" applyFont="1" applyBorder="1"/>
    <xf numFmtId="167" fontId="6" fillId="0" borderId="0" xfId="1" applyNumberFormat="1" applyFont="1" applyBorder="1"/>
    <xf numFmtId="167" fontId="21" fillId="0" borderId="0" xfId="1" applyNumberFormat="1" applyFont="1"/>
    <xf numFmtId="0" fontId="6" fillId="0" borderId="0" xfId="0" applyFont="1" applyAlignment="1">
      <alignment horizontal="left" vertical="center" wrapText="1"/>
    </xf>
    <xf numFmtId="0" fontId="6" fillId="0" borderId="27" xfId="0" applyFont="1" applyBorder="1"/>
    <xf numFmtId="167" fontId="6" fillId="0" borderId="28" xfId="1" applyNumberFormat="1" applyFont="1" applyBorder="1" applyAlignment="1">
      <alignment horizontal="center"/>
    </xf>
    <xf numFmtId="167" fontId="6" fillId="0" borderId="29" xfId="1" applyNumberFormat="1" applyFont="1" applyBorder="1" applyAlignment="1">
      <alignment horizontal="center"/>
    </xf>
    <xf numFmtId="0" fontId="6" fillId="0" borderId="10" xfId="0" applyFont="1" applyBorder="1"/>
    <xf numFmtId="167" fontId="6" fillId="0" borderId="11" xfId="1" applyNumberFormat="1" applyFont="1" applyBorder="1"/>
    <xf numFmtId="167" fontId="6" fillId="0" borderId="13" xfId="1" applyNumberFormat="1" applyFont="1" applyBorder="1"/>
    <xf numFmtId="0" fontId="42" fillId="0" borderId="4" xfId="0" applyFont="1" applyBorder="1" applyAlignment="1">
      <alignment horizontal="right"/>
    </xf>
    <xf numFmtId="167" fontId="6" fillId="0" borderId="5" xfId="1" applyNumberFormat="1" applyFont="1" applyBorder="1"/>
    <xf numFmtId="0" fontId="6" fillId="0" borderId="4" xfId="0" applyFont="1" applyBorder="1"/>
    <xf numFmtId="0" fontId="6" fillId="0" borderId="21" xfId="0" applyFont="1" applyBorder="1"/>
    <xf numFmtId="167" fontId="6" fillId="0" borderId="22" xfId="1" applyNumberFormat="1" applyFont="1" applyBorder="1"/>
    <xf numFmtId="167" fontId="6" fillId="0" borderId="26" xfId="1" applyNumberFormat="1" applyFont="1" applyBorder="1"/>
    <xf numFmtId="167" fontId="6" fillId="0" borderId="28" xfId="1" applyNumberFormat="1" applyFont="1" applyBorder="1"/>
    <xf numFmtId="167" fontId="6" fillId="0" borderId="29" xfId="1" applyNumberFormat="1" applyFont="1" applyBorder="1"/>
    <xf numFmtId="0" fontId="6" fillId="0" borderId="0" xfId="0" applyFont="1"/>
    <xf numFmtId="167" fontId="6" fillId="0" borderId="0" xfId="1" applyNumberFormat="1" applyFont="1"/>
    <xf numFmtId="0" fontId="23" fillId="0" borderId="0" xfId="4" applyFill="1" applyAlignment="1">
      <alignment horizontal="center" vertical="center" wrapText="1"/>
    </xf>
    <xf numFmtId="0" fontId="23" fillId="0" borderId="0" xfId="4" applyFill="1" applyAlignment="1">
      <alignment vertical="center" wrapText="1"/>
    </xf>
    <xf numFmtId="168" fontId="43" fillId="0" borderId="0" xfId="4" applyNumberFormat="1" applyFont="1" applyFill="1" applyAlignment="1">
      <alignment horizontal="center" vertical="center" wrapText="1"/>
    </xf>
    <xf numFmtId="168" fontId="43" fillId="0" borderId="0" xfId="4" applyNumberFormat="1" applyFont="1" applyFill="1" applyAlignment="1">
      <alignment vertical="center" wrapText="1"/>
    </xf>
    <xf numFmtId="168" fontId="23" fillId="0" borderId="0" xfId="4" applyNumberFormat="1" applyFont="1" applyFill="1" applyAlignment="1">
      <alignment horizontal="right" vertical="center"/>
    </xf>
    <xf numFmtId="0" fontId="25" fillId="0" borderId="27" xfId="4" applyFont="1" applyFill="1" applyBorder="1" applyAlignment="1">
      <alignment horizontal="center" vertical="center" wrapText="1"/>
    </xf>
    <xf numFmtId="0" fontId="25" fillId="0" borderId="28" xfId="4" applyFont="1" applyFill="1" applyBorder="1" applyAlignment="1">
      <alignment horizontal="center" vertical="center" wrapText="1"/>
    </xf>
    <xf numFmtId="0" fontId="25" fillId="0" borderId="29" xfId="4" applyFont="1" applyFill="1" applyBorder="1" applyAlignment="1">
      <alignment horizontal="center" vertical="center" wrapText="1"/>
    </xf>
    <xf numFmtId="0" fontId="44" fillId="0" borderId="0" xfId="4" applyFont="1" applyFill="1" applyAlignment="1">
      <alignment horizontal="center" vertical="center" wrapText="1"/>
    </xf>
    <xf numFmtId="0" fontId="26" fillId="0" borderId="27" xfId="4" applyFont="1" applyFill="1" applyBorder="1" applyAlignment="1">
      <alignment horizontal="center" vertical="center" wrapText="1"/>
    </xf>
    <xf numFmtId="0" fontId="26" fillId="0" borderId="28" xfId="4" applyFont="1" applyFill="1" applyBorder="1" applyAlignment="1">
      <alignment horizontal="center" vertical="center" wrapText="1"/>
    </xf>
    <xf numFmtId="0" fontId="26" fillId="0" borderId="29" xfId="4" applyFont="1" applyFill="1" applyBorder="1" applyAlignment="1">
      <alignment horizontal="center" vertical="center" wrapText="1"/>
    </xf>
    <xf numFmtId="0" fontId="45" fillId="0" borderId="1" xfId="4" applyFont="1" applyFill="1" applyBorder="1" applyAlignment="1">
      <alignment horizontal="center" vertical="center" wrapText="1"/>
    </xf>
    <xf numFmtId="0" fontId="46" fillId="0" borderId="12" xfId="4" applyFont="1" applyFill="1" applyBorder="1" applyAlignment="1" applyProtection="1">
      <alignment horizontal="left" vertical="center" wrapText="1" indent="1"/>
      <protection locked="0"/>
    </xf>
    <xf numFmtId="168" fontId="45" fillId="0" borderId="12" xfId="4" applyNumberFormat="1" applyFont="1" applyFill="1" applyBorder="1" applyAlignment="1" applyProtection="1">
      <alignment horizontal="right" vertical="center" wrapText="1" indent="1"/>
      <protection locked="0"/>
    </xf>
    <xf numFmtId="168" fontId="45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0" fontId="45" fillId="0" borderId="4" xfId="4" applyFont="1" applyFill="1" applyBorder="1" applyAlignment="1">
      <alignment horizontal="center" vertical="center" wrapText="1"/>
    </xf>
    <xf numFmtId="0" fontId="46" fillId="0" borderId="14" xfId="4" applyFont="1" applyFill="1" applyBorder="1" applyAlignment="1" applyProtection="1">
      <alignment horizontal="left" vertical="center" wrapText="1" indent="1"/>
      <protection locked="0"/>
    </xf>
    <xf numFmtId="168" fontId="45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8" fontId="45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0" fontId="46" fillId="0" borderId="14" xfId="4" applyFont="1" applyFill="1" applyBorder="1" applyAlignment="1" applyProtection="1">
      <alignment horizontal="left" vertical="center" wrapText="1" indent="8"/>
      <protection locked="0"/>
    </xf>
    <xf numFmtId="0" fontId="45" fillId="0" borderId="11" xfId="4" applyFont="1" applyFill="1" applyBorder="1" applyAlignment="1" applyProtection="1">
      <alignment vertical="center" wrapText="1"/>
      <protection locked="0"/>
    </xf>
    <xf numFmtId="168" fontId="45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0" fontId="47" fillId="0" borderId="27" xfId="4" applyFont="1" applyFill="1" applyBorder="1" applyAlignment="1">
      <alignment horizontal="center" vertical="center" wrapText="1"/>
    </xf>
    <xf numFmtId="0" fontId="48" fillId="0" borderId="33" xfId="4" applyFont="1" applyFill="1" applyBorder="1" applyAlignment="1">
      <alignment vertical="center" wrapText="1"/>
    </xf>
    <xf numFmtId="168" fontId="47" fillId="0" borderId="33" xfId="4" applyNumberFormat="1" applyFont="1" applyFill="1" applyBorder="1" applyAlignment="1">
      <alignment vertical="center" wrapText="1"/>
    </xf>
    <xf numFmtId="168" fontId="47" fillId="0" borderId="34" xfId="4" applyNumberFormat="1" applyFont="1" applyFill="1" applyBorder="1" applyAlignment="1">
      <alignment vertical="center" wrapText="1"/>
    </xf>
    <xf numFmtId="0" fontId="23" fillId="0" borderId="0" xfId="4" applyFill="1" applyAlignment="1">
      <alignment horizontal="right" vertical="center" wrapText="1"/>
    </xf>
    <xf numFmtId="168" fontId="50" fillId="0" borderId="0" xfId="4" applyNumberFormat="1" applyFont="1" applyFill="1" applyAlignment="1">
      <alignment horizontal="right"/>
    </xf>
    <xf numFmtId="168" fontId="25" fillId="0" borderId="42" xfId="4" applyNumberFormat="1" applyFont="1" applyFill="1" applyBorder="1" applyAlignment="1">
      <alignment horizontal="center" vertical="center"/>
    </xf>
    <xf numFmtId="168" fontId="25" fillId="0" borderId="9" xfId="4" applyNumberFormat="1" applyFont="1" applyFill="1" applyBorder="1" applyAlignment="1">
      <alignment horizontal="center" vertical="center" wrapText="1"/>
    </xf>
    <xf numFmtId="168" fontId="26" fillId="0" borderId="37" xfId="4" applyNumberFormat="1" applyFont="1" applyFill="1" applyBorder="1" applyAlignment="1">
      <alignment horizontal="center" vertical="center" wrapText="1"/>
    </xf>
    <xf numFmtId="168" fontId="26" fillId="0" borderId="35" xfId="4" applyNumberFormat="1" applyFont="1" applyFill="1" applyBorder="1" applyAlignment="1">
      <alignment horizontal="center" vertical="center" wrapText="1"/>
    </xf>
    <xf numFmtId="168" fontId="26" fillId="0" borderId="54" xfId="4" applyNumberFormat="1" applyFont="1" applyFill="1" applyBorder="1" applyAlignment="1">
      <alignment horizontal="center" vertical="center" wrapText="1"/>
    </xf>
    <xf numFmtId="168" fontId="26" fillId="0" borderId="29" xfId="4" applyNumberFormat="1" applyFont="1" applyFill="1" applyBorder="1" applyAlignment="1">
      <alignment horizontal="center" vertical="center" wrapText="1"/>
    </xf>
    <xf numFmtId="168" fontId="26" fillId="0" borderId="55" xfId="4" applyNumberFormat="1" applyFont="1" applyFill="1" applyBorder="1" applyAlignment="1">
      <alignment horizontal="center" vertical="center" wrapText="1"/>
    </xf>
    <xf numFmtId="168" fontId="26" fillId="0" borderId="27" xfId="4" applyNumberFormat="1" applyFont="1" applyFill="1" applyBorder="1" applyAlignment="1">
      <alignment horizontal="center" vertical="center" wrapText="1"/>
    </xf>
    <xf numFmtId="168" fontId="26" fillId="0" borderId="35" xfId="4" applyNumberFormat="1" applyFont="1" applyFill="1" applyBorder="1" applyAlignment="1">
      <alignment horizontal="left" vertical="center" wrapText="1" indent="1"/>
    </xf>
    <xf numFmtId="168" fontId="51" fillId="0" borderId="28" xfId="4" applyNumberFormat="1" applyFont="1" applyFill="1" applyBorder="1" applyAlignment="1" applyProtection="1">
      <alignment horizontal="left" vertical="center" wrapText="1" indent="2"/>
    </xf>
    <xf numFmtId="168" fontId="51" fillId="0" borderId="35" xfId="4" applyNumberFormat="1" applyFont="1" applyFill="1" applyBorder="1" applyAlignment="1" applyProtection="1">
      <alignment vertical="center" wrapText="1"/>
    </xf>
    <xf numFmtId="168" fontId="51" fillId="0" borderId="27" xfId="4" applyNumberFormat="1" applyFont="1" applyFill="1" applyBorder="1" applyAlignment="1" applyProtection="1">
      <alignment vertical="center" wrapText="1"/>
    </xf>
    <xf numFmtId="168" fontId="51" fillId="0" borderId="28" xfId="4" applyNumberFormat="1" applyFont="1" applyFill="1" applyBorder="1" applyAlignment="1" applyProtection="1">
      <alignment vertical="center" wrapText="1"/>
    </xf>
    <xf numFmtId="168" fontId="51" fillId="0" borderId="29" xfId="4" applyNumberFormat="1" applyFont="1" applyFill="1" applyBorder="1" applyAlignment="1" applyProtection="1">
      <alignment vertical="center" wrapText="1"/>
    </xf>
    <xf numFmtId="168" fontId="51" fillId="0" borderId="35" xfId="4" applyNumberFormat="1" applyFont="1" applyFill="1" applyBorder="1" applyAlignment="1">
      <alignment vertical="center" wrapText="1"/>
    </xf>
    <xf numFmtId="168" fontId="26" fillId="0" borderId="4" xfId="4" applyNumberFormat="1" applyFont="1" applyFill="1" applyBorder="1" applyAlignment="1">
      <alignment horizontal="center" vertical="center" wrapText="1"/>
    </xf>
    <xf numFmtId="168" fontId="51" fillId="0" borderId="56" xfId="4" applyNumberFormat="1" applyFont="1" applyFill="1" applyBorder="1" applyAlignment="1" applyProtection="1">
      <alignment horizontal="left" vertical="center" wrapText="1" indent="1"/>
      <protection locked="0"/>
    </xf>
    <xf numFmtId="170" fontId="29" fillId="0" borderId="5" xfId="4" applyNumberFormat="1" applyFont="1" applyFill="1" applyBorder="1" applyAlignment="1" applyProtection="1">
      <alignment horizontal="left" vertical="center" wrapText="1" indent="2"/>
      <protection locked="0"/>
    </xf>
    <xf numFmtId="168" fontId="51" fillId="0" borderId="56" xfId="4" applyNumberFormat="1" applyFont="1" applyFill="1" applyBorder="1" applyAlignment="1" applyProtection="1">
      <alignment vertical="center" wrapText="1"/>
      <protection locked="0"/>
    </xf>
    <xf numFmtId="168" fontId="51" fillId="0" borderId="4" xfId="4" applyNumberFormat="1" applyFont="1" applyFill="1" applyBorder="1" applyAlignment="1" applyProtection="1">
      <alignment vertical="center" wrapText="1"/>
      <protection locked="0"/>
    </xf>
    <xf numFmtId="168" fontId="51" fillId="0" borderId="5" xfId="4" applyNumberFormat="1" applyFont="1" applyFill="1" applyBorder="1" applyAlignment="1" applyProtection="1">
      <alignment vertical="center" wrapText="1"/>
      <protection locked="0"/>
    </xf>
    <xf numFmtId="168" fontId="51" fillId="0" borderId="6" xfId="4" applyNumberFormat="1" applyFont="1" applyFill="1" applyBorder="1" applyAlignment="1" applyProtection="1">
      <alignment vertical="center" wrapText="1"/>
      <protection locked="0"/>
    </xf>
    <xf numFmtId="168" fontId="51" fillId="0" borderId="56" xfId="4" applyNumberFormat="1" applyFont="1" applyFill="1" applyBorder="1" applyAlignment="1">
      <alignment vertical="center" wrapText="1"/>
    </xf>
    <xf numFmtId="168" fontId="26" fillId="0" borderId="35" xfId="4" applyNumberFormat="1" applyFont="1" applyFill="1" applyBorder="1" applyAlignment="1" applyProtection="1">
      <alignment horizontal="left" vertical="center" wrapText="1" indent="1"/>
      <protection locked="0"/>
    </xf>
    <xf numFmtId="168" fontId="29" fillId="0" borderId="28" xfId="4" applyNumberFormat="1" applyFont="1" applyFill="1" applyBorder="1" applyAlignment="1" applyProtection="1">
      <alignment horizontal="left" vertical="center" wrapText="1" indent="2"/>
    </xf>
    <xf numFmtId="14" fontId="29" fillId="0" borderId="5" xfId="4" applyNumberFormat="1" applyFont="1" applyFill="1" applyBorder="1" applyAlignment="1" applyProtection="1">
      <alignment horizontal="left" vertical="center" wrapText="1" indent="2"/>
      <protection locked="0"/>
    </xf>
    <xf numFmtId="168" fontId="52" fillId="0" borderId="27" xfId="4" applyNumberFormat="1" applyFont="1" applyFill="1" applyBorder="1" applyAlignment="1">
      <alignment horizontal="center" vertical="center" wrapText="1"/>
    </xf>
    <xf numFmtId="168" fontId="52" fillId="0" borderId="35" xfId="4" applyNumberFormat="1" applyFont="1" applyFill="1" applyBorder="1" applyAlignment="1" applyProtection="1">
      <alignment horizontal="left" vertical="center" wrapText="1" indent="1"/>
      <protection locked="0"/>
    </xf>
    <xf numFmtId="168" fontId="52" fillId="0" borderId="28" xfId="4" applyNumberFormat="1" applyFont="1" applyFill="1" applyBorder="1" applyAlignment="1" applyProtection="1">
      <alignment horizontal="left" vertical="center" wrapText="1" indent="2"/>
    </xf>
    <xf numFmtId="168" fontId="52" fillId="0" borderId="35" xfId="4" applyNumberFormat="1" applyFont="1" applyFill="1" applyBorder="1" applyAlignment="1" applyProtection="1">
      <alignment vertical="center" wrapText="1"/>
    </xf>
    <xf numFmtId="168" fontId="52" fillId="0" borderId="27" xfId="4" applyNumberFormat="1" applyFont="1" applyFill="1" applyBorder="1" applyAlignment="1" applyProtection="1">
      <alignment vertical="center" wrapText="1"/>
    </xf>
    <xf numFmtId="168" fontId="52" fillId="0" borderId="0" xfId="4" applyNumberFormat="1" applyFont="1" applyFill="1" applyAlignment="1">
      <alignment vertical="center" wrapText="1"/>
    </xf>
    <xf numFmtId="168" fontId="26" fillId="0" borderId="10" xfId="4" applyNumberFormat="1" applyFont="1" applyFill="1" applyBorder="1" applyAlignment="1">
      <alignment horizontal="center" vertical="center" wrapText="1"/>
    </xf>
    <xf numFmtId="167" fontId="21" fillId="0" borderId="11" xfId="1" applyNumberFormat="1" applyFont="1" applyBorder="1" applyAlignment="1">
      <alignment vertical="distributed" wrapText="1"/>
    </xf>
    <xf numFmtId="168" fontId="29" fillId="0" borderId="13" xfId="4" applyNumberFormat="1" applyFont="1" applyFill="1" applyBorder="1" applyAlignment="1" applyProtection="1">
      <alignment vertical="center" wrapText="1"/>
    </xf>
    <xf numFmtId="168" fontId="29" fillId="0" borderId="11" xfId="4" applyNumberFormat="1" applyFont="1" applyFill="1" applyBorder="1" applyAlignment="1" applyProtection="1">
      <alignment vertical="center" wrapText="1"/>
      <protection locked="0"/>
    </xf>
    <xf numFmtId="168" fontId="29" fillId="0" borderId="13" xfId="4" applyNumberFormat="1" applyFont="1" applyFill="1" applyBorder="1" applyAlignment="1" applyProtection="1">
      <alignment vertical="center" wrapText="1"/>
      <protection locked="0"/>
    </xf>
    <xf numFmtId="168" fontId="29" fillId="0" borderId="57" xfId="4" applyNumberFormat="1" applyFont="1" applyFill="1" applyBorder="1" applyAlignment="1">
      <alignment vertical="center" wrapText="1"/>
    </xf>
    <xf numFmtId="167" fontId="6" fillId="0" borderId="47" xfId="1" applyNumberFormat="1" applyFont="1" applyBorder="1" applyAlignment="1">
      <alignment vertical="distributed" wrapText="1"/>
    </xf>
    <xf numFmtId="167" fontId="6" fillId="0" borderId="5" xfId="1" applyNumberFormat="1" applyFont="1" applyBorder="1" applyAlignment="1">
      <alignment vertical="distributed" wrapText="1"/>
    </xf>
    <xf numFmtId="167" fontId="6" fillId="0" borderId="50" xfId="1" applyNumberFormat="1" applyFont="1" applyBorder="1" applyAlignment="1">
      <alignment vertical="distributed" wrapText="1"/>
    </xf>
    <xf numFmtId="168" fontId="51" fillId="0" borderId="58" xfId="4" applyNumberFormat="1" applyFont="1" applyFill="1" applyBorder="1" applyAlignment="1" applyProtection="1">
      <alignment horizontal="left" vertical="center" wrapText="1" indent="1"/>
      <protection locked="0"/>
    </xf>
    <xf numFmtId="170" fontId="29" fillId="0" borderId="22" xfId="4" applyNumberFormat="1" applyFont="1" applyFill="1" applyBorder="1" applyAlignment="1" applyProtection="1">
      <alignment horizontal="left" vertical="center" wrapText="1" indent="2"/>
      <protection locked="0"/>
    </xf>
    <xf numFmtId="168" fontId="51" fillId="0" borderId="58" xfId="4" applyNumberFormat="1" applyFont="1" applyFill="1" applyBorder="1" applyAlignment="1" applyProtection="1">
      <alignment vertical="center" wrapText="1"/>
      <protection locked="0"/>
    </xf>
    <xf numFmtId="168" fontId="51" fillId="0" borderId="21" xfId="4" applyNumberFormat="1" applyFont="1" applyFill="1" applyBorder="1" applyAlignment="1" applyProtection="1">
      <alignment vertical="center" wrapText="1"/>
      <protection locked="0"/>
    </xf>
    <xf numFmtId="168" fontId="51" fillId="0" borderId="22" xfId="4" applyNumberFormat="1" applyFont="1" applyFill="1" applyBorder="1" applyAlignment="1" applyProtection="1">
      <alignment vertical="center" wrapText="1"/>
      <protection locked="0"/>
    </xf>
    <xf numFmtId="168" fontId="51" fillId="0" borderId="23" xfId="4" applyNumberFormat="1" applyFont="1" applyFill="1" applyBorder="1" applyAlignment="1" applyProtection="1">
      <alignment vertical="center" wrapText="1"/>
      <protection locked="0"/>
    </xf>
    <xf numFmtId="168" fontId="51" fillId="0" borderId="58" xfId="4" applyNumberFormat="1" applyFont="1" applyFill="1" applyBorder="1" applyAlignment="1">
      <alignment vertical="center" wrapText="1"/>
    </xf>
    <xf numFmtId="168" fontId="47" fillId="0" borderId="35" xfId="4" applyNumberFormat="1" applyFont="1" applyFill="1" applyBorder="1" applyAlignment="1" applyProtection="1">
      <alignment horizontal="left" vertical="center" wrapText="1" indent="1"/>
      <protection locked="0"/>
    </xf>
    <xf numFmtId="168" fontId="51" fillId="0" borderId="35" xfId="4" applyNumberFormat="1" applyFont="1" applyFill="1" applyBorder="1" applyAlignment="1" applyProtection="1">
      <alignment vertical="center" wrapText="1"/>
      <protection locked="0"/>
    </xf>
    <xf numFmtId="168" fontId="51" fillId="0" borderId="27" xfId="4" applyNumberFormat="1" applyFont="1" applyFill="1" applyBorder="1" applyAlignment="1" applyProtection="1">
      <alignment vertical="center" wrapText="1"/>
      <protection locked="0"/>
    </xf>
    <xf numFmtId="168" fontId="51" fillId="0" borderId="28" xfId="4" applyNumberFormat="1" applyFont="1" applyFill="1" applyBorder="1" applyAlignment="1" applyProtection="1">
      <alignment vertical="center" wrapText="1"/>
      <protection locked="0"/>
    </xf>
    <xf numFmtId="168" fontId="51" fillId="0" borderId="29" xfId="4" applyNumberFormat="1" applyFont="1" applyFill="1" applyBorder="1" applyAlignment="1" applyProtection="1">
      <alignment vertical="center" wrapText="1"/>
      <protection locked="0"/>
    </xf>
    <xf numFmtId="168" fontId="51" fillId="0" borderId="57" xfId="4" applyNumberFormat="1" applyFont="1" applyFill="1" applyBorder="1" applyAlignment="1" applyProtection="1">
      <alignment horizontal="left" vertical="center" wrapText="1" indent="1"/>
      <protection locked="0"/>
    </xf>
    <xf numFmtId="170" fontId="29" fillId="0" borderId="59" xfId="4" applyNumberFormat="1" applyFont="1" applyFill="1" applyBorder="1" applyAlignment="1" applyProtection="1">
      <alignment horizontal="left" vertical="center" wrapText="1" indent="2"/>
      <protection locked="0"/>
    </xf>
    <xf numFmtId="168" fontId="51" fillId="0" borderId="55" xfId="4" applyNumberFormat="1" applyFont="1" applyFill="1" applyBorder="1" applyAlignment="1" applyProtection="1">
      <alignment vertical="center" wrapText="1"/>
      <protection locked="0"/>
    </xf>
    <xf numFmtId="168" fontId="51" fillId="0" borderId="24" xfId="4" applyNumberFormat="1" applyFont="1" applyFill="1" applyBorder="1" applyAlignment="1" applyProtection="1">
      <alignment vertical="center" wrapText="1"/>
      <protection locked="0"/>
    </xf>
    <xf numFmtId="168" fontId="51" fillId="0" borderId="20" xfId="4" applyNumberFormat="1" applyFont="1" applyFill="1" applyBorder="1" applyAlignment="1" applyProtection="1">
      <alignment vertical="center" wrapText="1"/>
      <protection locked="0"/>
    </xf>
    <xf numFmtId="168" fontId="51" fillId="0" borderId="26" xfId="4" applyNumberFormat="1" applyFont="1" applyFill="1" applyBorder="1" applyAlignment="1" applyProtection="1">
      <alignment vertical="center" wrapText="1"/>
      <protection locked="0"/>
    </xf>
    <xf numFmtId="168" fontId="51" fillId="0" borderId="55" xfId="4" applyNumberFormat="1" applyFont="1" applyFill="1" applyBorder="1" applyAlignment="1">
      <alignment vertical="center" wrapText="1"/>
    </xf>
    <xf numFmtId="168" fontId="34" fillId="6" borderId="54" xfId="4" applyNumberFormat="1" applyFont="1" applyFill="1" applyBorder="1" applyAlignment="1" applyProtection="1">
      <alignment horizontal="left" vertical="center" wrapText="1" indent="2"/>
    </xf>
    <xf numFmtId="168" fontId="34" fillId="0" borderId="35" xfId="4" applyNumberFormat="1" applyFont="1" applyFill="1" applyBorder="1" applyAlignment="1" applyProtection="1">
      <alignment vertical="center" wrapText="1"/>
    </xf>
    <xf numFmtId="168" fontId="34" fillId="0" borderId="27" xfId="4" applyNumberFormat="1" applyFont="1" applyFill="1" applyBorder="1" applyAlignment="1" applyProtection="1">
      <alignment vertical="center" wrapText="1"/>
    </xf>
    <xf numFmtId="168" fontId="34" fillId="0" borderId="28" xfId="4" applyNumberFormat="1" applyFont="1" applyFill="1" applyBorder="1" applyAlignment="1" applyProtection="1">
      <alignment vertical="center" wrapText="1"/>
    </xf>
    <xf numFmtId="168" fontId="34" fillId="0" borderId="29" xfId="4" applyNumberFormat="1" applyFont="1" applyFill="1" applyBorder="1" applyAlignment="1" applyProtection="1">
      <alignment vertical="center" wrapText="1"/>
    </xf>
    <xf numFmtId="168" fontId="34" fillId="0" borderId="35" xfId="4" applyNumberFormat="1" applyFont="1" applyFill="1" applyBorder="1" applyAlignment="1">
      <alignment vertical="center" wrapText="1"/>
    </xf>
    <xf numFmtId="168" fontId="34" fillId="0" borderId="0" xfId="4" applyNumberFormat="1" applyFont="1" applyFill="1" applyAlignment="1">
      <alignment vertical="center" wrapText="1"/>
    </xf>
    <xf numFmtId="168" fontId="23" fillId="0" borderId="0" xfId="4" applyNumberFormat="1" applyFont="1" applyFill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6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7" fontId="21" fillId="0" borderId="0" xfId="0" applyNumberFormat="1" applyFont="1"/>
    <xf numFmtId="0" fontId="7" fillId="0" borderId="6" xfId="2" applyFont="1" applyBorder="1" applyAlignment="1">
      <alignment vertical="center"/>
    </xf>
    <xf numFmtId="0" fontId="12" fillId="0" borderId="1" xfId="2" applyFont="1" applyBorder="1" applyAlignment="1">
      <alignment horizontal="center" vertical="center" wrapText="1"/>
    </xf>
    <xf numFmtId="0" fontId="13" fillId="6" borderId="3" xfId="2" applyFont="1" applyFill="1" applyBorder="1" applyAlignment="1">
      <alignment horizontal="center" vertical="center" wrapText="1"/>
    </xf>
    <xf numFmtId="0" fontId="13" fillId="6" borderId="14" xfId="2" applyFont="1" applyFill="1" applyBorder="1" applyAlignment="1">
      <alignment horizontal="center" vertical="center" wrapText="1"/>
    </xf>
    <xf numFmtId="0" fontId="13" fillId="6" borderId="5" xfId="2" applyFont="1" applyFill="1" applyBorder="1" applyAlignment="1">
      <alignment horizontal="center" vertical="center" wrapText="1"/>
    </xf>
    <xf numFmtId="165" fontId="6" fillId="0" borderId="6" xfId="2" applyNumberFormat="1" applyFont="1" applyBorder="1" applyAlignment="1">
      <alignment horizontal="center" vertical="center"/>
    </xf>
    <xf numFmtId="165" fontId="6" fillId="0" borderId="6" xfId="3" applyNumberFormat="1" applyFont="1" applyBorder="1" applyAlignment="1">
      <alignment horizontal="center"/>
    </xf>
    <xf numFmtId="165" fontId="6" fillId="0" borderId="18" xfId="3" applyNumberFormat="1" applyFont="1" applyFill="1" applyBorder="1" applyAlignment="1">
      <alignment horizontal="center"/>
    </xf>
    <xf numFmtId="167" fontId="7" fillId="0" borderId="17" xfId="1" applyNumberFormat="1" applyFont="1" applyBorder="1" applyAlignment="1">
      <alignment vertical="center"/>
    </xf>
    <xf numFmtId="0" fontId="0" fillId="0" borderId="5" xfId="0" applyBorder="1"/>
    <xf numFmtId="165" fontId="8" fillId="0" borderId="6" xfId="3" applyNumberFormat="1" applyFont="1" applyBorder="1" applyAlignment="1">
      <alignment horizontal="center"/>
    </xf>
    <xf numFmtId="165" fontId="6" fillId="4" borderId="14" xfId="3" applyNumberFormat="1" applyFont="1" applyFill="1" applyBorder="1" applyAlignment="1">
      <alignment horizontal="center"/>
    </xf>
    <xf numFmtId="165" fontId="5" fillId="0" borderId="6" xfId="3" applyNumberFormat="1" applyFont="1" applyBorder="1" applyAlignment="1">
      <alignment horizontal="center"/>
    </xf>
    <xf numFmtId="165" fontId="5" fillId="0" borderId="16" xfId="3" applyNumberFormat="1" applyFont="1" applyBorder="1" applyAlignment="1">
      <alignment horizontal="center"/>
    </xf>
    <xf numFmtId="165" fontId="6" fillId="6" borderId="14" xfId="3" applyNumberFormat="1" applyFont="1" applyFill="1" applyBorder="1" applyAlignment="1">
      <alignment horizontal="center"/>
    </xf>
    <xf numFmtId="165" fontId="8" fillId="0" borderId="15" xfId="3" applyNumberFormat="1" applyFont="1" applyBorder="1" applyAlignment="1">
      <alignment horizontal="center"/>
    </xf>
    <xf numFmtId="165" fontId="8" fillId="0" borderId="5" xfId="3" applyNumberFormat="1" applyFont="1" applyFill="1" applyBorder="1" applyAlignment="1">
      <alignment horizontal="center"/>
    </xf>
    <xf numFmtId="167" fontId="16" fillId="0" borderId="6" xfId="1" applyNumberFormat="1" applyFont="1" applyBorder="1" applyAlignment="1">
      <alignment vertical="center"/>
    </xf>
    <xf numFmtId="165" fontId="10" fillId="0" borderId="6" xfId="3" applyNumberFormat="1" applyFont="1" applyBorder="1" applyAlignment="1">
      <alignment horizontal="center"/>
    </xf>
    <xf numFmtId="165" fontId="5" fillId="0" borderId="6" xfId="2" applyNumberFormat="1" applyFont="1" applyBorder="1" applyAlignment="1">
      <alignment horizont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165" fontId="5" fillId="0" borderId="9" xfId="2" applyNumberFormat="1" applyFont="1" applyBorder="1" applyAlignment="1">
      <alignment horizontal="center"/>
    </xf>
    <xf numFmtId="3" fontId="0" fillId="0" borderId="0" xfId="0" applyNumberFormat="1"/>
    <xf numFmtId="0" fontId="3" fillId="0" borderId="0" xfId="0" applyFont="1"/>
    <xf numFmtId="3" fontId="3" fillId="0" borderId="35" xfId="0" applyNumberFormat="1" applyFont="1" applyBorder="1" applyAlignment="1">
      <alignment horizontal="center"/>
    </xf>
    <xf numFmtId="3" fontId="3" fillId="0" borderId="35" xfId="0" applyNumberFormat="1" applyFont="1" applyBorder="1"/>
    <xf numFmtId="3" fontId="0" fillId="0" borderId="35" xfId="0" applyNumberFormat="1" applyBorder="1"/>
    <xf numFmtId="3" fontId="55" fillId="0" borderId="35" xfId="0" applyNumberFormat="1" applyFont="1" applyBorder="1"/>
    <xf numFmtId="0" fontId="55" fillId="0" borderId="0" xfId="0" applyFont="1"/>
    <xf numFmtId="3" fontId="54" fillId="0" borderId="35" xfId="0" applyNumberFormat="1" applyFont="1" applyBorder="1"/>
    <xf numFmtId="0" fontId="54" fillId="0" borderId="0" xfId="0" applyFont="1"/>
    <xf numFmtId="0" fontId="8" fillId="0" borderId="0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21" fillId="0" borderId="5" xfId="5" applyFont="1" applyBorder="1" applyAlignment="1">
      <alignment horizontal="center" vertical="center"/>
    </xf>
    <xf numFmtId="0" fontId="21" fillId="0" borderId="5" xfId="5" applyFont="1" applyBorder="1" applyAlignment="1">
      <alignment vertical="center"/>
    </xf>
    <xf numFmtId="3" fontId="21" fillId="0" borderId="5" xfId="5" applyNumberFormat="1" applyFont="1" applyBorder="1" applyAlignment="1">
      <alignment vertical="center"/>
    </xf>
    <xf numFmtId="165" fontId="21" fillId="0" borderId="5" xfId="5" applyNumberFormat="1" applyFont="1" applyBorder="1" applyAlignment="1">
      <alignment vertical="center"/>
    </xf>
    <xf numFmtId="165" fontId="13" fillId="0" borderId="5" xfId="5" applyNumberFormat="1" applyFont="1" applyBorder="1" applyAlignment="1">
      <alignment horizontal="center" vertical="center"/>
    </xf>
    <xf numFmtId="0" fontId="13" fillId="0" borderId="5" xfId="5" applyFont="1" applyBorder="1" applyAlignment="1">
      <alignment vertical="center"/>
    </xf>
    <xf numFmtId="0" fontId="56" fillId="6" borderId="5" xfId="5" applyFont="1" applyFill="1" applyBorder="1" applyAlignment="1">
      <alignment vertical="center"/>
    </xf>
    <xf numFmtId="165" fontId="21" fillId="6" borderId="5" xfId="5" applyNumberFormat="1" applyFont="1" applyFill="1" applyBorder="1" applyAlignment="1">
      <alignment vertical="center"/>
    </xf>
    <xf numFmtId="165" fontId="13" fillId="6" borderId="5" xfId="5" applyNumberFormat="1" applyFont="1" applyFill="1" applyBorder="1" applyAlignment="1">
      <alignment horizontal="center" vertical="center"/>
    </xf>
    <xf numFmtId="0" fontId="21" fillId="0" borderId="5" xfId="5" applyFont="1" applyBorder="1" applyAlignment="1">
      <alignment horizontal="left" vertical="center"/>
    </xf>
    <xf numFmtId="0" fontId="12" fillId="0" borderId="5" xfId="5" applyFont="1" applyBorder="1" applyAlignment="1">
      <alignment vertical="center"/>
    </xf>
    <xf numFmtId="165" fontId="13" fillId="0" borderId="5" xfId="5" applyNumberFormat="1" applyFont="1" applyBorder="1" applyAlignment="1">
      <alignment vertical="center"/>
    </xf>
    <xf numFmtId="165" fontId="6" fillId="0" borderId="14" xfId="3" applyNumberFormat="1" applyFont="1" applyFill="1" applyBorder="1" applyAlignment="1">
      <alignment horizontal="center"/>
    </xf>
    <xf numFmtId="165" fontId="13" fillId="0" borderId="20" xfId="5" applyNumberFormat="1" applyFont="1" applyFill="1" applyBorder="1" applyAlignment="1">
      <alignment vertical="center"/>
    </xf>
    <xf numFmtId="165" fontId="21" fillId="0" borderId="5" xfId="5" applyNumberFormat="1" applyFont="1" applyBorder="1" applyAlignment="1">
      <alignment horizontal="center" vertical="center"/>
    </xf>
    <xf numFmtId="165" fontId="6" fillId="6" borderId="16" xfId="3" applyNumberFormat="1" applyFont="1" applyFill="1" applyBorder="1" applyAlignment="1">
      <alignment horizontal="center"/>
    </xf>
    <xf numFmtId="0" fontId="16" fillId="0" borderId="0" xfId="2" applyFont="1" applyAlignment="1">
      <alignment vertical="center"/>
    </xf>
    <xf numFmtId="3" fontId="5" fillId="0" borderId="5" xfId="3" applyNumberFormat="1" applyFont="1" applyBorder="1" applyAlignment="1">
      <alignment horizontal="center"/>
    </xf>
    <xf numFmtId="0" fontId="19" fillId="0" borderId="0" xfId="2" applyFont="1" applyAlignment="1">
      <alignment vertical="center"/>
    </xf>
    <xf numFmtId="165" fontId="5" fillId="0" borderId="5" xfId="2" applyNumberFormat="1" applyFont="1" applyBorder="1" applyAlignment="1">
      <alignment horizontal="center"/>
    </xf>
    <xf numFmtId="3" fontId="57" fillId="0" borderId="0" xfId="5" applyNumberFormat="1" applyFont="1" applyAlignment="1">
      <alignment vertical="center"/>
    </xf>
    <xf numFmtId="0" fontId="57" fillId="0" borderId="0" xfId="5" applyFont="1" applyAlignment="1">
      <alignment vertical="center"/>
    </xf>
    <xf numFmtId="3" fontId="57" fillId="0" borderId="0" xfId="1" applyNumberFormat="1" applyFont="1" applyAlignment="1">
      <alignment vertical="center"/>
    </xf>
    <xf numFmtId="0" fontId="21" fillId="0" borderId="16" xfId="2" applyFont="1" applyBorder="1" applyAlignment="1">
      <alignment horizontal="left"/>
    </xf>
    <xf numFmtId="3" fontId="13" fillId="0" borderId="5" xfId="5" applyNumberFormat="1" applyFont="1" applyBorder="1" applyAlignment="1">
      <alignment horizontal="center" vertical="center"/>
    </xf>
    <xf numFmtId="165" fontId="57" fillId="0" borderId="0" xfId="5" applyNumberFormat="1" applyFont="1" applyAlignment="1">
      <alignment vertical="center"/>
    </xf>
    <xf numFmtId="0" fontId="12" fillId="0" borderId="0" xfId="5" applyFont="1" applyBorder="1" applyAlignment="1">
      <alignment vertical="center"/>
    </xf>
    <xf numFmtId="165" fontId="13" fillId="0" borderId="0" xfId="5" applyNumberFormat="1" applyFont="1" applyBorder="1" applyAlignment="1">
      <alignment vertical="center"/>
    </xf>
    <xf numFmtId="165" fontId="13" fillId="0" borderId="0" xfId="5" applyNumberFormat="1" applyFont="1" applyBorder="1" applyAlignment="1">
      <alignment horizontal="center" vertical="center"/>
    </xf>
    <xf numFmtId="0" fontId="6" fillId="0" borderId="0" xfId="5" applyFont="1" applyAlignment="1">
      <alignment vertical="center"/>
    </xf>
    <xf numFmtId="165" fontId="6" fillId="0" borderId="0" xfId="5" applyNumberFormat="1" applyFont="1" applyAlignment="1">
      <alignment vertical="center"/>
    </xf>
    <xf numFmtId="0" fontId="6" fillId="0" borderId="0" xfId="5" applyFont="1" applyAlignment="1">
      <alignment horizontal="right" vertical="center"/>
    </xf>
    <xf numFmtId="3" fontId="6" fillId="0" borderId="0" xfId="5" applyNumberFormat="1" applyFont="1" applyAlignment="1">
      <alignment vertical="center"/>
    </xf>
    <xf numFmtId="0" fontId="7" fillId="0" borderId="51" xfId="0" applyFont="1" applyBorder="1" applyAlignment="1">
      <alignment horizontal="center" vertical="center" wrapText="1"/>
    </xf>
    <xf numFmtId="0" fontId="13" fillId="6" borderId="15" xfId="2" applyFont="1" applyFill="1" applyBorder="1" applyAlignment="1">
      <alignment horizontal="center" vertical="center" wrapText="1"/>
    </xf>
    <xf numFmtId="0" fontId="22" fillId="0" borderId="54" xfId="0" applyFont="1" applyBorder="1"/>
    <xf numFmtId="0" fontId="22" fillId="0" borderId="59" xfId="0" applyFont="1" applyBorder="1"/>
    <xf numFmtId="0" fontId="12" fillId="0" borderId="59" xfId="2" applyFont="1" applyBorder="1" applyAlignment="1">
      <alignment horizontal="left" vertical="center" wrapText="1"/>
    </xf>
    <xf numFmtId="0" fontId="13" fillId="0" borderId="56" xfId="2" applyFont="1" applyBorder="1" applyAlignment="1">
      <alignment horizontal="center" vertical="center" wrapText="1"/>
    </xf>
    <xf numFmtId="0" fontId="13" fillId="6" borderId="56" xfId="2" applyFont="1" applyFill="1" applyBorder="1" applyAlignment="1">
      <alignment horizontal="center" vertical="center" wrapText="1"/>
    </xf>
    <xf numFmtId="165" fontId="6" fillId="0" borderId="56" xfId="2" applyNumberFormat="1" applyFont="1" applyBorder="1" applyAlignment="1">
      <alignment horizontal="center" vertical="center"/>
    </xf>
    <xf numFmtId="165" fontId="6" fillId="0" borderId="56" xfId="3" applyNumberFormat="1" applyFont="1" applyFill="1" applyBorder="1" applyAlignment="1">
      <alignment horizontal="center"/>
    </xf>
    <xf numFmtId="165" fontId="6" fillId="0" borderId="58" xfId="3" applyNumberFormat="1" applyFont="1" applyFill="1" applyBorder="1" applyAlignment="1">
      <alignment horizontal="center"/>
    </xf>
    <xf numFmtId="165" fontId="6" fillId="0" borderId="55" xfId="3" applyNumberFormat="1" applyFont="1" applyFill="1" applyBorder="1" applyAlignment="1">
      <alignment horizontal="center"/>
    </xf>
    <xf numFmtId="165" fontId="12" fillId="0" borderId="35" xfId="3" applyNumberFormat="1" applyFont="1" applyFill="1" applyBorder="1" applyAlignment="1">
      <alignment horizontal="center"/>
    </xf>
    <xf numFmtId="165" fontId="12" fillId="0" borderId="55" xfId="3" applyNumberFormat="1" applyFont="1" applyFill="1" applyBorder="1" applyAlignment="1">
      <alignment horizontal="center"/>
    </xf>
    <xf numFmtId="165" fontId="6" fillId="0" borderId="57" xfId="3" applyNumberFormat="1" applyFont="1" applyFill="1" applyBorder="1" applyAlignment="1">
      <alignment horizontal="center"/>
    </xf>
    <xf numFmtId="165" fontId="12" fillId="0" borderId="35" xfId="3" applyNumberFormat="1" applyFont="1" applyBorder="1" applyAlignment="1">
      <alignment horizontal="center"/>
    </xf>
    <xf numFmtId="165" fontId="12" fillId="0" borderId="55" xfId="3" applyNumberFormat="1" applyFont="1" applyBorder="1" applyAlignment="1">
      <alignment horizontal="center"/>
    </xf>
    <xf numFmtId="165" fontId="8" fillId="6" borderId="56" xfId="3" applyNumberFormat="1" applyFont="1" applyFill="1" applyBorder="1" applyAlignment="1">
      <alignment horizontal="center"/>
    </xf>
    <xf numFmtId="165" fontId="8" fillId="0" borderId="56" xfId="3" applyNumberFormat="1" applyFont="1" applyFill="1" applyBorder="1" applyAlignment="1">
      <alignment horizontal="center"/>
    </xf>
    <xf numFmtId="165" fontId="6" fillId="6" borderId="56" xfId="3" applyNumberFormat="1" applyFont="1" applyFill="1" applyBorder="1" applyAlignment="1">
      <alignment horizontal="center"/>
    </xf>
    <xf numFmtId="165" fontId="5" fillId="0" borderId="56" xfId="3" applyNumberFormat="1" applyFont="1" applyFill="1" applyBorder="1" applyAlignment="1">
      <alignment horizontal="center"/>
    </xf>
    <xf numFmtId="165" fontId="5" fillId="0" borderId="63" xfId="3" applyNumberFormat="1" applyFont="1" applyFill="1" applyBorder="1" applyAlignment="1">
      <alignment horizontal="center"/>
    </xf>
    <xf numFmtId="168" fontId="29" fillId="0" borderId="20" xfId="4" applyNumberFormat="1" applyFont="1" applyFill="1" applyBorder="1" applyAlignment="1" applyProtection="1">
      <alignment vertical="center" wrapText="1"/>
      <protection locked="0"/>
    </xf>
    <xf numFmtId="168" fontId="29" fillId="0" borderId="16" xfId="4" applyNumberFormat="1" applyFont="1" applyFill="1" applyBorder="1" applyAlignment="1" applyProtection="1">
      <alignment vertical="center" wrapText="1"/>
    </xf>
    <xf numFmtId="168" fontId="29" fillId="0" borderId="6" xfId="4" applyNumberFormat="1" applyFont="1" applyFill="1" applyBorder="1" applyAlignment="1" applyProtection="1">
      <alignment vertical="center" wrapText="1"/>
      <protection locked="0"/>
    </xf>
    <xf numFmtId="168" fontId="29" fillId="0" borderId="56" xfId="4" applyNumberFormat="1" applyFont="1" applyFill="1" applyBorder="1" applyAlignment="1">
      <alignment vertical="center" wrapText="1"/>
    </xf>
    <xf numFmtId="0" fontId="61" fillId="0" borderId="0" xfId="0" applyFont="1"/>
    <xf numFmtId="0" fontId="0" fillId="0" borderId="40" xfId="0" applyBorder="1"/>
    <xf numFmtId="167" fontId="0" fillId="10" borderId="0" xfId="1" applyNumberFormat="1" applyFont="1" applyFill="1"/>
    <xf numFmtId="0" fontId="0" fillId="11" borderId="0" xfId="0" applyFill="1"/>
    <xf numFmtId="167" fontId="62" fillId="0" borderId="0" xfId="1" applyNumberFormat="1" applyFont="1"/>
    <xf numFmtId="0" fontId="62" fillId="0" borderId="0" xfId="0" applyFont="1"/>
    <xf numFmtId="0" fontId="63" fillId="0" borderId="0" xfId="0" applyFont="1"/>
    <xf numFmtId="167" fontId="15" fillId="0" borderId="0" xfId="0" applyNumberFormat="1" applyFont="1"/>
    <xf numFmtId="167" fontId="15" fillId="0" borderId="0" xfId="1" applyNumberFormat="1" applyFont="1"/>
    <xf numFmtId="167" fontId="21" fillId="0" borderId="16" xfId="1" applyNumberFormat="1" applyFont="1" applyBorder="1" applyAlignment="1">
      <alignment horizontal="left" vertical="justify" wrapText="1"/>
    </xf>
    <xf numFmtId="167" fontId="21" fillId="0" borderId="16" xfId="1" applyNumberFormat="1" applyFont="1" applyBorder="1" applyAlignment="1">
      <alignment horizontal="left" wrapText="1"/>
    </xf>
    <xf numFmtId="0" fontId="31" fillId="0" borderId="0" xfId="0" applyFont="1"/>
    <xf numFmtId="167" fontId="31" fillId="13" borderId="0" xfId="1" applyNumberFormat="1" applyFont="1" applyFill="1"/>
    <xf numFmtId="167" fontId="21" fillId="0" borderId="22" xfId="1" applyNumberFormat="1" applyFont="1" applyBorder="1" applyAlignment="1">
      <alignment vertical="distributed" wrapText="1"/>
    </xf>
    <xf numFmtId="0" fontId="31" fillId="0" borderId="16" xfId="0" applyFont="1" applyBorder="1"/>
    <xf numFmtId="167" fontId="14" fillId="0" borderId="57" xfId="1" applyNumberFormat="1" applyFont="1" applyBorder="1"/>
    <xf numFmtId="167" fontId="31" fillId="13" borderId="35" xfId="1" applyNumberFormat="1" applyFont="1" applyFill="1" applyBorder="1"/>
    <xf numFmtId="167" fontId="64" fillId="0" borderId="0" xfId="1" applyNumberFormat="1" applyFont="1"/>
    <xf numFmtId="167" fontId="31" fillId="14" borderId="0" xfId="1" applyNumberFormat="1" applyFont="1" applyFill="1"/>
    <xf numFmtId="167" fontId="22" fillId="0" borderId="0" xfId="1" applyNumberFormat="1" applyFont="1"/>
    <xf numFmtId="164" fontId="0" fillId="0" borderId="0" xfId="1" applyFont="1"/>
    <xf numFmtId="0" fontId="15" fillId="14" borderId="5" xfId="0" applyFont="1" applyFill="1" applyBorder="1"/>
    <xf numFmtId="167" fontId="15" fillId="10" borderId="5" xfId="1" applyNumberFormat="1" applyFont="1" applyFill="1" applyBorder="1"/>
    <xf numFmtId="167" fontId="15" fillId="10" borderId="0" xfId="1" applyNumberFormat="1" applyFont="1" applyFill="1"/>
    <xf numFmtId="167" fontId="22" fillId="14" borderId="5" xfId="1" applyNumberFormat="1" applyFont="1" applyFill="1" applyBorder="1"/>
    <xf numFmtId="0" fontId="66" fillId="10" borderId="5" xfId="0" applyFont="1" applyFill="1" applyBorder="1"/>
    <xf numFmtId="167" fontId="31" fillId="10" borderId="5" xfId="1" applyNumberFormat="1" applyFont="1" applyFill="1" applyBorder="1"/>
    <xf numFmtId="0" fontId="0" fillId="14" borderId="0" xfId="0" applyFill="1"/>
    <xf numFmtId="167" fontId="15" fillId="0" borderId="40" xfId="1" applyNumberFormat="1" applyFont="1" applyBorder="1"/>
    <xf numFmtId="167" fontId="0" fillId="0" borderId="0" xfId="1" applyNumberFormat="1" applyFont="1" applyAlignment="1">
      <alignment horizontal="center"/>
    </xf>
    <xf numFmtId="167" fontId="0" fillId="10" borderId="5" xfId="1" applyNumberFormat="1" applyFont="1" applyFill="1" applyBorder="1"/>
    <xf numFmtId="167" fontId="62" fillId="10" borderId="5" xfId="1" applyNumberFormat="1" applyFont="1" applyFill="1" applyBorder="1"/>
    <xf numFmtId="0" fontId="0" fillId="13" borderId="0" xfId="0" applyFill="1"/>
    <xf numFmtId="167" fontId="0" fillId="13" borderId="0" xfId="1" applyNumberFormat="1" applyFont="1" applyFill="1"/>
    <xf numFmtId="0" fontId="0" fillId="10" borderId="0" xfId="0" applyFill="1"/>
    <xf numFmtId="167" fontId="31" fillId="10" borderId="35" xfId="1" applyNumberFormat="1" applyFont="1" applyFill="1" applyBorder="1"/>
    <xf numFmtId="0" fontId="67" fillId="0" borderId="0" xfId="0" applyFont="1"/>
    <xf numFmtId="0" fontId="68" fillId="0" borderId="0" xfId="0" applyFont="1"/>
    <xf numFmtId="0" fontId="3" fillId="0" borderId="35" xfId="0" applyFont="1" applyBorder="1" applyAlignment="1">
      <alignment horizontal="center"/>
    </xf>
    <xf numFmtId="0" fontId="3" fillId="0" borderId="37" xfId="0" applyFont="1" applyBorder="1"/>
    <xf numFmtId="0" fontId="3" fillId="0" borderId="35" xfId="0" applyFont="1" applyBorder="1"/>
    <xf numFmtId="3" fontId="54" fillId="0" borderId="37" xfId="0" applyNumberFormat="1" applyFont="1" applyBorder="1"/>
    <xf numFmtId="3" fontId="3" fillId="0" borderId="37" xfId="0" applyNumberFormat="1" applyFont="1" applyBorder="1"/>
    <xf numFmtId="3" fontId="69" fillId="0" borderId="35" xfId="0" applyNumberFormat="1" applyFont="1" applyBorder="1"/>
    <xf numFmtId="0" fontId="69" fillId="0" borderId="0" xfId="0" applyFont="1"/>
    <xf numFmtId="0" fontId="0" fillId="0" borderId="35" xfId="0" applyBorder="1" applyAlignment="1">
      <alignment horizontal="center"/>
    </xf>
    <xf numFmtId="167" fontId="70" fillId="10" borderId="59" xfId="1" applyNumberFormat="1" applyFont="1" applyFill="1" applyBorder="1" applyAlignment="1">
      <alignment horizontal="right"/>
    </xf>
    <xf numFmtId="0" fontId="0" fillId="0" borderId="38" xfId="0" applyBorder="1"/>
    <xf numFmtId="3" fontId="0" fillId="0" borderId="35" xfId="0" applyNumberFormat="1" applyBorder="1" applyAlignment="1">
      <alignment horizontal="center"/>
    </xf>
    <xf numFmtId="3" fontId="0" fillId="0" borderId="38" xfId="0" applyNumberFormat="1" applyBorder="1"/>
    <xf numFmtId="168" fontId="24" fillId="0" borderId="0" xfId="4" applyNumberFormat="1" applyFont="1" applyFill="1" applyAlignment="1">
      <alignment horizontal="center" vertical="center" wrapText="1"/>
    </xf>
    <xf numFmtId="168" fontId="24" fillId="0" borderId="0" xfId="4" applyNumberFormat="1" applyFont="1" applyFill="1" applyAlignment="1">
      <alignment vertical="center" wrapText="1"/>
    </xf>
    <xf numFmtId="3" fontId="71" fillId="0" borderId="0" xfId="0" applyNumberFormat="1" applyFont="1"/>
    <xf numFmtId="3" fontId="71" fillId="10" borderId="0" xfId="0" applyNumberFormat="1" applyFont="1" applyFill="1"/>
    <xf numFmtId="3" fontId="71" fillId="12" borderId="0" xfId="0" applyNumberFormat="1" applyFont="1" applyFill="1"/>
    <xf numFmtId="3" fontId="31" fillId="13" borderId="35" xfId="1" applyNumberFormat="1" applyFont="1" applyFill="1" applyBorder="1"/>
    <xf numFmtId="168" fontId="24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7" fontId="19" fillId="0" borderId="0" xfId="1" applyNumberFormat="1" applyFont="1" applyFill="1" applyBorder="1" applyAlignment="1" applyProtection="1">
      <alignment vertical="center" wrapText="1"/>
      <protection locked="0"/>
    </xf>
    <xf numFmtId="168" fontId="30" fillId="0" borderId="0" xfId="4" applyNumberFormat="1" applyFont="1" applyFill="1" applyBorder="1" applyAlignment="1" applyProtection="1">
      <alignment vertical="center" wrapText="1"/>
    </xf>
    <xf numFmtId="167" fontId="31" fillId="0" borderId="35" xfId="1" applyNumberFormat="1" applyFont="1" applyBorder="1"/>
    <xf numFmtId="167" fontId="1" fillId="0" borderId="0" xfId="1" applyNumberFormat="1" applyFont="1"/>
    <xf numFmtId="0" fontId="1" fillId="0" borderId="0" xfId="0" applyFont="1"/>
    <xf numFmtId="167" fontId="1" fillId="0" borderId="0" xfId="0" applyNumberFormat="1" applyFont="1"/>
    <xf numFmtId="168" fontId="25" fillId="0" borderId="54" xfId="4" applyNumberFormat="1" applyFont="1" applyFill="1" applyBorder="1" applyAlignment="1">
      <alignment horizontal="center" vertical="center" wrapText="1"/>
    </xf>
    <xf numFmtId="168" fontId="26" fillId="0" borderId="65" xfId="4" applyNumberFormat="1" applyFont="1" applyFill="1" applyBorder="1" applyAlignment="1" applyProtection="1">
      <alignment horizontal="center" vertical="center" wrapText="1"/>
    </xf>
    <xf numFmtId="0" fontId="0" fillId="0" borderId="54" xfId="0" applyFont="1" applyBorder="1" applyAlignment="1"/>
    <xf numFmtId="167" fontId="31" fillId="0" borderId="37" xfId="1" applyNumberFormat="1" applyFont="1" applyBorder="1"/>
    <xf numFmtId="168" fontId="25" fillId="0" borderId="35" xfId="4" applyNumberFormat="1" applyFont="1" applyFill="1" applyBorder="1" applyAlignment="1" applyProtection="1">
      <alignment horizontal="center" vertical="center" wrapText="1"/>
    </xf>
    <xf numFmtId="168" fontId="26" fillId="0" borderId="38" xfId="4" applyNumberFormat="1" applyFont="1" applyFill="1" applyBorder="1" applyAlignment="1" applyProtection="1">
      <alignment horizontal="center" vertical="center" wrapText="1"/>
    </xf>
    <xf numFmtId="168" fontId="30" fillId="0" borderId="35" xfId="4" applyNumberFormat="1" applyFont="1" applyFill="1" applyBorder="1" applyAlignment="1" applyProtection="1">
      <alignment vertical="center" wrapText="1"/>
    </xf>
    <xf numFmtId="168" fontId="30" fillId="0" borderId="57" xfId="4" applyNumberFormat="1" applyFont="1" applyFill="1" applyBorder="1" applyAlignment="1" applyProtection="1">
      <alignment vertical="center" wrapText="1"/>
    </xf>
    <xf numFmtId="168" fontId="30" fillId="0" borderId="56" xfId="4" applyNumberFormat="1" applyFont="1" applyFill="1" applyBorder="1" applyAlignment="1" applyProtection="1">
      <alignment vertical="center" wrapText="1"/>
    </xf>
    <xf numFmtId="167" fontId="8" fillId="0" borderId="0" xfId="1" applyNumberFormat="1" applyFont="1" applyBorder="1" applyAlignment="1">
      <alignment horizontal="left"/>
    </xf>
    <xf numFmtId="167" fontId="8" fillId="0" borderId="0" xfId="1" applyNumberFormat="1" applyFont="1" applyBorder="1"/>
    <xf numFmtId="167" fontId="8" fillId="0" borderId="0" xfId="1" applyNumberFormat="1" applyFont="1" applyBorder="1" applyAlignment="1"/>
    <xf numFmtId="168" fontId="36" fillId="0" borderId="38" xfId="4" applyNumberFormat="1" applyFont="1" applyFill="1" applyBorder="1" applyAlignment="1" applyProtection="1">
      <alignment vertical="center" wrapText="1"/>
    </xf>
    <xf numFmtId="168" fontId="33" fillId="0" borderId="35" xfId="4" applyNumberFormat="1" applyFont="1" applyFill="1" applyBorder="1" applyAlignment="1" applyProtection="1">
      <alignment vertical="center" wrapText="1"/>
    </xf>
    <xf numFmtId="168" fontId="36" fillId="0" borderId="42" xfId="4" applyNumberFormat="1" applyFont="1" applyFill="1" applyBorder="1" applyAlignment="1">
      <alignment horizontal="left" vertical="center" wrapText="1"/>
    </xf>
    <xf numFmtId="168" fontId="37" fillId="0" borderId="33" xfId="4" applyNumberFormat="1" applyFont="1" applyFill="1" applyBorder="1" applyAlignment="1">
      <alignment vertical="center" wrapText="1"/>
    </xf>
    <xf numFmtId="168" fontId="37" fillId="0" borderId="65" xfId="4" applyNumberFormat="1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Continuous"/>
    </xf>
    <xf numFmtId="0" fontId="4" fillId="0" borderId="5" xfId="0" applyFont="1" applyBorder="1"/>
    <xf numFmtId="169" fontId="4" fillId="0" borderId="0" xfId="0" applyNumberFormat="1" applyFont="1"/>
    <xf numFmtId="0" fontId="6" fillId="0" borderId="5" xfId="2" applyFont="1" applyBorder="1" applyAlignment="1">
      <alignment horizontal="left"/>
    </xf>
    <xf numFmtId="0" fontId="6" fillId="0" borderId="5" xfId="2" applyFont="1" applyBorder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8" fillId="0" borderId="0" xfId="5" applyFont="1" applyBorder="1" applyAlignment="1">
      <alignment horizontal="center" vertical="center"/>
    </xf>
    <xf numFmtId="167" fontId="7" fillId="0" borderId="0" xfId="1" applyNumberFormat="1" applyFont="1" applyAlignment="1">
      <alignment vertical="center"/>
    </xf>
    <xf numFmtId="167" fontId="16" fillId="0" borderId="0" xfId="1" applyNumberFormat="1" applyFont="1" applyAlignment="1">
      <alignment vertical="center"/>
    </xf>
    <xf numFmtId="167" fontId="19" fillId="0" borderId="0" xfId="1" applyNumberFormat="1" applyFont="1" applyAlignment="1">
      <alignment vertical="center"/>
    </xf>
    <xf numFmtId="165" fontId="7" fillId="0" borderId="0" xfId="2" applyNumberFormat="1" applyFont="1" applyAlignment="1">
      <alignment vertical="center"/>
    </xf>
    <xf numFmtId="0" fontId="4" fillId="0" borderId="0" xfId="5" applyFont="1" applyAlignment="1">
      <alignment vertical="center"/>
    </xf>
    <xf numFmtId="3" fontId="2" fillId="0" borderId="35" xfId="0" applyNumberFormat="1" applyFont="1" applyBorder="1"/>
    <xf numFmtId="0" fontId="69" fillId="0" borderId="35" xfId="0" applyFont="1" applyBorder="1"/>
    <xf numFmtId="3" fontId="0" fillId="0" borderId="40" xfId="0" applyNumberFormat="1" applyBorder="1"/>
    <xf numFmtId="3" fontId="74" fillId="0" borderId="35" xfId="0" applyNumberFormat="1" applyFont="1" applyBorder="1"/>
    <xf numFmtId="3" fontId="73" fillId="0" borderId="35" xfId="0" applyNumberFormat="1" applyFont="1" applyBorder="1"/>
    <xf numFmtId="0" fontId="55" fillId="0" borderId="2" xfId="0" applyFont="1" applyBorder="1"/>
    <xf numFmtId="0" fontId="55" fillId="0" borderId="61" xfId="0" applyFont="1" applyBorder="1"/>
    <xf numFmtId="0" fontId="73" fillId="0" borderId="19" xfId="0" quotePrefix="1" applyFont="1" applyBorder="1" applyAlignment="1">
      <alignment wrapText="1"/>
    </xf>
    <xf numFmtId="0" fontId="73" fillId="0" borderId="2" xfId="0" applyFont="1" applyBorder="1"/>
    <xf numFmtId="0" fontId="73" fillId="0" borderId="11" xfId="0" quotePrefix="1" applyFont="1" applyBorder="1" applyAlignment="1">
      <alignment wrapText="1"/>
    </xf>
    <xf numFmtId="0" fontId="73" fillId="0" borderId="16" xfId="0" applyFont="1" applyBorder="1" applyAlignment="1">
      <alignment horizontal="center" wrapText="1"/>
    </xf>
    <xf numFmtId="167" fontId="0" fillId="0" borderId="4" xfId="0" applyNumberFormat="1" applyBorder="1"/>
    <xf numFmtId="167" fontId="4" fillId="0" borderId="16" xfId="1" applyNumberFormat="1" applyFont="1" applyBorder="1"/>
    <xf numFmtId="3" fontId="4" fillId="0" borderId="35" xfId="0" applyNumberFormat="1" applyFont="1" applyBorder="1" applyAlignment="1">
      <alignment wrapText="1"/>
    </xf>
    <xf numFmtId="167" fontId="4" fillId="0" borderId="14" xfId="1" applyNumberFormat="1" applyFont="1" applyBorder="1"/>
    <xf numFmtId="167" fontId="4" fillId="0" borderId="5" xfId="1" applyNumberFormat="1" applyFont="1" applyBorder="1"/>
    <xf numFmtId="167" fontId="4" fillId="0" borderId="13" xfId="1" applyNumberFormat="1" applyFont="1" applyBorder="1"/>
    <xf numFmtId="167" fontId="4" fillId="0" borderId="11" xfId="1" applyNumberFormat="1" applyFont="1" applyBorder="1"/>
    <xf numFmtId="167" fontId="4" fillId="0" borderId="6" xfId="1" applyNumberFormat="1" applyFont="1" applyBorder="1"/>
    <xf numFmtId="167" fontId="55" fillId="0" borderId="4" xfId="0" applyNumberFormat="1" applyFont="1" applyBorder="1"/>
    <xf numFmtId="167" fontId="16" fillId="0" borderId="4" xfId="1" applyNumberFormat="1" applyFont="1" applyBorder="1"/>
    <xf numFmtId="167" fontId="16" fillId="0" borderId="56" xfId="1" applyNumberFormat="1" applyFont="1" applyBorder="1"/>
    <xf numFmtId="167" fontId="4" fillId="0" borderId="22" xfId="1" applyNumberFormat="1" applyFont="1" applyBorder="1"/>
    <xf numFmtId="167" fontId="4" fillId="0" borderId="48" xfId="1" applyNumberFormat="1" applyFont="1" applyBorder="1"/>
    <xf numFmtId="167" fontId="4" fillId="0" borderId="23" xfId="1" applyNumberFormat="1" applyFont="1" applyBorder="1"/>
    <xf numFmtId="167" fontId="16" fillId="0" borderId="69" xfId="0" applyNumberFormat="1" applyFont="1" applyBorder="1"/>
    <xf numFmtId="167" fontId="16" fillId="0" borderId="28" xfId="0" applyNumberFormat="1" applyFont="1" applyBorder="1"/>
    <xf numFmtId="167" fontId="16" fillId="0" borderId="29" xfId="0" applyNumberFormat="1" applyFont="1" applyBorder="1"/>
    <xf numFmtId="167" fontId="16" fillId="0" borderId="7" xfId="0" applyNumberFormat="1" applyFont="1" applyBorder="1"/>
    <xf numFmtId="167" fontId="16" fillId="0" borderId="63" xfId="0" applyNumberFormat="1" applyFont="1" applyBorder="1"/>
    <xf numFmtId="0" fontId="16" fillId="0" borderId="0" xfId="0" applyFont="1"/>
    <xf numFmtId="167" fontId="4" fillId="0" borderId="0" xfId="0" applyNumberFormat="1" applyFont="1"/>
    <xf numFmtId="0" fontId="7" fillId="0" borderId="0" xfId="0" applyFont="1"/>
    <xf numFmtId="0" fontId="74" fillId="10" borderId="37" xfId="0" applyFont="1" applyFill="1" applyBorder="1" applyAlignment="1">
      <alignment horizontal="center"/>
    </xf>
    <xf numFmtId="171" fontId="19" fillId="0" borderId="44" xfId="1" applyNumberFormat="1" applyFont="1" applyBorder="1"/>
    <xf numFmtId="0" fontId="74" fillId="0" borderId="0" xfId="0" applyFont="1"/>
    <xf numFmtId="3" fontId="78" fillId="0" borderId="0" xfId="0" applyNumberFormat="1" applyFont="1"/>
    <xf numFmtId="167" fontId="75" fillId="0" borderId="35" xfId="1" applyNumberFormat="1" applyFont="1" applyBorder="1"/>
    <xf numFmtId="167" fontId="79" fillId="10" borderId="5" xfId="1" applyNumberFormat="1" applyFont="1" applyFill="1" applyBorder="1" applyAlignment="1">
      <alignment horizontal="center"/>
    </xf>
    <xf numFmtId="165" fontId="10" fillId="0" borderId="22" xfId="3" applyNumberFormat="1" applyFont="1" applyBorder="1" applyAlignment="1">
      <alignment horizontal="center"/>
    </xf>
    <xf numFmtId="165" fontId="5" fillId="0" borderId="11" xfId="3" applyNumberFormat="1" applyFont="1" applyBorder="1" applyAlignment="1">
      <alignment horizontal="center"/>
    </xf>
    <xf numFmtId="167" fontId="40" fillId="0" borderId="0" xfId="0" applyNumberFormat="1" applyFont="1"/>
    <xf numFmtId="167" fontId="21" fillId="0" borderId="5" xfId="1" applyNumberFormat="1" applyFont="1" applyBorder="1" applyAlignment="1">
      <alignment vertical="distributed"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167" fontId="4" fillId="0" borderId="0" xfId="1" applyNumberFormat="1" applyFont="1"/>
    <xf numFmtId="167" fontId="4" fillId="0" borderId="0" xfId="1" applyNumberFormat="1" applyFont="1" applyAlignment="1">
      <alignment wrapText="1"/>
    </xf>
    <xf numFmtId="3" fontId="0" fillId="0" borderId="0" xfId="0" applyNumberFormat="1" applyAlignment="1">
      <alignment horizontal="center"/>
    </xf>
    <xf numFmtId="167" fontId="4" fillId="0" borderId="0" xfId="1" applyNumberFormat="1" applyFont="1" applyAlignment="1">
      <alignment horizontal="center" vertical="center"/>
    </xf>
    <xf numFmtId="3" fontId="73" fillId="0" borderId="35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6" fillId="0" borderId="5" xfId="2" applyFont="1" applyBorder="1" applyAlignment="1">
      <alignment horizontal="left"/>
    </xf>
    <xf numFmtId="0" fontId="6" fillId="0" borderId="5" xfId="2" applyFont="1" applyBorder="1" applyAlignment="1">
      <alignment horizontal="left" vertical="center"/>
    </xf>
    <xf numFmtId="0" fontId="6" fillId="0" borderId="5" xfId="2" applyFont="1" applyBorder="1" applyAlignment="1">
      <alignment horizontal="right" vertical="center"/>
    </xf>
    <xf numFmtId="0" fontId="12" fillId="0" borderId="1" xfId="2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22" xfId="2" applyFont="1" applyBorder="1" applyAlignment="1">
      <alignment horizontal="center" vertical="center" wrapText="1"/>
    </xf>
    <xf numFmtId="0" fontId="55" fillId="0" borderId="36" xfId="0" applyFont="1" applyBorder="1" applyAlignment="1">
      <alignment horizontal="center"/>
    </xf>
    <xf numFmtId="0" fontId="55" fillId="0" borderId="44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1" xfId="0" applyBorder="1" applyAlignment="1">
      <alignment horizontal="center"/>
    </xf>
    <xf numFmtId="0" fontId="69" fillId="0" borderId="36" xfId="0" applyFont="1" applyBorder="1" applyAlignment="1">
      <alignment horizontal="center"/>
    </xf>
    <xf numFmtId="0" fontId="74" fillId="0" borderId="36" xfId="0" applyFont="1" applyBorder="1" applyAlignment="1">
      <alignment horizontal="center"/>
    </xf>
    <xf numFmtId="0" fontId="69" fillId="0" borderId="44" xfId="0" applyFont="1" applyBorder="1" applyAlignment="1">
      <alignment horizontal="center"/>
    </xf>
    <xf numFmtId="0" fontId="40" fillId="0" borderId="5" xfId="0" applyFont="1" applyBorder="1" applyAlignment="1">
      <alignment horizontal="center"/>
    </xf>
    <xf numFmtId="0" fontId="40" fillId="0" borderId="22" xfId="0" applyFont="1" applyBorder="1" applyAlignment="1">
      <alignment horizontal="center"/>
    </xf>
    <xf numFmtId="0" fontId="40" fillId="0" borderId="11" xfId="0" applyFont="1" applyBorder="1" applyAlignment="1">
      <alignment horizontal="center"/>
    </xf>
    <xf numFmtId="0" fontId="71" fillId="0" borderId="0" xfId="0" applyFont="1"/>
    <xf numFmtId="3" fontId="79" fillId="0" borderId="35" xfId="0" applyNumberFormat="1" applyFont="1" applyBorder="1"/>
    <xf numFmtId="0" fontId="70" fillId="0" borderId="0" xfId="0" applyFont="1"/>
    <xf numFmtId="3" fontId="82" fillId="0" borderId="35" xfId="0" applyNumberFormat="1" applyFont="1" applyBorder="1"/>
    <xf numFmtId="0" fontId="83" fillId="0" borderId="0" xfId="0" applyFont="1" applyAlignment="1">
      <alignment horizontal="center"/>
    </xf>
    <xf numFmtId="3" fontId="84" fillId="0" borderId="35" xfId="0" applyNumberFormat="1" applyFont="1" applyBorder="1" applyAlignment="1">
      <alignment horizontal="center"/>
    </xf>
    <xf numFmtId="3" fontId="84" fillId="0" borderId="35" xfId="0" applyNumberFormat="1" applyFont="1" applyBorder="1"/>
    <xf numFmtId="3" fontId="70" fillId="0" borderId="35" xfId="0" applyNumberFormat="1" applyFont="1" applyBorder="1"/>
    <xf numFmtId="0" fontId="83" fillId="0" borderId="0" xfId="0" applyFont="1" applyAlignment="1"/>
    <xf numFmtId="0" fontId="84" fillId="0" borderId="0" xfId="0" applyFont="1"/>
    <xf numFmtId="0" fontId="0" fillId="0" borderId="0" xfId="0" applyAlignment="1">
      <alignment horizontal="center"/>
    </xf>
    <xf numFmtId="3" fontId="4" fillId="0" borderId="35" xfId="0" applyNumberFormat="1" applyFont="1" applyBorder="1"/>
    <xf numFmtId="0" fontId="79" fillId="0" borderId="0" xfId="0" applyFont="1"/>
    <xf numFmtId="3" fontId="79" fillId="0" borderId="0" xfId="0" applyNumberFormat="1" applyFont="1"/>
    <xf numFmtId="3" fontId="87" fillId="0" borderId="0" xfId="0" applyNumberFormat="1" applyFont="1"/>
    <xf numFmtId="3" fontId="73" fillId="0" borderId="38" xfId="0" applyNumberFormat="1" applyFont="1" applyBorder="1" applyAlignment="1">
      <alignment horizontal="center"/>
    </xf>
    <xf numFmtId="3" fontId="73" fillId="0" borderId="38" xfId="0" applyNumberFormat="1" applyFont="1" applyBorder="1"/>
    <xf numFmtId="0" fontId="82" fillId="0" borderId="0" xfId="0" applyFont="1"/>
    <xf numFmtId="3" fontId="4" fillId="0" borderId="35" xfId="6" applyNumberFormat="1" applyFont="1" applyBorder="1"/>
    <xf numFmtId="44" fontId="70" fillId="0" borderId="0" xfId="6" applyFont="1"/>
    <xf numFmtId="3" fontId="84" fillId="0" borderId="0" xfId="0" applyNumberFormat="1" applyFont="1"/>
    <xf numFmtId="3" fontId="70" fillId="0" borderId="0" xfId="0" applyNumberFormat="1" applyFont="1"/>
    <xf numFmtId="0" fontId="83" fillId="0" borderId="0" xfId="0" applyFont="1"/>
    <xf numFmtId="167" fontId="2" fillId="0" borderId="35" xfId="1" applyNumberFormat="1" applyBorder="1" applyAlignment="1">
      <alignment horizontal="right"/>
    </xf>
    <xf numFmtId="167" fontId="55" fillId="0" borderId="35" xfId="0" applyNumberFormat="1" applyFont="1" applyBorder="1" applyAlignment="1">
      <alignment horizontal="center"/>
    </xf>
    <xf numFmtId="0" fontId="55" fillId="0" borderId="36" xfId="0" applyFont="1" applyBorder="1" applyAlignment="1">
      <alignment horizontal="center" vertical="distributed" wrapText="1"/>
    </xf>
    <xf numFmtId="14" fontId="0" fillId="0" borderId="0" xfId="0" applyNumberFormat="1"/>
    <xf numFmtId="0" fontId="57" fillId="0" borderId="0" xfId="0" applyFont="1"/>
    <xf numFmtId="0" fontId="60" fillId="0" borderId="0" xfId="0" applyFont="1"/>
    <xf numFmtId="0" fontId="73" fillId="0" borderId="0" xfId="0" applyFont="1"/>
    <xf numFmtId="165" fontId="4" fillId="0" borderId="0" xfId="0" applyNumberFormat="1" applyFont="1"/>
    <xf numFmtId="0" fontId="4" fillId="0" borderId="6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6" fillId="0" borderId="0" xfId="0" applyFont="1"/>
    <xf numFmtId="0" fontId="76" fillId="0" borderId="15" xfId="0" applyFont="1" applyBorder="1" applyAlignment="1">
      <alignment horizontal="left" vertical="center" wrapText="1"/>
    </xf>
    <xf numFmtId="0" fontId="0" fillId="10" borderId="0" xfId="0" applyFill="1" applyAlignment="1">
      <alignment horizontal="center"/>
    </xf>
    <xf numFmtId="3" fontId="0" fillId="10" borderId="0" xfId="0" applyNumberFormat="1" applyFill="1"/>
    <xf numFmtId="3" fontId="74" fillId="0" borderId="0" xfId="0" applyNumberFormat="1" applyFont="1"/>
    <xf numFmtId="3" fontId="55" fillId="0" borderId="0" xfId="0" applyNumberFormat="1" applyFont="1"/>
    <xf numFmtId="167" fontId="21" fillId="0" borderId="0" xfId="1" applyNumberFormat="1" applyFont="1" applyAlignment="1">
      <alignment vertical="distributed" wrapText="1"/>
    </xf>
    <xf numFmtId="3" fontId="31" fillId="0" borderId="0" xfId="0" applyNumberFormat="1" applyFont="1"/>
    <xf numFmtId="167" fontId="62" fillId="10" borderId="0" xfId="1" applyNumberFormat="1" applyFont="1" applyFill="1"/>
    <xf numFmtId="167" fontId="65" fillId="0" borderId="0" xfId="1" applyNumberFormat="1" applyFont="1"/>
    <xf numFmtId="3" fontId="15" fillId="0" borderId="0" xfId="0" applyNumberFormat="1" applyFont="1"/>
    <xf numFmtId="167" fontId="55" fillId="0" borderId="0" xfId="1" applyNumberFormat="1" applyFont="1"/>
    <xf numFmtId="168" fontId="52" fillId="0" borderId="24" xfId="4" applyNumberFormat="1" applyFont="1" applyFill="1" applyBorder="1" applyAlignment="1">
      <alignment horizontal="center" vertical="center" wrapText="1"/>
    </xf>
    <xf numFmtId="168" fontId="52" fillId="0" borderId="75" xfId="4" applyNumberFormat="1" applyFont="1" applyFill="1" applyBorder="1" applyAlignment="1" applyProtection="1">
      <alignment vertical="center" wrapText="1"/>
    </xf>
    <xf numFmtId="168" fontId="52" fillId="0" borderId="0" xfId="4" applyNumberFormat="1" applyFont="1" applyFill="1" applyBorder="1" applyAlignment="1" applyProtection="1">
      <alignment vertical="center" wrapText="1"/>
    </xf>
    <xf numFmtId="0" fontId="4" fillId="0" borderId="36" xfId="0" applyFont="1" applyBorder="1" applyAlignment="1"/>
    <xf numFmtId="168" fontId="25" fillId="0" borderId="70" xfId="4" applyNumberFormat="1" applyFont="1" applyFill="1" applyBorder="1" applyAlignment="1">
      <alignment horizontal="center" vertical="center" wrapText="1"/>
    </xf>
    <xf numFmtId="0" fontId="4" fillId="0" borderId="28" xfId="0" applyFont="1" applyBorder="1" applyAlignment="1"/>
    <xf numFmtId="0" fontId="4" fillId="0" borderId="8" xfId="0" applyFont="1" applyBorder="1" applyAlignment="1"/>
    <xf numFmtId="167" fontId="70" fillId="0" borderId="0" xfId="1" applyNumberFormat="1" applyFont="1"/>
    <xf numFmtId="167" fontId="70" fillId="0" borderId="0" xfId="0" applyNumberFormat="1" applyFont="1"/>
    <xf numFmtId="0" fontId="4" fillId="0" borderId="2" xfId="0" applyFont="1" applyBorder="1" applyAlignment="1"/>
    <xf numFmtId="168" fontId="25" fillId="0" borderId="19" xfId="4" applyNumberFormat="1" applyFont="1" applyFill="1" applyBorder="1" applyAlignment="1">
      <alignment horizontal="center" vertical="center" wrapText="1"/>
    </xf>
    <xf numFmtId="167" fontId="31" fillId="0" borderId="38" xfId="1" applyNumberFormat="1" applyFont="1" applyBorder="1"/>
    <xf numFmtId="3" fontId="4" fillId="0" borderId="44" xfId="0" applyNumberFormat="1" applyFont="1" applyBorder="1"/>
    <xf numFmtId="3" fontId="83" fillId="0" borderId="35" xfId="0" applyNumberFormat="1" applyFont="1" applyBorder="1"/>
    <xf numFmtId="0" fontId="88" fillId="0" borderId="0" xfId="0" applyFont="1" applyAlignment="1">
      <alignment horizontal="left"/>
    </xf>
    <xf numFmtId="0" fontId="88" fillId="0" borderId="0" xfId="0" applyFont="1"/>
    <xf numFmtId="0" fontId="5" fillId="0" borderId="0" xfId="0" applyFont="1" applyAlignment="1">
      <alignment horizontal="center" vertical="center"/>
    </xf>
    <xf numFmtId="167" fontId="79" fillId="0" borderId="0" xfId="1" applyNumberFormat="1" applyFont="1"/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70" fillId="0" borderId="4" xfId="0" applyFont="1" applyBorder="1"/>
    <xf numFmtId="0" fontId="70" fillId="0" borderId="0" xfId="0" applyFont="1" applyAlignment="1">
      <alignment wrapText="1"/>
    </xf>
    <xf numFmtId="0" fontId="79" fillId="0" borderId="0" xfId="0" applyFont="1" applyAlignment="1">
      <alignment wrapText="1"/>
    </xf>
    <xf numFmtId="0" fontId="79" fillId="15" borderId="0" xfId="0" applyFont="1" applyFill="1" applyAlignment="1">
      <alignment horizontal="center" wrapText="1"/>
    </xf>
    <xf numFmtId="0" fontId="4" fillId="15" borderId="0" xfId="0" applyFont="1" applyFill="1" applyAlignment="1">
      <alignment horizontal="center" wrapText="1"/>
    </xf>
    <xf numFmtId="0" fontId="79" fillId="15" borderId="0" xfId="0" applyFont="1" applyFill="1" applyAlignment="1">
      <alignment horizontal="center" vertical="center" wrapText="1"/>
    </xf>
    <xf numFmtId="49" fontId="4" fillId="0" borderId="4" xfId="0" applyNumberFormat="1" applyFont="1" applyBorder="1" applyAlignment="1">
      <alignment horizontal="center"/>
    </xf>
    <xf numFmtId="49" fontId="70" fillId="0" borderId="0" xfId="0" applyNumberFormat="1" applyFont="1" applyAlignment="1">
      <alignment horizontal="center"/>
    </xf>
    <xf numFmtId="3" fontId="70" fillId="0" borderId="0" xfId="0" applyNumberFormat="1" applyFont="1" applyAlignment="1">
      <alignment horizontal="center"/>
    </xf>
    <xf numFmtId="3" fontId="79" fillId="0" borderId="0" xfId="0" applyNumberFormat="1" applyFont="1" applyAlignment="1">
      <alignment horizontal="center"/>
    </xf>
    <xf numFmtId="49" fontId="4" fillId="0" borderId="4" xfId="1" applyNumberFormat="1" applyFont="1" applyBorder="1" applyAlignment="1">
      <alignment horizontal="center"/>
    </xf>
    <xf numFmtId="3" fontId="79" fillId="0" borderId="0" xfId="0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 wrapText="1"/>
    </xf>
    <xf numFmtId="0" fontId="5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 applyBorder="1" applyAlignment="1">
      <alignment horizontal="right"/>
    </xf>
    <xf numFmtId="0" fontId="12" fillId="0" borderId="1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/>
    </xf>
    <xf numFmtId="0" fontId="6" fillId="0" borderId="5" xfId="2" applyFont="1" applyBorder="1" applyAlignment="1">
      <alignment horizontal="left" vertical="center"/>
    </xf>
    <xf numFmtId="0" fontId="6" fillId="0" borderId="5" xfId="2" applyFont="1" applyBorder="1" applyAlignment="1">
      <alignment horizontal="right" vertical="center"/>
    </xf>
    <xf numFmtId="0" fontId="6" fillId="0" borderId="16" xfId="2" applyFont="1" applyBorder="1" applyAlignment="1">
      <alignment horizontal="right" wrapText="1"/>
    </xf>
    <xf numFmtId="0" fontId="6" fillId="0" borderId="14" xfId="2" applyFont="1" applyBorder="1" applyAlignment="1">
      <alignment horizontal="right" wrapText="1"/>
    </xf>
    <xf numFmtId="0" fontId="6" fillId="0" borderId="5" xfId="2" applyFont="1" applyBorder="1" applyAlignment="1">
      <alignment horizontal="right" vertical="center" wrapText="1"/>
    </xf>
    <xf numFmtId="0" fontId="6" fillId="0" borderId="16" xfId="2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0" fontId="5" fillId="3" borderId="16" xfId="2" applyFont="1" applyFill="1" applyBorder="1" applyAlignment="1">
      <alignment horizontal="left" vertical="center"/>
    </xf>
    <xf numFmtId="0" fontId="14" fillId="3" borderId="14" xfId="0" applyFont="1" applyFill="1" applyBorder="1" applyAlignment="1"/>
    <xf numFmtId="0" fontId="6" fillId="0" borderId="5" xfId="2" applyFont="1" applyBorder="1" applyAlignment="1">
      <alignment horizontal="left"/>
    </xf>
    <xf numFmtId="0" fontId="5" fillId="3" borderId="5" xfId="2" applyFont="1" applyFill="1" applyBorder="1" applyAlignment="1">
      <alignment horizontal="left" vertical="center" wrapText="1"/>
    </xf>
    <xf numFmtId="0" fontId="6" fillId="0" borderId="5" xfId="2" applyFont="1" applyBorder="1" applyAlignment="1">
      <alignment horizontal="left" wrapText="1"/>
    </xf>
    <xf numFmtId="0" fontId="17" fillId="5" borderId="5" xfId="2" applyFont="1" applyFill="1" applyBorder="1" applyAlignment="1">
      <alignment horizontal="left" wrapText="1"/>
    </xf>
    <xf numFmtId="0" fontId="6" fillId="7" borderId="5" xfId="2" applyFont="1" applyFill="1" applyBorder="1" applyAlignment="1">
      <alignment horizontal="center"/>
    </xf>
    <xf numFmtId="0" fontId="8" fillId="5" borderId="5" xfId="2" applyFont="1" applyFill="1" applyBorder="1" applyAlignment="1">
      <alignment horizontal="center"/>
    </xf>
    <xf numFmtId="0" fontId="5" fillId="0" borderId="5" xfId="2" applyFont="1" applyBorder="1" applyAlignment="1">
      <alignment horizontal="left" wrapText="1"/>
    </xf>
    <xf numFmtId="0" fontId="5" fillId="3" borderId="5" xfId="2" applyFont="1" applyFill="1" applyBorder="1" applyAlignment="1">
      <alignment horizontal="left"/>
    </xf>
    <xf numFmtId="0" fontId="8" fillId="0" borderId="5" xfId="2" applyFont="1" applyBorder="1" applyAlignment="1">
      <alignment horizontal="left"/>
    </xf>
    <xf numFmtId="0" fontId="17" fillId="5" borderId="5" xfId="2" applyFont="1" applyFill="1" applyBorder="1" applyAlignment="1">
      <alignment horizontal="left"/>
    </xf>
    <xf numFmtId="0" fontId="5" fillId="0" borderId="5" xfId="2" applyFont="1" applyBorder="1" applyAlignment="1">
      <alignment horizontal="left"/>
    </xf>
    <xf numFmtId="0" fontId="6" fillId="0" borderId="16" xfId="2" applyFont="1" applyBorder="1" applyAlignment="1">
      <alignment horizontal="left"/>
    </xf>
    <xf numFmtId="0" fontId="0" fillId="0" borderId="14" xfId="0" applyBorder="1" applyAlignment="1">
      <alignment horizontal="left"/>
    </xf>
    <xf numFmtId="0" fontId="5" fillId="8" borderId="5" xfId="2" applyFont="1" applyFill="1" applyBorder="1" applyAlignment="1">
      <alignment horizontal="left"/>
    </xf>
    <xf numFmtId="0" fontId="6" fillId="0" borderId="14" xfId="2" applyFont="1" applyBorder="1" applyAlignment="1">
      <alignment horizontal="left"/>
    </xf>
    <xf numFmtId="0" fontId="20" fillId="0" borderId="5" xfId="2" applyFont="1" applyBorder="1" applyAlignment="1">
      <alignment horizontal="left" wrapText="1"/>
    </xf>
    <xf numFmtId="0" fontId="12" fillId="0" borderId="2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61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13" fillId="0" borderId="60" xfId="2" applyFont="1" applyBorder="1" applyAlignment="1">
      <alignment horizontal="center" vertical="center" wrapText="1"/>
    </xf>
    <xf numFmtId="0" fontId="13" fillId="0" borderId="56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/>
    </xf>
    <xf numFmtId="0" fontId="6" fillId="0" borderId="16" xfId="2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6" fillId="6" borderId="5" xfId="2" applyFont="1" applyFill="1" applyBorder="1" applyAlignment="1">
      <alignment horizontal="left"/>
    </xf>
    <xf numFmtId="0" fontId="0" fillId="0" borderId="16" xfId="0" applyBorder="1" applyAlignment="1">
      <alignment horizontal="right" vertical="center"/>
    </xf>
    <xf numFmtId="0" fontId="0" fillId="0" borderId="16" xfId="0" applyBorder="1" applyAlignment="1">
      <alignment horizontal="right" vertical="center" wrapText="1"/>
    </xf>
    <xf numFmtId="0" fontId="6" fillId="6" borderId="22" xfId="2" applyFont="1" applyFill="1" applyBorder="1" applyAlignment="1">
      <alignment horizontal="left"/>
    </xf>
    <xf numFmtId="0" fontId="21" fillId="0" borderId="16" xfId="2" applyFont="1" applyBorder="1" applyAlignment="1">
      <alignment horizontal="right" wrapText="1"/>
    </xf>
    <xf numFmtId="0" fontId="21" fillId="0" borderId="17" xfId="2" applyFont="1" applyBorder="1" applyAlignment="1">
      <alignment horizontal="right" wrapText="1"/>
    </xf>
    <xf numFmtId="0" fontId="6" fillId="0" borderId="16" xfId="2" applyFont="1" applyBorder="1" applyAlignment="1">
      <alignment horizontal="right" vertical="center" wrapText="1"/>
    </xf>
    <xf numFmtId="0" fontId="6" fillId="0" borderId="25" xfId="2" applyFont="1" applyBorder="1" applyAlignment="1">
      <alignment horizontal="right" vertical="center" wrapText="1"/>
    </xf>
    <xf numFmtId="0" fontId="6" fillId="0" borderId="62" xfId="2" applyFont="1" applyBorder="1" applyAlignment="1">
      <alignment horizontal="right" vertical="center" wrapText="1"/>
    </xf>
    <xf numFmtId="0" fontId="12" fillId="0" borderId="28" xfId="2" applyFont="1" applyBorder="1" applyAlignment="1">
      <alignment horizontal="left"/>
    </xf>
    <xf numFmtId="0" fontId="12" fillId="0" borderId="30" xfId="2" applyFont="1" applyBorder="1" applyAlignment="1">
      <alignment horizontal="left"/>
    </xf>
    <xf numFmtId="0" fontId="12" fillId="0" borderId="31" xfId="2" applyFont="1" applyBorder="1" applyAlignment="1">
      <alignment horizontal="left"/>
    </xf>
    <xf numFmtId="0" fontId="6" fillId="0" borderId="11" xfId="2" applyFont="1" applyBorder="1" applyAlignment="1">
      <alignment horizontal="left"/>
    </xf>
    <xf numFmtId="0" fontId="6" fillId="0" borderId="11" xfId="2" applyFont="1" applyBorder="1" applyAlignment="1">
      <alignment horizontal="left" vertical="center" wrapText="1"/>
    </xf>
    <xf numFmtId="0" fontId="6" fillId="0" borderId="47" xfId="2" applyFont="1" applyBorder="1" applyAlignment="1">
      <alignment horizontal="left" vertical="center" wrapText="1"/>
    </xf>
    <xf numFmtId="0" fontId="8" fillId="6" borderId="5" xfId="2" applyFont="1" applyFill="1" applyBorder="1" applyAlignment="1">
      <alignment horizontal="left" wrapText="1"/>
    </xf>
    <xf numFmtId="0" fontId="8" fillId="6" borderId="16" xfId="2" applyFont="1" applyFill="1" applyBorder="1" applyAlignment="1">
      <alignment horizontal="left" wrapText="1"/>
    </xf>
    <xf numFmtId="0" fontId="6" fillId="0" borderId="22" xfId="2" applyFont="1" applyBorder="1" applyAlignment="1">
      <alignment horizontal="left"/>
    </xf>
    <xf numFmtId="0" fontId="6" fillId="0" borderId="22" xfId="2" applyFont="1" applyBorder="1" applyAlignment="1">
      <alignment horizontal="left" vertical="center" wrapText="1"/>
    </xf>
    <xf numFmtId="0" fontId="6" fillId="0" borderId="48" xfId="2" applyFont="1" applyBorder="1" applyAlignment="1">
      <alignment horizontal="left" vertical="center" wrapText="1"/>
    </xf>
    <xf numFmtId="0" fontId="12" fillId="0" borderId="28" xfId="2" applyFont="1" applyBorder="1" applyAlignment="1">
      <alignment horizontal="left" vertical="center" wrapText="1"/>
    </xf>
    <xf numFmtId="0" fontId="12" fillId="0" borderId="54" xfId="2" applyFont="1" applyBorder="1" applyAlignment="1">
      <alignment horizontal="left" vertical="center" wrapText="1"/>
    </xf>
    <xf numFmtId="0" fontId="6" fillId="6" borderId="5" xfId="2" applyFont="1" applyFill="1" applyBorder="1" applyAlignment="1">
      <alignment horizontal="left" wrapText="1"/>
    </xf>
    <xf numFmtId="0" fontId="6" fillId="6" borderId="16" xfId="2" applyFont="1" applyFill="1" applyBorder="1" applyAlignment="1">
      <alignment horizontal="left" wrapText="1"/>
    </xf>
    <xf numFmtId="0" fontId="8" fillId="6" borderId="17" xfId="2" applyFont="1" applyFill="1" applyBorder="1" applyAlignment="1">
      <alignment horizontal="left" wrapText="1"/>
    </xf>
    <xf numFmtId="0" fontId="12" fillId="0" borderId="5" xfId="2" applyFont="1" applyBorder="1" applyAlignment="1">
      <alignment horizontal="left"/>
    </xf>
    <xf numFmtId="0" fontId="8" fillId="0" borderId="16" xfId="2" applyFont="1" applyBorder="1" applyAlignment="1">
      <alignment horizontal="left" wrapText="1"/>
    </xf>
    <xf numFmtId="0" fontId="8" fillId="0" borderId="17" xfId="2" applyFont="1" applyBorder="1" applyAlignment="1">
      <alignment horizontal="left" wrapText="1"/>
    </xf>
    <xf numFmtId="0" fontId="6" fillId="6" borderId="5" xfId="2" applyFont="1" applyFill="1" applyBorder="1" applyAlignment="1">
      <alignment horizontal="center"/>
    </xf>
    <xf numFmtId="0" fontId="6" fillId="6" borderId="16" xfId="2" applyFont="1" applyFill="1" applyBorder="1" applyAlignment="1">
      <alignment horizontal="center"/>
    </xf>
    <xf numFmtId="0" fontId="6" fillId="0" borderId="0" xfId="2" applyFont="1" applyBorder="1" applyAlignment="1">
      <alignment horizontal="left"/>
    </xf>
    <xf numFmtId="0" fontId="5" fillId="0" borderId="16" xfId="2" applyFont="1" applyBorder="1" applyAlignment="1">
      <alignment horizontal="left" wrapText="1"/>
    </xf>
    <xf numFmtId="0" fontId="5" fillId="0" borderId="8" xfId="2" applyFont="1" applyBorder="1" applyAlignment="1">
      <alignment horizontal="left"/>
    </xf>
    <xf numFmtId="0" fontId="5" fillId="0" borderId="8" xfId="2" applyFont="1" applyBorder="1" applyAlignment="1">
      <alignment horizontal="left" wrapText="1"/>
    </xf>
    <xf numFmtId="0" fontId="5" fillId="0" borderId="25" xfId="2" applyFont="1" applyBorder="1" applyAlignment="1">
      <alignment horizontal="left" wrapText="1"/>
    </xf>
    <xf numFmtId="0" fontId="5" fillId="0" borderId="0" xfId="2" applyFont="1" applyBorder="1" applyAlignment="1">
      <alignment horizontal="left"/>
    </xf>
    <xf numFmtId="168" fontId="24" fillId="0" borderId="0" xfId="4" applyNumberFormat="1" applyFont="1" applyFill="1" applyAlignment="1">
      <alignment horizontal="center" vertical="center" wrapText="1"/>
    </xf>
    <xf numFmtId="168" fontId="24" fillId="0" borderId="0" xfId="4" applyNumberFormat="1" applyFont="1" applyFill="1" applyAlignment="1">
      <alignment vertical="center" wrapText="1"/>
    </xf>
    <xf numFmtId="0" fontId="41" fillId="0" borderId="11" xfId="0" applyFont="1" applyBorder="1" applyAlignment="1">
      <alignment horizontal="left" vertical="center" wrapText="1"/>
    </xf>
    <xf numFmtId="0" fontId="40" fillId="0" borderId="5" xfId="0" quotePrefix="1" applyFont="1" applyBorder="1" applyAlignment="1">
      <alignment horizontal="center" vertical="center"/>
    </xf>
    <xf numFmtId="165" fontId="39" fillId="0" borderId="5" xfId="0" applyNumberFormat="1" applyFont="1" applyBorder="1" applyAlignment="1">
      <alignment horizontal="center"/>
    </xf>
    <xf numFmtId="0" fontId="40" fillId="0" borderId="11" xfId="0" applyFont="1" applyBorder="1" applyAlignment="1">
      <alignment horizontal="center"/>
    </xf>
    <xf numFmtId="0" fontId="40" fillId="0" borderId="5" xfId="0" applyFont="1" applyBorder="1" applyAlignment="1">
      <alignment horizontal="left" vertical="center" wrapText="1"/>
    </xf>
    <xf numFmtId="165" fontId="40" fillId="0" borderId="5" xfId="0" applyNumberFormat="1" applyFont="1" applyBorder="1" applyAlignment="1">
      <alignment horizontal="center"/>
    </xf>
    <xf numFmtId="0" fontId="41" fillId="0" borderId="16" xfId="0" applyFont="1" applyBorder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14" xfId="0" applyFont="1" applyBorder="1" applyAlignment="1">
      <alignment horizontal="left" vertical="center" wrapText="1"/>
    </xf>
    <xf numFmtId="0" fontId="40" fillId="0" borderId="16" xfId="0" applyFont="1" applyBorder="1" applyAlignment="1">
      <alignment horizontal="center"/>
    </xf>
    <xf numFmtId="0" fontId="40" fillId="0" borderId="17" xfId="0" applyFont="1" applyBorder="1" applyAlignment="1">
      <alignment horizontal="center"/>
    </xf>
    <xf numFmtId="0" fontId="40" fillId="0" borderId="14" xfId="0" applyFont="1" applyBorder="1" applyAlignment="1">
      <alignment horizontal="center"/>
    </xf>
    <xf numFmtId="0" fontId="41" fillId="0" borderId="5" xfId="0" applyFont="1" applyBorder="1" applyAlignment="1">
      <alignment horizontal="left" vertical="center" wrapText="1"/>
    </xf>
    <xf numFmtId="0" fontId="40" fillId="0" borderId="5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39" fillId="0" borderId="0" xfId="0" applyFont="1" applyAlignment="1">
      <alignment horizontal="center" vertical="center"/>
    </xf>
    <xf numFmtId="0" fontId="41" fillId="0" borderId="50" xfId="0" applyFont="1" applyBorder="1" applyAlignment="1">
      <alignment horizontal="center"/>
    </xf>
    <xf numFmtId="0" fontId="41" fillId="0" borderId="5" xfId="0" applyFont="1" applyBorder="1" applyAlignment="1">
      <alignment horizontal="left" vertical="top" wrapText="1"/>
    </xf>
    <xf numFmtId="0" fontId="41" fillId="0" borderId="5" xfId="0" applyFont="1" applyBorder="1" applyAlignment="1">
      <alignment horizontal="left" vertical="top"/>
    </xf>
    <xf numFmtId="165" fontId="40" fillId="0" borderId="16" xfId="0" applyNumberFormat="1" applyFont="1" applyBorder="1" applyAlignment="1">
      <alignment horizontal="center"/>
    </xf>
    <xf numFmtId="165" fontId="40" fillId="0" borderId="17" xfId="0" applyNumberFormat="1" applyFont="1" applyBorder="1" applyAlignment="1">
      <alignment horizontal="center"/>
    </xf>
    <xf numFmtId="165" fontId="40" fillId="0" borderId="14" xfId="0" applyNumberFormat="1" applyFont="1" applyBorder="1" applyAlignment="1">
      <alignment horizontal="center"/>
    </xf>
    <xf numFmtId="0" fontId="41" fillId="0" borderId="22" xfId="0" applyFont="1" applyBorder="1" applyAlignment="1">
      <alignment horizontal="left" vertical="center" wrapText="1"/>
    </xf>
    <xf numFmtId="165" fontId="80" fillId="0" borderId="5" xfId="0" applyNumberFormat="1" applyFont="1" applyBorder="1" applyAlignment="1">
      <alignment horizontal="center"/>
    </xf>
    <xf numFmtId="0" fontId="40" fillId="0" borderId="2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70" fillId="0" borderId="5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2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70" fillId="0" borderId="5" xfId="0" applyFont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wrapText="1"/>
    </xf>
    <xf numFmtId="165" fontId="4" fillId="9" borderId="5" xfId="0" applyNumberFormat="1" applyFont="1" applyFill="1" applyBorder="1" applyAlignment="1">
      <alignment horizontal="center"/>
    </xf>
    <xf numFmtId="165" fontId="4" fillId="0" borderId="16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17" xfId="0" applyNumberFormat="1" applyFont="1" applyBorder="1" applyAlignment="1">
      <alignment horizontal="center"/>
    </xf>
    <xf numFmtId="165" fontId="73" fillId="0" borderId="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5" fontId="4" fillId="6" borderId="5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67" fontId="6" fillId="0" borderId="16" xfId="1" applyNumberFormat="1" applyFont="1" applyBorder="1" applyAlignment="1">
      <alignment horizontal="center"/>
    </xf>
    <xf numFmtId="167" fontId="6" fillId="0" borderId="17" xfId="1" applyNumberFormat="1" applyFont="1" applyBorder="1" applyAlignment="1">
      <alignment horizontal="center"/>
    </xf>
    <xf numFmtId="167" fontId="6" fillId="0" borderId="14" xfId="1" applyNumberFormat="1" applyFont="1" applyBorder="1" applyAlignment="1">
      <alignment horizontal="center"/>
    </xf>
    <xf numFmtId="167" fontId="6" fillId="0" borderId="16" xfId="1" applyNumberFormat="1" applyFont="1" applyBorder="1" applyAlignment="1">
      <alignment horizontal="justify" vertical="distributed" wrapText="1"/>
    </xf>
    <xf numFmtId="167" fontId="6" fillId="0" borderId="17" xfId="1" applyNumberFormat="1" applyFont="1" applyBorder="1" applyAlignment="1">
      <alignment horizontal="justify" vertical="distributed" wrapText="1"/>
    </xf>
    <xf numFmtId="167" fontId="6" fillId="0" borderId="14" xfId="1" applyNumberFormat="1" applyFont="1" applyBorder="1" applyAlignment="1">
      <alignment horizontal="justify" vertical="distributed" wrapText="1"/>
    </xf>
    <xf numFmtId="167" fontId="6" fillId="0" borderId="0" xfId="1" applyNumberFormat="1" applyFont="1" applyAlignment="1">
      <alignment horizontal="center" vertical="center" wrapText="1"/>
    </xf>
    <xf numFmtId="0" fontId="24" fillId="0" borderId="0" xfId="4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5" fillId="0" borderId="41" xfId="4" applyFont="1" applyFill="1" applyBorder="1" applyAlignment="1">
      <alignment horizontal="justify" vertical="center" wrapText="1"/>
    </xf>
    <xf numFmtId="0" fontId="68" fillId="0" borderId="37" xfId="0" applyFont="1" applyBorder="1" applyAlignment="1">
      <alignment horizontal="center" vertical="distributed" wrapText="1"/>
    </xf>
    <xf numFmtId="0" fontId="68" fillId="0" borderId="36" xfId="0" applyFont="1" applyBorder="1" applyAlignment="1">
      <alignment horizontal="center" vertical="distributed" wrapText="1"/>
    </xf>
    <xf numFmtId="0" fontId="68" fillId="0" borderId="44" xfId="0" applyFont="1" applyBorder="1" applyAlignment="1">
      <alignment horizontal="center" vertical="distributed" wrapText="1"/>
    </xf>
    <xf numFmtId="168" fontId="25" fillId="0" borderId="40" xfId="4" applyNumberFormat="1" applyFont="1" applyFill="1" applyBorder="1" applyAlignment="1">
      <alignment horizontal="center" vertical="center"/>
    </xf>
    <xf numFmtId="168" fontId="25" fillId="0" borderId="38" xfId="4" applyNumberFormat="1" applyFont="1" applyFill="1" applyBorder="1" applyAlignment="1">
      <alignment horizontal="center" vertical="center"/>
    </xf>
    <xf numFmtId="168" fontId="34" fillId="0" borderId="37" xfId="4" applyNumberFormat="1" applyFont="1" applyFill="1" applyBorder="1" applyAlignment="1">
      <alignment horizontal="left" vertical="center" wrapText="1" indent="2"/>
    </xf>
    <xf numFmtId="168" fontId="34" fillId="0" borderId="44" xfId="4" applyNumberFormat="1" applyFont="1" applyFill="1" applyBorder="1" applyAlignment="1">
      <alignment horizontal="left" vertical="center" wrapText="1" indent="2"/>
    </xf>
    <xf numFmtId="168" fontId="49" fillId="0" borderId="0" xfId="4" applyNumberFormat="1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68" fontId="25" fillId="0" borderId="40" xfId="4" applyNumberFormat="1" applyFont="1" applyFill="1" applyBorder="1" applyAlignment="1">
      <alignment horizontal="center" vertical="center" wrapText="1"/>
    </xf>
    <xf numFmtId="168" fontId="25" fillId="0" borderId="38" xfId="4" applyNumberFormat="1" applyFont="1" applyFill="1" applyBorder="1" applyAlignment="1">
      <alignment horizontal="center" vertical="center" wrapText="1"/>
    </xf>
    <xf numFmtId="168" fontId="25" fillId="0" borderId="51" xfId="4" applyNumberFormat="1" applyFont="1" applyFill="1" applyBorder="1" applyAlignment="1">
      <alignment horizontal="center" vertical="center"/>
    </xf>
    <xf numFmtId="168" fontId="25" fillId="0" borderId="52" xfId="4" applyNumberFormat="1" applyFont="1" applyFill="1" applyBorder="1" applyAlignment="1">
      <alignment horizontal="center" vertical="center"/>
    </xf>
    <xf numFmtId="168" fontId="25" fillId="0" borderId="53" xfId="4" applyNumberFormat="1" applyFont="1" applyFill="1" applyBorder="1" applyAlignment="1">
      <alignment horizontal="center" vertical="center"/>
    </xf>
    <xf numFmtId="0" fontId="68" fillId="0" borderId="37" xfId="0" applyFont="1" applyBorder="1" applyAlignment="1">
      <alignment horizontal="center"/>
    </xf>
    <xf numFmtId="0" fontId="68" fillId="0" borderId="36" xfId="0" applyFont="1" applyBorder="1" applyAlignment="1">
      <alignment horizontal="center"/>
    </xf>
    <xf numFmtId="0" fontId="68" fillId="0" borderId="44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0" fontId="12" fillId="0" borderId="21" xfId="2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right" wrapText="1"/>
    </xf>
    <xf numFmtId="0" fontId="0" fillId="0" borderId="5" xfId="0" applyBorder="1" applyAlignment="1">
      <alignment horizontal="right" vertical="center" wrapText="1"/>
    </xf>
    <xf numFmtId="0" fontId="7" fillId="0" borderId="0" xfId="2" applyFont="1" applyBorder="1" applyAlignment="1">
      <alignment horizontal="center" vertical="center" wrapText="1"/>
    </xf>
    <xf numFmtId="0" fontId="84" fillId="0" borderId="37" xfId="0" applyFont="1" applyBorder="1" applyAlignment="1">
      <alignment horizontal="center"/>
    </xf>
    <xf numFmtId="0" fontId="84" fillId="0" borderId="36" xfId="0" applyFont="1" applyBorder="1" applyAlignment="1">
      <alignment horizontal="center"/>
    </xf>
    <xf numFmtId="0" fontId="84" fillId="0" borderId="44" xfId="0" applyFont="1" applyBorder="1" applyAlignment="1">
      <alignment horizontal="center"/>
    </xf>
    <xf numFmtId="0" fontId="83" fillId="0" borderId="37" xfId="0" applyFont="1" applyBorder="1" applyAlignment="1">
      <alignment horizontal="center"/>
    </xf>
    <xf numFmtId="0" fontId="83" fillId="0" borderId="36" xfId="0" applyFont="1" applyBorder="1" applyAlignment="1">
      <alignment horizontal="center"/>
    </xf>
    <xf numFmtId="0" fontId="83" fillId="0" borderId="44" xfId="0" applyFont="1" applyBorder="1" applyAlignment="1">
      <alignment horizontal="center"/>
    </xf>
    <xf numFmtId="0" fontId="70" fillId="0" borderId="37" xfId="0" applyFont="1" applyBorder="1" applyAlignment="1">
      <alignment horizontal="center"/>
    </xf>
    <xf numFmtId="0" fontId="70" fillId="0" borderId="36" xfId="0" applyFont="1" applyBorder="1" applyAlignment="1">
      <alignment horizontal="center"/>
    </xf>
    <xf numFmtId="0" fontId="70" fillId="0" borderId="44" xfId="0" applyFont="1" applyBorder="1" applyAlignment="1">
      <alignment horizontal="center"/>
    </xf>
    <xf numFmtId="0" fontId="82" fillId="0" borderId="37" xfId="0" applyFont="1" applyBorder="1" applyAlignment="1">
      <alignment horizontal="center" wrapText="1"/>
    </xf>
    <xf numFmtId="0" fontId="82" fillId="0" borderId="36" xfId="0" applyFont="1" applyBorder="1" applyAlignment="1">
      <alignment horizontal="center" wrapText="1"/>
    </xf>
    <xf numFmtId="0" fontId="82" fillId="0" borderId="44" xfId="0" applyFont="1" applyBorder="1" applyAlignment="1">
      <alignment horizontal="center" wrapText="1"/>
    </xf>
    <xf numFmtId="0" fontId="82" fillId="0" borderId="37" xfId="0" applyFont="1" applyBorder="1" applyAlignment="1">
      <alignment horizontal="center"/>
    </xf>
    <xf numFmtId="0" fontId="82" fillId="0" borderId="36" xfId="0" applyFont="1" applyBorder="1" applyAlignment="1">
      <alignment horizontal="center"/>
    </xf>
    <xf numFmtId="0" fontId="82" fillId="0" borderId="44" xfId="0" applyFont="1" applyBorder="1" applyAlignment="1">
      <alignment horizontal="center"/>
    </xf>
    <xf numFmtId="0" fontId="70" fillId="0" borderId="39" xfId="0" applyFont="1" applyBorder="1" applyAlignment="1">
      <alignment horizontal="center"/>
    </xf>
    <xf numFmtId="0" fontId="70" fillId="0" borderId="41" xfId="0" applyFont="1" applyBorder="1" applyAlignment="1">
      <alignment horizontal="center"/>
    </xf>
    <xf numFmtId="0" fontId="70" fillId="0" borderId="45" xfId="0" applyFont="1" applyBorder="1" applyAlignment="1">
      <alignment horizontal="center"/>
    </xf>
    <xf numFmtId="0" fontId="82" fillId="0" borderId="39" xfId="0" applyFont="1" applyBorder="1" applyAlignment="1">
      <alignment horizontal="justify" vertical="distributed" wrapText="1"/>
    </xf>
    <xf numFmtId="0" fontId="82" fillId="0" borderId="41" xfId="0" applyFont="1" applyBorder="1" applyAlignment="1">
      <alignment horizontal="justify" vertical="distributed" wrapText="1"/>
    </xf>
    <xf numFmtId="0" fontId="82" fillId="0" borderId="45" xfId="0" applyFont="1" applyBorder="1" applyAlignment="1">
      <alignment horizontal="justify" vertical="distributed" wrapText="1"/>
    </xf>
    <xf numFmtId="0" fontId="70" fillId="0" borderId="39" xfId="0" applyFont="1" applyBorder="1" applyAlignment="1">
      <alignment horizontal="center" vertical="distributed" wrapText="1"/>
    </xf>
    <xf numFmtId="0" fontId="70" fillId="0" borderId="41" xfId="0" applyFont="1" applyBorder="1" applyAlignment="1">
      <alignment horizontal="center" vertical="distributed" wrapText="1"/>
    </xf>
    <xf numFmtId="0" fontId="70" fillId="0" borderId="45" xfId="0" applyFont="1" applyBorder="1" applyAlignment="1">
      <alignment horizontal="center" vertical="distributed" wrapText="1"/>
    </xf>
    <xf numFmtId="0" fontId="82" fillId="0" borderId="39" xfId="0" applyFont="1" applyBorder="1" applyAlignment="1">
      <alignment horizontal="center"/>
    </xf>
    <xf numFmtId="0" fontId="82" fillId="0" borderId="41" xfId="0" applyFont="1" applyBorder="1" applyAlignment="1">
      <alignment horizontal="center"/>
    </xf>
    <xf numFmtId="0" fontId="82" fillId="0" borderId="45" xfId="0" applyFont="1" applyBorder="1" applyAlignment="1">
      <alignment horizontal="center"/>
    </xf>
    <xf numFmtId="0" fontId="84" fillId="0" borderId="39" xfId="0" applyFont="1" applyBorder="1" applyAlignment="1">
      <alignment horizontal="center"/>
    </xf>
    <xf numFmtId="0" fontId="84" fillId="0" borderId="41" xfId="0" applyFont="1" applyBorder="1" applyAlignment="1">
      <alignment horizontal="center"/>
    </xf>
    <xf numFmtId="0" fontId="84" fillId="0" borderId="45" xfId="0" applyFont="1" applyBorder="1" applyAlignment="1">
      <alignment horizontal="center"/>
    </xf>
    <xf numFmtId="0" fontId="81" fillId="0" borderId="37" xfId="0" applyFont="1" applyBorder="1" applyAlignment="1">
      <alignment horizontal="center" vertical="distributed" wrapText="1"/>
    </xf>
    <xf numFmtId="0" fontId="79" fillId="0" borderId="36" xfId="0" applyFont="1" applyBorder="1" applyAlignment="1">
      <alignment horizontal="center" vertical="distributed" wrapText="1"/>
    </xf>
    <xf numFmtId="0" fontId="79" fillId="0" borderId="44" xfId="0" applyFont="1" applyBorder="1" applyAlignment="1">
      <alignment horizontal="center" vertical="distributed" wrapText="1"/>
    </xf>
    <xf numFmtId="0" fontId="81" fillId="0" borderId="39" xfId="0" applyFont="1" applyBorder="1" applyAlignment="1">
      <alignment horizontal="center"/>
    </xf>
    <xf numFmtId="0" fontId="81" fillId="0" borderId="41" xfId="0" applyFont="1" applyBorder="1" applyAlignment="1">
      <alignment horizontal="center"/>
    </xf>
    <xf numFmtId="0" fontId="81" fillId="0" borderId="45" xfId="0" applyFont="1" applyBorder="1" applyAlignment="1">
      <alignment horizontal="center"/>
    </xf>
    <xf numFmtId="0" fontId="83" fillId="0" borderId="39" xfId="0" applyFont="1" applyBorder="1" applyAlignment="1">
      <alignment horizontal="center"/>
    </xf>
    <xf numFmtId="0" fontId="83" fillId="0" borderId="41" xfId="0" applyFont="1" applyBorder="1" applyAlignment="1">
      <alignment horizontal="center"/>
    </xf>
    <xf numFmtId="0" fontId="83" fillId="0" borderId="45" xfId="0" applyFont="1" applyBorder="1" applyAlignment="1">
      <alignment horizontal="center"/>
    </xf>
    <xf numFmtId="0" fontId="70" fillId="0" borderId="37" xfId="0" applyFont="1" applyBorder="1" applyAlignment="1">
      <alignment horizontal="center" vertical="distributed" wrapText="1"/>
    </xf>
    <xf numFmtId="0" fontId="70" fillId="0" borderId="36" xfId="0" applyFont="1" applyBorder="1" applyAlignment="1">
      <alignment horizontal="center" vertical="distributed" wrapText="1"/>
    </xf>
    <xf numFmtId="0" fontId="70" fillId="0" borderId="44" xfId="0" applyFont="1" applyBorder="1" applyAlignment="1">
      <alignment horizontal="center" vertical="distributed" wrapText="1"/>
    </xf>
    <xf numFmtId="0" fontId="4" fillId="0" borderId="39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73" fillId="0" borderId="37" xfId="0" applyFont="1" applyBorder="1" applyAlignment="1">
      <alignment horizontal="center"/>
    </xf>
    <xf numFmtId="0" fontId="73" fillId="0" borderId="36" xfId="0" applyFont="1" applyBorder="1" applyAlignment="1">
      <alignment horizontal="center"/>
    </xf>
    <xf numFmtId="0" fontId="73" fillId="0" borderId="44" xfId="0" applyFont="1" applyBorder="1" applyAlignment="1">
      <alignment horizontal="center"/>
    </xf>
    <xf numFmtId="0" fontId="73" fillId="0" borderId="39" xfId="0" applyFont="1" applyBorder="1" applyAlignment="1">
      <alignment horizontal="center"/>
    </xf>
    <xf numFmtId="0" fontId="73" fillId="0" borderId="41" xfId="0" applyFont="1" applyBorder="1" applyAlignment="1">
      <alignment horizontal="center"/>
    </xf>
    <xf numFmtId="0" fontId="73" fillId="0" borderId="45" xfId="0" applyFont="1" applyBorder="1" applyAlignment="1">
      <alignment horizontal="center"/>
    </xf>
    <xf numFmtId="0" fontId="73" fillId="0" borderId="39" xfId="0" applyFont="1" applyBorder="1" applyAlignment="1">
      <alignment horizontal="justify" vertical="distributed" wrapText="1"/>
    </xf>
    <xf numFmtId="0" fontId="73" fillId="0" borderId="41" xfId="0" applyFont="1" applyBorder="1" applyAlignment="1">
      <alignment horizontal="justify" vertical="distributed" wrapText="1"/>
    </xf>
    <xf numFmtId="0" fontId="73" fillId="0" borderId="45" xfId="0" applyFont="1" applyBorder="1" applyAlignment="1">
      <alignment horizontal="justify" vertical="distributed" wrapText="1"/>
    </xf>
    <xf numFmtId="0" fontId="4" fillId="0" borderId="37" xfId="0" applyFont="1" applyBorder="1" applyAlignment="1">
      <alignment horizontal="center" vertical="distributed" wrapText="1"/>
    </xf>
    <xf numFmtId="0" fontId="4" fillId="0" borderId="36" xfId="0" applyFont="1" applyBorder="1" applyAlignment="1">
      <alignment horizontal="center" vertical="distributed" wrapText="1"/>
    </xf>
    <xf numFmtId="0" fontId="4" fillId="0" borderId="44" xfId="0" applyFont="1" applyBorder="1" applyAlignment="1">
      <alignment horizontal="center" vertical="distributed" wrapText="1"/>
    </xf>
    <xf numFmtId="3" fontId="82" fillId="0" borderId="37" xfId="0" applyNumberFormat="1" applyFont="1" applyBorder="1" applyAlignment="1">
      <alignment horizontal="center"/>
    </xf>
    <xf numFmtId="3" fontId="82" fillId="0" borderId="36" xfId="0" applyNumberFormat="1" applyFont="1" applyBorder="1" applyAlignment="1">
      <alignment horizontal="center"/>
    </xf>
    <xf numFmtId="3" fontId="82" fillId="0" borderId="44" xfId="0" applyNumberFormat="1" applyFont="1" applyBorder="1" applyAlignment="1">
      <alignment horizontal="center"/>
    </xf>
    <xf numFmtId="44" fontId="4" fillId="0" borderId="37" xfId="6" applyFont="1" applyBorder="1" applyAlignment="1">
      <alignment horizontal="center"/>
    </xf>
    <xf numFmtId="44" fontId="4" fillId="0" borderId="36" xfId="6" applyFont="1" applyBorder="1" applyAlignment="1">
      <alignment horizontal="center"/>
    </xf>
    <xf numFmtId="44" fontId="4" fillId="0" borderId="44" xfId="6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4" xfId="0" applyBorder="1" applyAlignment="1">
      <alignment horizontal="center"/>
    </xf>
    <xf numFmtId="0" fontId="55" fillId="0" borderId="37" xfId="0" applyFont="1" applyBorder="1" applyAlignment="1">
      <alignment horizontal="center" vertical="distributed" wrapText="1"/>
    </xf>
    <xf numFmtId="0" fontId="55" fillId="0" borderId="36" xfId="0" applyFont="1" applyBorder="1" applyAlignment="1">
      <alignment horizontal="center" vertical="distributed" wrapText="1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5" xfId="0" applyBorder="1" applyAlignment="1">
      <alignment horizontal="center"/>
    </xf>
    <xf numFmtId="0" fontId="70" fillId="10" borderId="37" xfId="0" applyFont="1" applyFill="1" applyBorder="1" applyAlignment="1">
      <alignment horizontal="center"/>
    </xf>
    <xf numFmtId="0" fontId="70" fillId="10" borderId="36" xfId="0" applyFont="1" applyFill="1" applyBorder="1" applyAlignment="1">
      <alignment horizontal="center"/>
    </xf>
    <xf numFmtId="0" fontId="70" fillId="10" borderId="44" xfId="0" applyFont="1" applyFill="1" applyBorder="1" applyAlignment="1">
      <alignment horizontal="center"/>
    </xf>
    <xf numFmtId="0" fontId="55" fillId="0" borderId="37" xfId="0" applyFont="1" applyBorder="1" applyAlignment="1">
      <alignment horizontal="center"/>
    </xf>
    <xf numFmtId="0" fontId="55" fillId="0" borderId="36" xfId="0" applyFont="1" applyBorder="1" applyAlignment="1">
      <alignment horizontal="center"/>
    </xf>
    <xf numFmtId="0" fontId="55" fillId="0" borderId="44" xfId="0" applyFont="1" applyBorder="1" applyAlignment="1">
      <alignment horizontal="center"/>
    </xf>
    <xf numFmtId="0" fontId="69" fillId="0" borderId="37" xfId="0" applyFont="1" applyBorder="1" applyAlignment="1">
      <alignment horizontal="center"/>
    </xf>
    <xf numFmtId="0" fontId="69" fillId="0" borderId="36" xfId="0" applyFont="1" applyBorder="1" applyAlignment="1">
      <alignment horizontal="center"/>
    </xf>
    <xf numFmtId="0" fontId="69" fillId="0" borderId="44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55" fillId="0" borderId="0" xfId="0" applyFont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36" xfId="0" applyNumberFormat="1" applyFont="1" applyBorder="1" applyAlignment="1">
      <alignment horizontal="center"/>
    </xf>
    <xf numFmtId="3" fontId="3" fillId="0" borderId="44" xfId="0" applyNumberFormat="1" applyFont="1" applyBorder="1" applyAlignment="1">
      <alignment horizontal="center"/>
    </xf>
    <xf numFmtId="0" fontId="74" fillId="0" borderId="37" xfId="0" applyFont="1" applyBorder="1" applyAlignment="1">
      <alignment horizontal="center"/>
    </xf>
    <xf numFmtId="0" fontId="74" fillId="0" borderId="36" xfId="0" applyFont="1" applyBorder="1" applyAlignment="1">
      <alignment horizontal="center"/>
    </xf>
    <xf numFmtId="0" fontId="54" fillId="0" borderId="37" xfId="0" applyFont="1" applyBorder="1" applyAlignment="1">
      <alignment horizontal="center"/>
    </xf>
    <xf numFmtId="0" fontId="54" fillId="0" borderId="36" xfId="0" applyFont="1" applyBorder="1" applyAlignment="1">
      <alignment horizontal="center"/>
    </xf>
    <xf numFmtId="0" fontId="54" fillId="0" borderId="44" xfId="0" applyFont="1" applyBorder="1" applyAlignment="1">
      <alignment horizontal="center"/>
    </xf>
    <xf numFmtId="0" fontId="8" fillId="0" borderId="0" xfId="5" applyFont="1" applyBorder="1" applyAlignment="1">
      <alignment horizontal="center" vertical="center"/>
    </xf>
    <xf numFmtId="0" fontId="6" fillId="0" borderId="0" xfId="5" applyFont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55" fillId="0" borderId="39" xfId="0" applyFont="1" applyBorder="1" applyAlignment="1">
      <alignment horizontal="justify" vertical="distributed" wrapText="1"/>
    </xf>
    <xf numFmtId="0" fontId="55" fillId="0" borderId="41" xfId="0" applyFont="1" applyBorder="1" applyAlignment="1">
      <alignment horizontal="justify" vertical="distributed" wrapText="1"/>
    </xf>
    <xf numFmtId="0" fontId="55" fillId="0" borderId="45" xfId="0" applyFont="1" applyBorder="1" applyAlignment="1">
      <alignment horizontal="justify" vertical="distributed" wrapText="1"/>
    </xf>
    <xf numFmtId="0" fontId="3" fillId="0" borderId="39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55" fillId="0" borderId="39" xfId="0" applyFont="1" applyBorder="1" applyAlignment="1">
      <alignment horizontal="center"/>
    </xf>
    <xf numFmtId="0" fontId="55" fillId="0" borderId="41" xfId="0" applyFont="1" applyBorder="1" applyAlignment="1">
      <alignment horizontal="center"/>
    </xf>
    <xf numFmtId="0" fontId="55" fillId="0" borderId="45" xfId="0" applyFont="1" applyBorder="1" applyAlignment="1">
      <alignment horizontal="center"/>
    </xf>
    <xf numFmtId="0" fontId="55" fillId="0" borderId="39" xfId="0" applyFont="1" applyBorder="1" applyAlignment="1">
      <alignment horizontal="center" wrapText="1"/>
    </xf>
    <xf numFmtId="0" fontId="55" fillId="0" borderId="41" xfId="0" applyFont="1" applyBorder="1" applyAlignment="1">
      <alignment horizontal="center" wrapText="1"/>
    </xf>
    <xf numFmtId="0" fontId="55" fillId="0" borderId="45" xfId="0" applyFont="1" applyBorder="1" applyAlignment="1">
      <alignment horizontal="center" wrapText="1"/>
    </xf>
    <xf numFmtId="0" fontId="2" fillId="0" borderId="41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0" fillId="0" borderId="37" xfId="0" applyBorder="1" applyAlignment="1">
      <alignment horizontal="justify" vertical="distributed" wrapText="1"/>
    </xf>
    <xf numFmtId="0" fontId="0" fillId="0" borderId="36" xfId="0" applyBorder="1" applyAlignment="1">
      <alignment horizontal="justify" vertical="distributed" wrapText="1"/>
    </xf>
    <xf numFmtId="0" fontId="0" fillId="0" borderId="44" xfId="0" applyBorder="1" applyAlignment="1">
      <alignment horizontal="justify" vertical="distributed" wrapText="1"/>
    </xf>
    <xf numFmtId="0" fontId="73" fillId="0" borderId="64" xfId="0" applyFont="1" applyBorder="1" applyAlignment="1">
      <alignment horizontal="center"/>
    </xf>
    <xf numFmtId="0" fontId="6" fillId="0" borderId="2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8" fillId="0" borderId="48" xfId="0" applyFont="1" applyBorder="1" applyAlignment="1">
      <alignment horizontal="center" vertical="center"/>
    </xf>
    <xf numFmtId="0" fontId="88" fillId="0" borderId="49" xfId="0" applyFont="1" applyBorder="1" applyAlignment="1">
      <alignment horizontal="center" vertical="center"/>
    </xf>
    <xf numFmtId="0" fontId="88" fillId="0" borderId="18" xfId="0" applyFont="1" applyBorder="1" applyAlignment="1">
      <alignment horizontal="center" vertical="center"/>
    </xf>
    <xf numFmtId="0" fontId="88" fillId="0" borderId="47" xfId="0" applyFont="1" applyBorder="1" applyAlignment="1">
      <alignment horizontal="center" vertical="center"/>
    </xf>
    <xf numFmtId="0" fontId="88" fillId="0" borderId="50" xfId="0" applyFont="1" applyBorder="1" applyAlignment="1">
      <alignment horizontal="center" vertical="center"/>
    </xf>
    <xf numFmtId="0" fontId="88" fillId="0" borderId="12" xfId="0" applyFont="1" applyBorder="1" applyAlignment="1">
      <alignment horizontal="center" vertical="center"/>
    </xf>
    <xf numFmtId="0" fontId="88" fillId="0" borderId="48" xfId="0" applyFont="1" applyBorder="1" applyAlignment="1">
      <alignment horizontal="center" vertical="center" wrapText="1"/>
    </xf>
    <xf numFmtId="0" fontId="88" fillId="0" borderId="49" xfId="0" applyFont="1" applyBorder="1" applyAlignment="1">
      <alignment horizontal="center" vertical="center" wrapText="1"/>
    </xf>
    <xf numFmtId="0" fontId="88" fillId="0" borderId="47" xfId="0" applyFont="1" applyBorder="1" applyAlignment="1">
      <alignment horizontal="center" vertical="center" wrapText="1"/>
    </xf>
    <xf numFmtId="0" fontId="88" fillId="0" borderId="50" xfId="0" applyFont="1" applyBorder="1" applyAlignment="1">
      <alignment horizontal="center" vertical="center" wrapText="1"/>
    </xf>
    <xf numFmtId="0" fontId="88" fillId="0" borderId="16" xfId="0" applyFont="1" applyBorder="1" applyAlignment="1">
      <alignment horizontal="left" vertical="center" wrapText="1"/>
    </xf>
    <xf numFmtId="0" fontId="88" fillId="0" borderId="17" xfId="0" applyFont="1" applyBorder="1" applyAlignment="1">
      <alignment horizontal="left" vertical="center" wrapText="1"/>
    </xf>
    <xf numFmtId="0" fontId="88" fillId="0" borderId="14" xfId="0" applyFont="1" applyBorder="1" applyAlignment="1">
      <alignment horizontal="left" vertical="center" wrapText="1"/>
    </xf>
    <xf numFmtId="0" fontId="88" fillId="0" borderId="16" xfId="0" quotePrefix="1" applyFont="1" applyBorder="1" applyAlignment="1">
      <alignment horizontal="center" vertical="center"/>
    </xf>
    <xf numFmtId="0" fontId="70" fillId="0" borderId="17" xfId="0" applyFont="1" applyBorder="1" applyAlignment="1">
      <alignment horizontal="center" vertical="center"/>
    </xf>
    <xf numFmtId="0" fontId="16" fillId="0" borderId="16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88" fillId="0" borderId="16" xfId="0" applyFont="1" applyBorder="1" applyAlignment="1">
      <alignment horizontal="right" vertical="center" wrapText="1"/>
    </xf>
    <xf numFmtId="0" fontId="88" fillId="0" borderId="17" xfId="0" applyFont="1" applyBorder="1" applyAlignment="1">
      <alignment horizontal="right" vertical="center" wrapText="1"/>
    </xf>
    <xf numFmtId="0" fontId="88" fillId="0" borderId="14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6" xfId="0" quotePrefix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8" fillId="0" borderId="16" xfId="0" applyFont="1" applyBorder="1" applyAlignment="1">
      <alignment horizontal="left" vertical="center"/>
    </xf>
    <xf numFmtId="0" fontId="88" fillId="0" borderId="17" xfId="0" applyFont="1" applyBorder="1" applyAlignment="1">
      <alignment horizontal="left" vertical="center"/>
    </xf>
    <xf numFmtId="0" fontId="88" fillId="0" borderId="14" xfId="0" applyFont="1" applyBorder="1" applyAlignment="1">
      <alignment horizontal="left" vertical="center"/>
    </xf>
    <xf numFmtId="0" fontId="4" fillId="0" borderId="67" xfId="0" applyFont="1" applyBorder="1" applyAlignment="1">
      <alignment horizontal="center"/>
    </xf>
    <xf numFmtId="0" fontId="59" fillId="0" borderId="67" xfId="0" quotePrefix="1" applyFont="1" applyBorder="1" applyAlignment="1">
      <alignment horizontal="center" vertical="center"/>
    </xf>
    <xf numFmtId="0" fontId="59" fillId="0" borderId="74" xfId="0" quotePrefix="1" applyFont="1" applyBorder="1" applyAlignment="1">
      <alignment horizontal="center" vertical="center"/>
    </xf>
    <xf numFmtId="49" fontId="55" fillId="0" borderId="65" xfId="0" applyNumberFormat="1" applyFont="1" applyBorder="1" applyAlignment="1">
      <alignment horizontal="center"/>
    </xf>
    <xf numFmtId="49" fontId="55" fillId="0" borderId="43" xfId="0" applyNumberFormat="1" applyFont="1" applyBorder="1" applyAlignment="1">
      <alignment horizontal="center"/>
    </xf>
    <xf numFmtId="0" fontId="76" fillId="0" borderId="49" xfId="0" quotePrefix="1" applyFont="1" applyBorder="1" applyAlignment="1">
      <alignment horizontal="center" vertical="center"/>
    </xf>
    <xf numFmtId="0" fontId="76" fillId="0" borderId="18" xfId="0" quotePrefix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/>
    </xf>
    <xf numFmtId="49" fontId="4" fillId="0" borderId="73" xfId="0" applyNumberFormat="1" applyFont="1" applyBorder="1" applyAlignment="1">
      <alignment horizontal="center"/>
    </xf>
    <xf numFmtId="0" fontId="59" fillId="0" borderId="27" xfId="0" applyFont="1" applyBorder="1" applyAlignment="1">
      <alignment horizontal="left" vertical="center" wrapText="1"/>
    </xf>
    <xf numFmtId="0" fontId="59" fillId="0" borderId="28" xfId="0" applyFont="1" applyBorder="1" applyAlignment="1">
      <alignment horizontal="left" vertical="center" wrapText="1"/>
    </xf>
    <xf numFmtId="0" fontId="59" fillId="0" borderId="29" xfId="0" applyFont="1" applyBorder="1" applyAlignment="1">
      <alignment horizontal="left" vertical="center" wrapText="1"/>
    </xf>
    <xf numFmtId="0" fontId="59" fillId="0" borderId="36" xfId="0" quotePrefix="1" applyFont="1" applyBorder="1" applyAlignment="1">
      <alignment horizontal="center" vertical="center"/>
    </xf>
    <xf numFmtId="0" fontId="59" fillId="0" borderId="69" xfId="0" quotePrefix="1" applyFont="1" applyBorder="1" applyAlignment="1">
      <alignment horizontal="center" vertical="center"/>
    </xf>
    <xf numFmtId="49" fontId="55" fillId="0" borderId="54" xfId="0" applyNumberFormat="1" applyFont="1" applyBorder="1" applyAlignment="1">
      <alignment horizontal="center"/>
    </xf>
    <xf numFmtId="49" fontId="55" fillId="0" borderId="44" xfId="0" applyNumberFormat="1" applyFont="1" applyBorder="1" applyAlignment="1">
      <alignment horizontal="center"/>
    </xf>
    <xf numFmtId="0" fontId="16" fillId="0" borderId="42" xfId="0" applyFont="1" applyBorder="1" applyAlignment="1">
      <alignment horizontal="center" vertical="distributed" wrapText="1"/>
    </xf>
    <xf numFmtId="0" fontId="16" fillId="0" borderId="67" xfId="0" applyFont="1" applyBorder="1" applyAlignment="1">
      <alignment horizontal="center" vertical="distributed" wrapText="1"/>
    </xf>
    <xf numFmtId="0" fontId="16" fillId="0" borderId="43" xfId="0" applyFont="1" applyBorder="1" applyAlignment="1">
      <alignment horizontal="center" vertical="distributed" wrapText="1"/>
    </xf>
    <xf numFmtId="0" fontId="39" fillId="0" borderId="46" xfId="0" applyFont="1" applyBorder="1" applyAlignment="1">
      <alignment horizontal="left" vertical="center" wrapText="1"/>
    </xf>
    <xf numFmtId="0" fontId="39" fillId="0" borderId="17" xfId="0" applyFont="1" applyBorder="1" applyAlignment="1">
      <alignment horizontal="left" vertical="center" wrapText="1"/>
    </xf>
    <xf numFmtId="0" fontId="39" fillId="0" borderId="15" xfId="0" applyFont="1" applyBorder="1" applyAlignment="1">
      <alignment horizontal="left" vertical="center" wrapText="1"/>
    </xf>
    <xf numFmtId="0" fontId="39" fillId="0" borderId="17" xfId="0" quotePrefix="1" applyFont="1" applyBorder="1" applyAlignment="1">
      <alignment horizontal="center" vertical="center"/>
    </xf>
    <xf numFmtId="0" fontId="39" fillId="0" borderId="14" xfId="0" quotePrefix="1" applyFont="1" applyBorder="1" applyAlignment="1">
      <alignment horizontal="center" vertical="center"/>
    </xf>
    <xf numFmtId="49" fontId="74" fillId="0" borderId="16" xfId="0" applyNumberFormat="1" applyFont="1" applyBorder="1" applyAlignment="1">
      <alignment horizontal="center"/>
    </xf>
    <xf numFmtId="49" fontId="74" fillId="0" borderId="15" xfId="0" applyNumberFormat="1" applyFont="1" applyBorder="1" applyAlignment="1">
      <alignment horizontal="center"/>
    </xf>
    <xf numFmtId="0" fontId="76" fillId="0" borderId="46" xfId="0" applyFont="1" applyBorder="1" applyAlignment="1">
      <alignment horizontal="left" vertical="center" wrapText="1"/>
    </xf>
    <xf numFmtId="0" fontId="76" fillId="0" borderId="17" xfId="0" applyFont="1" applyBorder="1" applyAlignment="1">
      <alignment horizontal="left" vertical="center" wrapText="1"/>
    </xf>
    <xf numFmtId="0" fontId="76" fillId="0" borderId="15" xfId="0" applyFont="1" applyBorder="1" applyAlignment="1">
      <alignment horizontal="left" vertical="center" wrapText="1"/>
    </xf>
    <xf numFmtId="0" fontId="76" fillId="0" borderId="17" xfId="0" quotePrefix="1" applyFont="1" applyBorder="1" applyAlignment="1">
      <alignment horizontal="center" vertical="center"/>
    </xf>
    <xf numFmtId="0" fontId="76" fillId="0" borderId="14" xfId="0" quotePrefix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73" fillId="0" borderId="71" xfId="0" applyFont="1" applyBorder="1" applyAlignment="1">
      <alignment horizontal="center" wrapText="1"/>
    </xf>
    <xf numFmtId="0" fontId="73" fillId="0" borderId="13" xfId="0" applyFont="1" applyBorder="1" applyAlignment="1">
      <alignment horizontal="center" wrapText="1"/>
    </xf>
    <xf numFmtId="0" fontId="73" fillId="0" borderId="40" xfId="0" applyFont="1" applyBorder="1" applyAlignment="1">
      <alignment horizontal="center" vertical="distributed" wrapText="1"/>
    </xf>
    <xf numFmtId="0" fontId="73" fillId="0" borderId="38" xfId="0" applyFont="1" applyBorder="1" applyAlignment="1">
      <alignment horizontal="center" vertical="distributed" wrapText="1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77" fillId="0" borderId="39" xfId="0" applyFont="1" applyBorder="1" applyAlignment="1">
      <alignment horizontal="center" vertical="center"/>
    </xf>
    <xf numFmtId="0" fontId="77" fillId="0" borderId="41" xfId="0" applyFont="1" applyBorder="1" applyAlignment="1">
      <alignment horizontal="center" vertical="center"/>
    </xf>
    <xf numFmtId="0" fontId="77" fillId="0" borderId="45" xfId="0" applyFont="1" applyBorder="1" applyAlignment="1">
      <alignment horizontal="center" vertical="center"/>
    </xf>
    <xf numFmtId="0" fontId="77" fillId="0" borderId="66" xfId="0" applyFont="1" applyBorder="1" applyAlignment="1">
      <alignment horizontal="center" vertical="center"/>
    </xf>
    <xf numFmtId="0" fontId="77" fillId="0" borderId="50" xfId="0" applyFont="1" applyBorder="1" applyAlignment="1">
      <alignment horizontal="center" vertical="center"/>
    </xf>
    <xf numFmtId="0" fontId="77" fillId="0" borderId="72" xfId="0" applyFont="1" applyBorder="1" applyAlignment="1">
      <alignment horizontal="center" vertical="center"/>
    </xf>
    <xf numFmtId="0" fontId="76" fillId="0" borderId="68" xfId="0" applyFont="1" applyBorder="1" applyAlignment="1">
      <alignment horizontal="left" vertical="center" wrapText="1"/>
    </xf>
    <xf numFmtId="0" fontId="76" fillId="0" borderId="49" xfId="0" applyFont="1" applyBorder="1" applyAlignment="1">
      <alignment horizontal="left" vertical="center" wrapText="1"/>
    </xf>
    <xf numFmtId="0" fontId="76" fillId="0" borderId="73" xfId="0" applyFont="1" applyBorder="1" applyAlignment="1">
      <alignment horizontal="left" vertical="center" wrapText="1"/>
    </xf>
    <xf numFmtId="0" fontId="77" fillId="0" borderId="41" xfId="0" applyFont="1" applyBorder="1" applyAlignment="1">
      <alignment horizontal="center" vertical="center" wrapText="1"/>
    </xf>
    <xf numFmtId="0" fontId="77" fillId="0" borderId="31" xfId="0" applyFont="1" applyBorder="1" applyAlignment="1">
      <alignment horizontal="center" vertical="center" wrapText="1"/>
    </xf>
    <xf numFmtId="0" fontId="77" fillId="0" borderId="50" xfId="0" applyFont="1" applyBorder="1" applyAlignment="1">
      <alignment horizontal="center" vertical="center" wrapText="1"/>
    </xf>
    <xf numFmtId="0" fontId="77" fillId="0" borderId="12" xfId="0" applyFont="1" applyBorder="1" applyAlignment="1">
      <alignment horizontal="center" vertical="center" wrapText="1"/>
    </xf>
    <xf numFmtId="0" fontId="55" fillId="0" borderId="70" xfId="0" applyFont="1" applyBorder="1" applyAlignment="1">
      <alignment horizontal="center" wrapText="1"/>
    </xf>
    <xf numFmtId="0" fontId="55" fillId="0" borderId="10" xfId="0" applyFont="1" applyBorder="1" applyAlignment="1">
      <alignment horizontal="center" wrapText="1"/>
    </xf>
    <xf numFmtId="0" fontId="73" fillId="0" borderId="19" xfId="0" applyFont="1" applyBorder="1" applyAlignment="1">
      <alignment horizontal="center" wrapText="1"/>
    </xf>
    <xf numFmtId="0" fontId="73" fillId="0" borderId="33" xfId="0" applyFont="1" applyBorder="1" applyAlignment="1">
      <alignment horizontal="center" wrapText="1"/>
    </xf>
    <xf numFmtId="3" fontId="73" fillId="0" borderId="19" xfId="0" applyNumberFormat="1" applyFont="1" applyBorder="1" applyAlignment="1">
      <alignment horizontal="center" wrapText="1"/>
    </xf>
    <xf numFmtId="3" fontId="73" fillId="0" borderId="11" xfId="0" applyNumberFormat="1" applyFont="1" applyBorder="1" applyAlignment="1">
      <alignment horizontal="center" wrapText="1"/>
    </xf>
    <xf numFmtId="0" fontId="55" fillId="0" borderId="16" xfId="0" applyFont="1" applyBorder="1" applyAlignment="1">
      <alignment horizontal="center"/>
    </xf>
    <xf numFmtId="0" fontId="55" fillId="0" borderId="15" xfId="0" applyFont="1" applyBorder="1" applyAlignment="1">
      <alignment horizontal="center"/>
    </xf>
    <xf numFmtId="0" fontId="76" fillId="0" borderId="46" xfId="0" applyFont="1" applyBorder="1" applyAlignment="1">
      <alignment horizontal="left" vertical="center"/>
    </xf>
    <xf numFmtId="0" fontId="76" fillId="0" borderId="17" xfId="0" applyFont="1" applyBorder="1" applyAlignment="1">
      <alignment horizontal="left" vertical="center"/>
    </xf>
    <xf numFmtId="0" fontId="76" fillId="0" borderId="15" xfId="0" applyFont="1" applyBorder="1" applyAlignment="1">
      <alignment horizontal="left" vertical="center"/>
    </xf>
    <xf numFmtId="167" fontId="0" fillId="0" borderId="0" xfId="1" applyNumberFormat="1" applyFont="1" applyAlignment="1">
      <alignment horizontal="center"/>
    </xf>
    <xf numFmtId="0" fontId="13" fillId="0" borderId="6" xfId="2" applyFont="1" applyBorder="1" applyAlignment="1">
      <alignment horizontal="center" vertical="center" wrapText="1"/>
    </xf>
    <xf numFmtId="0" fontId="73" fillId="0" borderId="0" xfId="0" applyFont="1" applyAlignment="1">
      <alignment horizontal="center"/>
    </xf>
    <xf numFmtId="0" fontId="89" fillId="0" borderId="67" xfId="0" applyFont="1" applyBorder="1" applyAlignment="1">
      <alignment horizontal="center"/>
    </xf>
    <xf numFmtId="0" fontId="89" fillId="0" borderId="43" xfId="0" applyFont="1" applyBorder="1" applyAlignment="1">
      <alignment horizontal="center"/>
    </xf>
  </cellXfs>
  <cellStyles count="7">
    <cellStyle name="Ezres" xfId="1" builtinId="3"/>
    <cellStyle name="Ezres_Ktgvetési rendelet mellékletek_2008_Eszteregnye" xfId="3" xr:uid="{00000000-0005-0000-0000-000001000000}"/>
    <cellStyle name="Normál" xfId="0" builtinId="0"/>
    <cellStyle name="Normál_Ktgvetési rendelet mellékletek_2008_Eszteregnye" xfId="2" xr:uid="{00000000-0005-0000-0000-000003000000}"/>
    <cellStyle name="Normál_KVIREND" xfId="4" xr:uid="{00000000-0005-0000-0000-000004000000}"/>
    <cellStyle name="Normál_likviditási terv" xfId="5" xr:uid="{00000000-0005-0000-0000-000005000000}"/>
    <cellStyle name="Pénznem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2018/k&#246;lts&#233;gvet&#233;s_tervez&#233;s/S&#225;rmell&#233;k/S&#225;rmell&#233;k_k&#246;lts&#233;gvet&#233;se_2_fordul&#243;_2018_02_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2019\2019_&#233;vi_k&#246;lts&#233;gvet&#233;s\S&#225;rmell&#233;ki_&#246;nk\S&#225;rmell&#233;k_2019_07_04T&#252;l&#233;sre\&#193;MK_ktgvet&#233;s_m&#243;d\&#193;MK_k&#246;lts&#233;gvet&#233;s_m&#243;dos&#237;t&#225;s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0k&#246;lts&#233;gvet&#233;s\S&#225;rmell&#233;k\S&#225;rmell&#233;k_ktgvet&#233;s_el&#337;terjeszt&#233;s_mell&#233;klete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&#246;lts&#233;gvet&#233;s_tervez&#233;s\S&#225;rmell&#233;k\S&#225;rmell&#233;k%202018%20k&#246;lts&#233;gvet&#233;s%20rovatre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m"/>
      <sheetName val="15"/>
      <sheetName val="3"/>
      <sheetName val="5"/>
      <sheetName val="6"/>
      <sheetName val="tartalék"/>
      <sheetName val="7"/>
      <sheetName val="4"/>
      <sheetName val="8"/>
      <sheetName val="9"/>
      <sheetName val="14"/>
      <sheetName val="18"/>
      <sheetName val="13"/>
      <sheetName val="13a"/>
      <sheetName val="12"/>
      <sheetName val="11"/>
      <sheetName val="11a"/>
      <sheetName val="11b"/>
      <sheetName val="11c"/>
      <sheetName val="11d"/>
      <sheetName val="11e"/>
      <sheetName val="10"/>
      <sheetName val="2"/>
      <sheetName val="16"/>
      <sheetName val="16a"/>
      <sheetName val="16b"/>
      <sheetName val="17"/>
    </sheetNames>
    <sheetDataSet>
      <sheetData sheetId="0"/>
      <sheetData sheetId="1"/>
      <sheetData sheetId="2">
        <row r="10">
          <cell r="F10"/>
        </row>
        <row r="11">
          <cell r="F11"/>
        </row>
        <row r="12">
          <cell r="F12"/>
        </row>
        <row r="13">
          <cell r="E13"/>
          <cell r="F13"/>
        </row>
        <row r="15">
          <cell r="E15"/>
          <cell r="F15"/>
        </row>
        <row r="17">
          <cell r="E17"/>
          <cell r="F17"/>
        </row>
        <row r="19">
          <cell r="F19"/>
        </row>
        <row r="22">
          <cell r="F22"/>
        </row>
        <row r="24">
          <cell r="F24"/>
        </row>
        <row r="25">
          <cell r="F25"/>
        </row>
        <row r="34">
          <cell r="F34"/>
        </row>
        <row r="36">
          <cell r="F36"/>
        </row>
        <row r="37">
          <cell r="F37"/>
        </row>
        <row r="38">
          <cell r="F38"/>
        </row>
        <row r="40">
          <cell r="F40"/>
        </row>
        <row r="41">
          <cell r="F41"/>
        </row>
        <row r="42">
          <cell r="F42"/>
        </row>
        <row r="44">
          <cell r="F44"/>
        </row>
        <row r="45">
          <cell r="F45"/>
        </row>
        <row r="46">
          <cell r="F46"/>
        </row>
        <row r="47">
          <cell r="F47">
            <v>0</v>
          </cell>
        </row>
        <row r="50">
          <cell r="F50"/>
        </row>
        <row r="51">
          <cell r="F51"/>
        </row>
        <row r="53">
          <cell r="F53">
            <v>0</v>
          </cell>
        </row>
        <row r="54">
          <cell r="F54">
            <v>0</v>
          </cell>
        </row>
        <row r="56">
          <cell r="F56"/>
        </row>
        <row r="57">
          <cell r="F57">
            <v>0</v>
          </cell>
        </row>
        <row r="58">
          <cell r="F58">
            <v>0</v>
          </cell>
        </row>
        <row r="66">
          <cell r="F66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F10"/>
        </row>
        <row r="11">
          <cell r="F11"/>
        </row>
        <row r="12">
          <cell r="F12"/>
        </row>
        <row r="13">
          <cell r="E13"/>
          <cell r="F13"/>
        </row>
        <row r="15">
          <cell r="E15"/>
          <cell r="F15"/>
        </row>
        <row r="17">
          <cell r="E17"/>
          <cell r="F17"/>
        </row>
        <row r="19">
          <cell r="F19"/>
        </row>
        <row r="24">
          <cell r="F24"/>
        </row>
        <row r="32">
          <cell r="F32"/>
        </row>
        <row r="34">
          <cell r="F34"/>
        </row>
        <row r="35">
          <cell r="F35"/>
        </row>
        <row r="36">
          <cell r="F36"/>
        </row>
        <row r="38">
          <cell r="F38"/>
        </row>
        <row r="39">
          <cell r="F39">
            <v>0</v>
          </cell>
        </row>
        <row r="40">
          <cell r="F40"/>
        </row>
        <row r="42">
          <cell r="F42"/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8">
          <cell r="F48">
            <v>0</v>
          </cell>
        </row>
        <row r="49">
          <cell r="F49"/>
        </row>
        <row r="51">
          <cell r="F51">
            <v>0</v>
          </cell>
        </row>
        <row r="52">
          <cell r="F52">
            <v>0</v>
          </cell>
        </row>
        <row r="54">
          <cell r="F54"/>
        </row>
        <row r="55">
          <cell r="F55">
            <v>0</v>
          </cell>
        </row>
        <row r="56">
          <cell r="F56">
            <v>0</v>
          </cell>
        </row>
        <row r="62">
          <cell r="F62"/>
        </row>
        <row r="64">
          <cell r="F64"/>
        </row>
      </sheetData>
      <sheetData sheetId="14"/>
      <sheetData sheetId="15"/>
      <sheetData sheetId="16">
        <row r="10">
          <cell r="F10"/>
        </row>
        <row r="11">
          <cell r="F11"/>
        </row>
        <row r="12">
          <cell r="F12"/>
        </row>
        <row r="13">
          <cell r="E13"/>
          <cell r="F13"/>
        </row>
        <row r="15">
          <cell r="E15"/>
          <cell r="F15"/>
        </row>
        <row r="17">
          <cell r="E17"/>
          <cell r="F17"/>
        </row>
        <row r="19">
          <cell r="F19"/>
        </row>
        <row r="24">
          <cell r="F24"/>
        </row>
        <row r="32">
          <cell r="F32"/>
        </row>
        <row r="34">
          <cell r="F34"/>
        </row>
        <row r="35">
          <cell r="F35"/>
        </row>
        <row r="36">
          <cell r="F36"/>
        </row>
        <row r="38">
          <cell r="F38"/>
        </row>
        <row r="39">
          <cell r="F39">
            <v>0</v>
          </cell>
        </row>
        <row r="40">
          <cell r="F40"/>
        </row>
        <row r="42">
          <cell r="F42"/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8">
          <cell r="F48">
            <v>0</v>
          </cell>
        </row>
        <row r="49">
          <cell r="F49"/>
        </row>
        <row r="51">
          <cell r="F51">
            <v>0</v>
          </cell>
        </row>
        <row r="52">
          <cell r="F52">
            <v>0</v>
          </cell>
        </row>
        <row r="54">
          <cell r="F54"/>
        </row>
        <row r="55">
          <cell r="F55">
            <v>0</v>
          </cell>
        </row>
        <row r="56">
          <cell r="F56">
            <v>0</v>
          </cell>
        </row>
        <row r="62">
          <cell r="F62"/>
        </row>
        <row r="64">
          <cell r="F64"/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ölcsőde"/>
      <sheetName val="óvoda"/>
      <sheetName val="bölcsőde_és_óvoda"/>
      <sheetName val="közművelődés"/>
      <sheetName val="2019éviámk_ÖSSZESEN"/>
      <sheetName val="ÁMK_bevétele"/>
    </sheetNames>
    <sheetDataSet>
      <sheetData sheetId="0" refreshError="1"/>
      <sheetData sheetId="1" refreshError="1"/>
      <sheetData sheetId="2" refreshError="1"/>
      <sheetData sheetId="3" refreshError="1">
        <row r="7">
          <cell r="F7">
            <v>100000</v>
          </cell>
        </row>
        <row r="83">
          <cell r="H83">
            <v>13403366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 "/>
      <sheetName val="éves_bér_és_jár"/>
      <sheetName val="bér_jár_Cofogszerint"/>
      <sheetName val="beruházások"/>
      <sheetName val="Kiadások_összesen"/>
      <sheetName val="Kiadás_bev_összesítő"/>
      <sheetName val="dologi_kiadások_összesen"/>
      <sheetName val="Pénzeszközátadások"/>
      <sheetName val="segélyek"/>
      <sheetName val="Bevételek"/>
      <sheetName val="bevételek2"/>
      <sheetName val="Munka2"/>
      <sheetName val="kötött tartalék"/>
      <sheetName val="pénzmaradvány_tételes"/>
      <sheetName val="maradványkim_helyesbített"/>
    </sheetNames>
    <sheetDataSet>
      <sheetData sheetId="0" refreshError="1"/>
      <sheetData sheetId="1" refreshError="1">
        <row r="11">
          <cell r="K11">
            <v>17301400</v>
          </cell>
          <cell r="N11">
            <v>672000</v>
          </cell>
          <cell r="O11">
            <v>312000</v>
          </cell>
          <cell r="P11">
            <v>800000</v>
          </cell>
          <cell r="S11">
            <v>160000</v>
          </cell>
          <cell r="W11">
            <v>3367945</v>
          </cell>
          <cell r="X11">
            <v>100800</v>
          </cell>
        </row>
        <row r="22">
          <cell r="K22">
            <v>4647216</v>
          </cell>
          <cell r="S22">
            <v>140000</v>
          </cell>
          <cell r="W22">
            <v>418881.4</v>
          </cell>
        </row>
        <row r="26">
          <cell r="K26">
            <v>3360600</v>
          </cell>
          <cell r="N26">
            <v>192000</v>
          </cell>
          <cell r="P26">
            <v>200000</v>
          </cell>
          <cell r="S26">
            <v>70000</v>
          </cell>
          <cell r="W26">
            <v>668955</v>
          </cell>
          <cell r="X26">
            <v>28800</v>
          </cell>
        </row>
        <row r="39">
          <cell r="O39">
            <v>0</v>
          </cell>
        </row>
        <row r="41">
          <cell r="K41">
            <v>4513247</v>
          </cell>
          <cell r="L41">
            <v>731100</v>
          </cell>
          <cell r="M41">
            <v>157788</v>
          </cell>
          <cell r="N41">
            <v>96000</v>
          </cell>
          <cell r="P41">
            <v>100000</v>
          </cell>
          <cell r="S41">
            <v>30000</v>
          </cell>
        </row>
        <row r="42">
          <cell r="W42">
            <v>984923.62499999988</v>
          </cell>
          <cell r="X42">
            <v>14400</v>
          </cell>
        </row>
        <row r="44">
          <cell r="K44">
            <v>0</v>
          </cell>
          <cell r="S44">
            <v>0</v>
          </cell>
        </row>
        <row r="58">
          <cell r="S58">
            <v>0</v>
          </cell>
        </row>
        <row r="62">
          <cell r="T62">
            <v>0</v>
          </cell>
          <cell r="W62">
            <v>0</v>
          </cell>
        </row>
        <row r="76">
          <cell r="T7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étkeztetések"/>
      <sheetName val="dologi  2018"/>
      <sheetName val="üres dologi"/>
      <sheetName val="Személyi 02"/>
      <sheetName val="alapadatok bér 2017"/>
      <sheetName val="bér "/>
      <sheetName val="éves_bér_és_jár"/>
      <sheetName val="bér_jár_Cofogszerint"/>
      <sheetName val="beruházások"/>
      <sheetName val="Kiadások_összesen"/>
      <sheetName val="dologi_kiadások_összesen"/>
      <sheetName val="Pénzeszközátadások"/>
      <sheetName val="segélyek"/>
      <sheetName val="Bevételek"/>
      <sheetName val="bevételek2"/>
      <sheetName val="Munka2"/>
      <sheetName val="kötött tartalék"/>
      <sheetName val="pénzmaradvány_téte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T10">
            <v>0</v>
          </cell>
          <cell r="V10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workbookViewId="0">
      <selection activeCell="G1" sqref="G1"/>
    </sheetView>
  </sheetViews>
  <sheetFormatPr defaultColWidth="9.140625" defaultRowHeight="15.75" x14ac:dyDescent="0.25"/>
  <cols>
    <col min="1" max="1" width="5.5703125" style="3" customWidth="1"/>
    <col min="2" max="2" width="48.140625" style="2" customWidth="1"/>
    <col min="3" max="3" width="21.28515625" style="2" customWidth="1"/>
    <col min="4" max="10" width="9.140625" style="2"/>
    <col min="11" max="16384" width="9.140625" style="3"/>
  </cols>
  <sheetData>
    <row r="1" spans="1:10" ht="18.75" x14ac:dyDescent="0.25">
      <c r="A1" s="662"/>
      <c r="B1" s="662"/>
      <c r="C1" s="662"/>
      <c r="D1" s="1"/>
      <c r="E1" s="1"/>
      <c r="F1" s="1"/>
    </row>
    <row r="2" spans="1:10" x14ac:dyDescent="0.25">
      <c r="A2" s="663"/>
      <c r="B2" s="663"/>
      <c r="C2" s="663"/>
      <c r="D2" s="4"/>
      <c r="E2" s="4"/>
      <c r="F2" s="4"/>
      <c r="G2" s="4"/>
    </row>
    <row r="3" spans="1:10" x14ac:dyDescent="0.25">
      <c r="B3" s="5"/>
      <c r="C3" s="5" t="s">
        <v>502</v>
      </c>
      <c r="D3" s="5"/>
      <c r="E3" s="4"/>
      <c r="F3" s="4"/>
      <c r="G3" s="4"/>
    </row>
    <row r="4" spans="1:10" x14ac:dyDescent="0.25">
      <c r="B4" s="6"/>
      <c r="C4" s="5"/>
      <c r="D4" s="5"/>
      <c r="E4" s="5"/>
      <c r="F4" s="5"/>
      <c r="G4" s="4"/>
    </row>
    <row r="5" spans="1:10" ht="19.5" thickBot="1" x14ac:dyDescent="0.3">
      <c r="B5" s="7"/>
      <c r="C5" s="8"/>
    </row>
    <row r="6" spans="1:10" ht="18.75" x14ac:dyDescent="0.25">
      <c r="A6" s="664" t="s">
        <v>0</v>
      </c>
      <c r="B6" s="665"/>
      <c r="C6" s="666"/>
    </row>
    <row r="7" spans="1:10" ht="18.75" x14ac:dyDescent="0.25">
      <c r="A7" s="9" t="s">
        <v>1</v>
      </c>
      <c r="B7" s="667" t="s">
        <v>2</v>
      </c>
      <c r="C7" s="668"/>
    </row>
    <row r="8" spans="1:10" s="10" customFormat="1" ht="18.75" x14ac:dyDescent="0.25">
      <c r="A8" s="9"/>
      <c r="B8" s="667"/>
      <c r="C8" s="668"/>
      <c r="D8" s="2"/>
      <c r="E8" s="2"/>
      <c r="F8" s="2"/>
      <c r="G8" s="2"/>
      <c r="H8" s="2"/>
      <c r="I8" s="2"/>
      <c r="J8" s="2"/>
    </row>
    <row r="9" spans="1:10" x14ac:dyDescent="0.25">
      <c r="B9" s="5"/>
    </row>
  </sheetData>
  <mergeCells count="5">
    <mergeCell ref="A1:C1"/>
    <mergeCell ref="A2:C2"/>
    <mergeCell ref="A6:C6"/>
    <mergeCell ref="B7:C7"/>
    <mergeCell ref="B8:C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24"/>
  <sheetViews>
    <sheetView workbookViewId="0">
      <selection activeCell="C1" sqref="C1:D1"/>
    </sheetView>
  </sheetViews>
  <sheetFormatPr defaultRowHeight="15" x14ac:dyDescent="0.25"/>
  <cols>
    <col min="1" max="1" width="14.85546875" style="201" customWidth="1"/>
    <col min="2" max="2" width="31.5703125" style="201" customWidth="1"/>
    <col min="3" max="3" width="5" style="201" customWidth="1"/>
    <col min="4" max="4" width="7" style="201" customWidth="1"/>
    <col min="5" max="5" width="4.5703125" style="201" customWidth="1"/>
    <col min="6" max="6" width="9.7109375" style="201" customWidth="1"/>
    <col min="8" max="8" width="10.28515625" bestFit="1" customWidth="1"/>
    <col min="9" max="9" width="21.7109375" bestFit="1" customWidth="1"/>
    <col min="16" max="16" width="15.7109375" bestFit="1" customWidth="1"/>
    <col min="21" max="21" width="9.85546875" bestFit="1" customWidth="1"/>
  </cols>
  <sheetData>
    <row r="1" spans="1:22" x14ac:dyDescent="0.25">
      <c r="H1" s="201"/>
      <c r="I1" s="201"/>
      <c r="J1" s="201"/>
      <c r="K1" s="201"/>
      <c r="L1" s="201"/>
      <c r="M1" s="201"/>
      <c r="O1" s="201"/>
      <c r="P1" s="201"/>
      <c r="Q1" s="201"/>
      <c r="R1" s="201"/>
      <c r="S1" s="201"/>
      <c r="T1" s="201"/>
    </row>
    <row r="2" spans="1:22" ht="18.75" x14ac:dyDescent="0.3">
      <c r="A2" s="818" t="s">
        <v>874</v>
      </c>
      <c r="B2" s="818"/>
      <c r="C2" s="818"/>
      <c r="D2" s="818"/>
      <c r="E2" s="818"/>
      <c r="F2" s="818"/>
      <c r="H2" s="818" t="s">
        <v>874</v>
      </c>
      <c r="I2" s="818"/>
      <c r="J2" s="818"/>
      <c r="K2" s="818"/>
      <c r="L2" s="818"/>
      <c r="M2" s="818"/>
      <c r="O2" s="818" t="s">
        <v>874</v>
      </c>
      <c r="P2" s="818"/>
      <c r="Q2" s="818"/>
      <c r="R2" s="818"/>
      <c r="S2" s="818"/>
      <c r="T2" s="818"/>
      <c r="U2" s="454" t="s">
        <v>271</v>
      </c>
      <c r="V2" s="418"/>
    </row>
    <row r="3" spans="1:22" ht="18.75" x14ac:dyDescent="0.3">
      <c r="A3" s="818"/>
      <c r="B3" s="818"/>
      <c r="C3" s="818"/>
      <c r="D3" s="818"/>
      <c r="E3" s="818"/>
      <c r="F3" s="818"/>
      <c r="H3" s="818"/>
      <c r="I3" s="818"/>
      <c r="J3" s="818"/>
      <c r="K3" s="818"/>
      <c r="L3" s="818"/>
      <c r="M3" s="818"/>
      <c r="O3" s="818" t="s">
        <v>272</v>
      </c>
      <c r="P3" s="818"/>
      <c r="Q3" s="818"/>
      <c r="R3" s="818"/>
      <c r="S3" s="818"/>
      <c r="T3" s="818"/>
    </row>
    <row r="4" spans="1:22" ht="20.25" x14ac:dyDescent="0.3">
      <c r="A4" s="818" t="s">
        <v>3</v>
      </c>
      <c r="B4" s="818"/>
      <c r="C4" s="818"/>
      <c r="D4" s="818"/>
      <c r="E4" s="818"/>
      <c r="F4" s="818"/>
      <c r="H4" s="847" t="s">
        <v>273</v>
      </c>
      <c r="I4" s="847"/>
      <c r="J4" s="847"/>
      <c r="K4" s="847"/>
      <c r="L4" s="847"/>
      <c r="M4" s="847"/>
      <c r="O4" s="848"/>
      <c r="P4" s="848"/>
      <c r="Q4" s="848"/>
      <c r="R4" s="848"/>
      <c r="S4" s="848"/>
      <c r="T4" s="848"/>
    </row>
    <row r="5" spans="1:22" ht="18.75" x14ac:dyDescent="0.3">
      <c r="A5" s="818" t="s">
        <v>274</v>
      </c>
      <c r="B5" s="818"/>
      <c r="C5" s="818"/>
      <c r="D5" s="818"/>
      <c r="E5" s="818"/>
      <c r="F5" s="818"/>
      <c r="H5" s="818" t="s">
        <v>274</v>
      </c>
      <c r="I5" s="818"/>
      <c r="J5" s="818"/>
      <c r="K5" s="818"/>
      <c r="L5" s="818"/>
      <c r="M5" s="818"/>
      <c r="O5" s="818" t="s">
        <v>274</v>
      </c>
      <c r="P5" s="818"/>
      <c r="Q5" s="818"/>
      <c r="R5" s="818"/>
      <c r="S5" s="818"/>
      <c r="T5" s="818"/>
    </row>
    <row r="6" spans="1:22" x14ac:dyDescent="0.25">
      <c r="H6" s="201"/>
      <c r="I6" s="201"/>
      <c r="J6" s="201"/>
      <c r="K6" s="201"/>
      <c r="L6" s="201"/>
      <c r="M6" s="201"/>
      <c r="O6" s="201"/>
      <c r="P6" s="201"/>
      <c r="Q6" s="201"/>
      <c r="R6" s="201"/>
      <c r="S6" s="201"/>
      <c r="T6" s="201"/>
    </row>
    <row r="7" spans="1:22" ht="47.25" x14ac:dyDescent="0.25">
      <c r="A7" s="319" t="s">
        <v>275</v>
      </c>
      <c r="B7" s="319" t="s">
        <v>276</v>
      </c>
      <c r="C7" s="849" t="s">
        <v>277</v>
      </c>
      <c r="D7" s="849"/>
      <c r="E7" s="849"/>
      <c r="F7" s="849"/>
      <c r="H7" s="319" t="s">
        <v>275</v>
      </c>
      <c r="I7" s="319" t="s">
        <v>276</v>
      </c>
      <c r="J7" s="849" t="s">
        <v>277</v>
      </c>
      <c r="K7" s="849"/>
      <c r="L7" s="849"/>
      <c r="M7" s="849"/>
      <c r="O7" s="319" t="s">
        <v>275</v>
      </c>
      <c r="P7" s="319" t="s">
        <v>276</v>
      </c>
      <c r="Q7" s="849" t="s">
        <v>277</v>
      </c>
      <c r="R7" s="849"/>
      <c r="S7" s="849"/>
      <c r="T7" s="849"/>
    </row>
    <row r="8" spans="1:22" ht="31.5" x14ac:dyDescent="0.25">
      <c r="A8" s="320" t="s">
        <v>278</v>
      </c>
      <c r="B8" s="321" t="s">
        <v>279</v>
      </c>
      <c r="C8" s="850">
        <v>2</v>
      </c>
      <c r="D8" s="850"/>
      <c r="E8" s="850"/>
      <c r="F8" s="850"/>
      <c r="H8" s="320" t="s">
        <v>280</v>
      </c>
      <c r="I8" s="321" t="s">
        <v>281</v>
      </c>
      <c r="J8" s="851">
        <v>6</v>
      </c>
      <c r="K8" s="851"/>
      <c r="L8" s="851"/>
      <c r="M8" s="851"/>
      <c r="O8" s="320" t="s">
        <v>282</v>
      </c>
      <c r="P8" s="321" t="s">
        <v>283</v>
      </c>
      <c r="Q8" s="850">
        <v>4</v>
      </c>
      <c r="R8" s="850"/>
      <c r="S8" s="850"/>
      <c r="T8" s="850"/>
    </row>
    <row r="9" spans="1:22" ht="31.5" x14ac:dyDescent="0.25">
      <c r="A9" s="320" t="s">
        <v>284</v>
      </c>
      <c r="B9" s="321" t="s">
        <v>285</v>
      </c>
      <c r="C9" s="852">
        <v>8</v>
      </c>
      <c r="D9" s="853"/>
      <c r="E9" s="853"/>
      <c r="F9" s="854"/>
      <c r="H9" s="320" t="s">
        <v>286</v>
      </c>
      <c r="I9" s="321" t="s">
        <v>287</v>
      </c>
      <c r="J9" s="855">
        <v>1</v>
      </c>
      <c r="K9" s="856"/>
      <c r="L9" s="856"/>
      <c r="M9" s="857"/>
      <c r="O9" s="320" t="s">
        <v>288</v>
      </c>
      <c r="P9" s="321" t="s">
        <v>289</v>
      </c>
      <c r="Q9" s="852">
        <v>1</v>
      </c>
      <c r="R9" s="853"/>
      <c r="S9" s="853"/>
      <c r="T9" s="854"/>
    </row>
    <row r="10" spans="1:22" ht="15.75" x14ac:dyDescent="0.25">
      <c r="A10" s="320" t="s">
        <v>280</v>
      </c>
      <c r="B10" s="322" t="s">
        <v>290</v>
      </c>
      <c r="C10" s="855">
        <v>1</v>
      </c>
      <c r="D10" s="856"/>
      <c r="E10" s="856"/>
      <c r="F10" s="857"/>
      <c r="H10" s="320" t="s">
        <v>291</v>
      </c>
      <c r="I10" s="321" t="s">
        <v>48</v>
      </c>
      <c r="J10" s="855">
        <v>1</v>
      </c>
      <c r="K10" s="856"/>
      <c r="L10" s="856"/>
      <c r="M10" s="857"/>
      <c r="O10" s="323">
        <v>104030</v>
      </c>
      <c r="P10" s="321" t="s">
        <v>292</v>
      </c>
      <c r="Q10" s="855">
        <v>3</v>
      </c>
      <c r="R10" s="856"/>
      <c r="S10" s="856"/>
      <c r="T10" s="857"/>
    </row>
    <row r="11" spans="1:22" ht="31.5" x14ac:dyDescent="0.25">
      <c r="A11" s="320" t="s">
        <v>293</v>
      </c>
      <c r="B11" s="321" t="s">
        <v>294</v>
      </c>
      <c r="C11" s="858">
        <v>1</v>
      </c>
      <c r="D11" s="859"/>
      <c r="E11" s="859"/>
      <c r="F11" s="860"/>
      <c r="H11" s="323"/>
      <c r="I11" s="321"/>
      <c r="J11" s="858"/>
      <c r="K11" s="859"/>
      <c r="L11" s="859"/>
      <c r="M11" s="860"/>
      <c r="O11" s="323">
        <v>91140</v>
      </c>
      <c r="P11" s="321" t="s">
        <v>295</v>
      </c>
      <c r="Q11" s="858">
        <v>2</v>
      </c>
      <c r="R11" s="859"/>
      <c r="S11" s="859"/>
      <c r="T11" s="860"/>
    </row>
    <row r="12" spans="1:22" ht="31.5" x14ac:dyDescent="0.25">
      <c r="A12" s="323">
        <v>82092</v>
      </c>
      <c r="B12" s="321" t="s">
        <v>718</v>
      </c>
      <c r="C12" s="861">
        <v>1</v>
      </c>
      <c r="D12" s="861"/>
      <c r="E12" s="861"/>
      <c r="F12" s="861"/>
      <c r="H12" s="323"/>
      <c r="I12" s="321"/>
      <c r="J12" s="861"/>
      <c r="K12" s="861"/>
      <c r="L12" s="861"/>
      <c r="M12" s="861"/>
      <c r="O12" s="323"/>
      <c r="P12" s="321"/>
      <c r="Q12" s="861"/>
      <c r="R12" s="861"/>
      <c r="S12" s="861"/>
      <c r="T12" s="861"/>
    </row>
    <row r="13" spans="1:22" ht="15.75" x14ac:dyDescent="0.25">
      <c r="A13" s="323"/>
      <c r="B13" s="321"/>
      <c r="C13" s="855"/>
      <c r="D13" s="862"/>
      <c r="E13" s="862"/>
      <c r="F13" s="863"/>
      <c r="H13" s="323"/>
      <c r="I13" s="321"/>
      <c r="J13" s="855"/>
      <c r="K13" s="862"/>
      <c r="L13" s="862"/>
      <c r="M13" s="863"/>
      <c r="O13" s="323"/>
      <c r="P13" s="321"/>
      <c r="Q13" s="855"/>
      <c r="R13" s="862"/>
      <c r="S13" s="862"/>
      <c r="T13" s="863"/>
    </row>
    <row r="14" spans="1:22" ht="15.75" x14ac:dyDescent="0.25">
      <c r="A14" s="849" t="s">
        <v>128</v>
      </c>
      <c r="B14" s="849"/>
      <c r="C14" s="864">
        <f>SUM(C8:F13)</f>
        <v>13</v>
      </c>
      <c r="D14" s="864"/>
      <c r="E14" s="864"/>
      <c r="F14" s="864"/>
      <c r="H14" s="849" t="s">
        <v>128</v>
      </c>
      <c r="I14" s="849"/>
      <c r="J14" s="864">
        <f>SUM(J8:M13)</f>
        <v>8</v>
      </c>
      <c r="K14" s="864"/>
      <c r="L14" s="864"/>
      <c r="M14" s="864"/>
      <c r="O14" s="849" t="s">
        <v>128</v>
      </c>
      <c r="P14" s="849"/>
      <c r="Q14" s="864">
        <f>SUM(Q8:T13)</f>
        <v>10</v>
      </c>
      <c r="R14" s="864"/>
      <c r="S14" s="864"/>
      <c r="T14" s="864"/>
    </row>
    <row r="15" spans="1:22" x14ac:dyDescent="0.25">
      <c r="A15" s="324"/>
      <c r="B15" s="324"/>
    </row>
    <row r="16" spans="1:22" ht="18.75" x14ac:dyDescent="0.3">
      <c r="A16" s="818" t="s">
        <v>296</v>
      </c>
      <c r="B16" s="818"/>
      <c r="C16" s="818"/>
      <c r="D16" s="818"/>
      <c r="E16" s="818"/>
      <c r="F16" s="818"/>
    </row>
    <row r="18" spans="1:6" ht="31.5" x14ac:dyDescent="0.25">
      <c r="A18" s="319" t="s">
        <v>275</v>
      </c>
      <c r="B18" s="319" t="s">
        <v>276</v>
      </c>
      <c r="C18" s="849" t="s">
        <v>297</v>
      </c>
      <c r="D18" s="849"/>
      <c r="E18" s="849"/>
      <c r="F18" s="849"/>
    </row>
    <row r="19" spans="1:6" ht="15.75" x14ac:dyDescent="0.25">
      <c r="A19" s="320" t="s">
        <v>298</v>
      </c>
      <c r="B19" s="321" t="s">
        <v>299</v>
      </c>
      <c r="C19" s="865">
        <v>5</v>
      </c>
      <c r="D19" s="866"/>
      <c r="E19" s="866"/>
      <c r="F19" s="867"/>
    </row>
    <row r="20" spans="1:6" ht="15.75" x14ac:dyDescent="0.25">
      <c r="A20" s="849" t="s">
        <v>128</v>
      </c>
      <c r="B20" s="849"/>
      <c r="C20" s="864">
        <f>SUM(C14:F19)</f>
        <v>18</v>
      </c>
      <c r="D20" s="864"/>
      <c r="E20" s="864"/>
      <c r="F20" s="864"/>
    </row>
    <row r="24" spans="1:6" x14ac:dyDescent="0.25">
      <c r="D24" s="325"/>
    </row>
  </sheetData>
  <mergeCells count="44">
    <mergeCell ref="A16:F16"/>
    <mergeCell ref="C18:F18"/>
    <mergeCell ref="C19:F19"/>
    <mergeCell ref="A20:B20"/>
    <mergeCell ref="C20:F20"/>
    <mergeCell ref="C13:F13"/>
    <mergeCell ref="J13:M13"/>
    <mergeCell ref="Q13:T13"/>
    <mergeCell ref="A14:B14"/>
    <mergeCell ref="C14:F14"/>
    <mergeCell ref="H14:I14"/>
    <mergeCell ref="J14:M14"/>
    <mergeCell ref="O14:P14"/>
    <mergeCell ref="Q14:T14"/>
    <mergeCell ref="C11:F11"/>
    <mergeCell ref="J11:M11"/>
    <mergeCell ref="Q11:T11"/>
    <mergeCell ref="C12:F12"/>
    <mergeCell ref="J12:M12"/>
    <mergeCell ref="Q12:T12"/>
    <mergeCell ref="C9:F9"/>
    <mergeCell ref="J9:M9"/>
    <mergeCell ref="Q9:T9"/>
    <mergeCell ref="C10:F10"/>
    <mergeCell ref="J10:M10"/>
    <mergeCell ref="Q10:T10"/>
    <mergeCell ref="C7:F7"/>
    <mergeCell ref="J7:M7"/>
    <mergeCell ref="Q7:T7"/>
    <mergeCell ref="C8:F8"/>
    <mergeCell ref="J8:M8"/>
    <mergeCell ref="Q8:T8"/>
    <mergeCell ref="A4:F4"/>
    <mergeCell ref="H4:M4"/>
    <mergeCell ref="O4:T4"/>
    <mergeCell ref="A5:F5"/>
    <mergeCell ref="H5:M5"/>
    <mergeCell ref="O5:T5"/>
    <mergeCell ref="A2:F2"/>
    <mergeCell ref="H2:M2"/>
    <mergeCell ref="O2:T2"/>
    <mergeCell ref="A3:F3"/>
    <mergeCell ref="H3:M3"/>
    <mergeCell ref="O3:T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5"/>
  <sheetViews>
    <sheetView workbookViewId="0">
      <selection activeCell="E63" sqref="E63"/>
    </sheetView>
  </sheetViews>
  <sheetFormatPr defaultRowHeight="15.75" x14ac:dyDescent="0.25"/>
  <cols>
    <col min="1" max="1" width="6" style="2" customWidth="1"/>
    <col min="2" max="2" width="5.140625" style="1" customWidth="1"/>
    <col min="3" max="3" width="82.5703125" style="1" customWidth="1"/>
    <col min="4" max="4" width="14.42578125" style="2" customWidth="1"/>
    <col min="5" max="5" width="14.5703125" style="2" customWidth="1"/>
    <col min="6" max="6" width="16.7109375" style="2" customWidth="1"/>
    <col min="7" max="7" width="14.85546875" style="11" bestFit="1" customWidth="1"/>
    <col min="8" max="8" width="16.7109375" style="11" bestFit="1" customWidth="1"/>
    <col min="9" max="9" width="14.85546875" style="11" bestFit="1" customWidth="1"/>
    <col min="10" max="16384" width="9.140625" style="11"/>
  </cols>
  <sheetData>
    <row r="1" spans="1:9" ht="20.100000000000001" customHeight="1" x14ac:dyDescent="0.3">
      <c r="A1" s="670" t="s">
        <v>756</v>
      </c>
      <c r="B1" s="671"/>
      <c r="C1" s="671"/>
      <c r="D1" s="671"/>
      <c r="E1" s="671"/>
      <c r="F1" s="671"/>
    </row>
    <row r="2" spans="1:9" ht="20.100000000000001" customHeight="1" x14ac:dyDescent="0.25">
      <c r="A2" s="663"/>
      <c r="B2" s="663"/>
      <c r="C2" s="663"/>
      <c r="D2" s="663"/>
      <c r="E2" s="663"/>
      <c r="F2" s="663"/>
    </row>
    <row r="3" spans="1:9" ht="20.100000000000001" customHeight="1" x14ac:dyDescent="0.25">
      <c r="A3" s="672" t="s">
        <v>300</v>
      </c>
      <c r="B3" s="672"/>
      <c r="C3" s="672"/>
      <c r="D3" s="672"/>
      <c r="E3" s="672"/>
      <c r="F3" s="672"/>
      <c r="G3" s="672"/>
    </row>
    <row r="4" spans="1:9" ht="20.100000000000001" customHeight="1" x14ac:dyDescent="0.25">
      <c r="A4" s="663" t="s">
        <v>4</v>
      </c>
      <c r="B4" s="663"/>
      <c r="C4" s="663"/>
      <c r="D4" s="663"/>
      <c r="E4" s="663"/>
      <c r="F4" s="663"/>
    </row>
    <row r="5" spans="1:9" ht="39" customHeight="1" thickBot="1" x14ac:dyDescent="0.3">
      <c r="A5" s="673" t="s">
        <v>720</v>
      </c>
      <c r="B5" s="673"/>
      <c r="C5" s="673"/>
      <c r="D5" s="673"/>
      <c r="E5" s="673"/>
      <c r="F5" s="673"/>
    </row>
    <row r="6" spans="1:9" ht="20.100000000000001" customHeight="1" x14ac:dyDescent="0.25">
      <c r="A6" s="674" t="s">
        <v>6</v>
      </c>
      <c r="B6" s="677" t="s">
        <v>7</v>
      </c>
      <c r="C6" s="677"/>
      <c r="D6" s="680" t="s">
        <v>624</v>
      </c>
      <c r="E6" s="682" t="s">
        <v>9</v>
      </c>
      <c r="F6" s="682" t="s">
        <v>10</v>
      </c>
      <c r="G6" s="684" t="s">
        <v>11</v>
      </c>
      <c r="H6" s="873"/>
      <c r="I6" s="873"/>
    </row>
    <row r="7" spans="1:9" ht="38.25" customHeight="1" x14ac:dyDescent="0.25">
      <c r="A7" s="675"/>
      <c r="B7" s="678"/>
      <c r="C7" s="678"/>
      <c r="D7" s="681"/>
      <c r="E7" s="683"/>
      <c r="F7" s="683"/>
      <c r="G7" s="685"/>
      <c r="H7" s="873"/>
      <c r="I7" s="873"/>
    </row>
    <row r="8" spans="1:9" ht="22.5" customHeight="1" thickBot="1" x14ac:dyDescent="0.3">
      <c r="A8" s="868"/>
      <c r="B8" s="869"/>
      <c r="C8" s="869"/>
      <c r="D8" s="870" t="s">
        <v>768</v>
      </c>
      <c r="E8" s="681"/>
      <c r="F8" s="681"/>
      <c r="G8" s="326"/>
    </row>
    <row r="9" spans="1:9" ht="15.95" customHeight="1" x14ac:dyDescent="0.25">
      <c r="A9" s="505"/>
      <c r="B9" s="677" t="s">
        <v>12</v>
      </c>
      <c r="C9" s="677"/>
      <c r="D9" s="328"/>
      <c r="E9" s="329"/>
      <c r="F9" s="330"/>
      <c r="G9" s="330"/>
    </row>
    <row r="10" spans="1:9" ht="15.95" customHeight="1" x14ac:dyDescent="0.25">
      <c r="A10" s="9">
        <v>1</v>
      </c>
      <c r="B10" s="669" t="s">
        <v>13</v>
      </c>
      <c r="C10" s="669"/>
      <c r="D10" s="17">
        <v>37931</v>
      </c>
      <c r="E10" s="17">
        <v>37931</v>
      </c>
      <c r="F10" s="18"/>
      <c r="G10" s="19"/>
      <c r="H10" s="507"/>
      <c r="I10" s="507"/>
    </row>
    <row r="11" spans="1:9" ht="15.95" customHeight="1" x14ac:dyDescent="0.25">
      <c r="A11" s="9">
        <v>2</v>
      </c>
      <c r="B11" s="669" t="s">
        <v>14</v>
      </c>
      <c r="C11" s="669"/>
      <c r="D11" s="17">
        <v>7444</v>
      </c>
      <c r="E11" s="17">
        <v>7444</v>
      </c>
      <c r="F11" s="18"/>
      <c r="G11" s="19"/>
      <c r="H11" s="507"/>
      <c r="I11" s="507"/>
    </row>
    <row r="12" spans="1:9" ht="15.95" customHeight="1" x14ac:dyDescent="0.25">
      <c r="A12" s="9">
        <v>3</v>
      </c>
      <c r="B12" s="669" t="s">
        <v>15</v>
      </c>
      <c r="C12" s="669"/>
      <c r="D12" s="17">
        <v>15718</v>
      </c>
      <c r="E12" s="17">
        <v>15718</v>
      </c>
      <c r="F12" s="18"/>
      <c r="G12" s="20"/>
      <c r="H12" s="507"/>
      <c r="I12" s="507"/>
    </row>
    <row r="13" spans="1:9" ht="15.95" customHeight="1" x14ac:dyDescent="0.25">
      <c r="A13" s="9" t="s">
        <v>16</v>
      </c>
      <c r="B13" s="669" t="s">
        <v>17</v>
      </c>
      <c r="C13" s="669"/>
      <c r="D13" s="331"/>
      <c r="E13" s="331"/>
      <c r="F13" s="18"/>
      <c r="G13" s="19"/>
      <c r="H13" s="507"/>
      <c r="I13" s="507"/>
    </row>
    <row r="14" spans="1:9" ht="15.95" customHeight="1" x14ac:dyDescent="0.25">
      <c r="A14" s="9" t="s">
        <v>18</v>
      </c>
      <c r="B14" s="688" t="s">
        <v>19</v>
      </c>
      <c r="C14" s="688"/>
      <c r="D14" s="331">
        <f>+D15+D16+D17+D18+D19</f>
        <v>0</v>
      </c>
      <c r="E14" s="331">
        <f>+E15+E16+E17+E18+E19</f>
        <v>0</v>
      </c>
      <c r="F14" s="23"/>
      <c r="G14" s="23"/>
      <c r="H14" s="507"/>
      <c r="I14" s="507"/>
    </row>
    <row r="15" spans="1:9" ht="15.95" customHeight="1" x14ac:dyDescent="0.25">
      <c r="A15" s="9" t="s">
        <v>20</v>
      </c>
      <c r="B15" s="689" t="s">
        <v>130</v>
      </c>
      <c r="C15" s="689"/>
      <c r="D15" s="331"/>
      <c r="E15" s="331"/>
      <c r="F15" s="18"/>
      <c r="G15" s="19"/>
      <c r="H15" s="507"/>
      <c r="I15" s="507"/>
    </row>
    <row r="16" spans="1:9" ht="15.95" customHeight="1" x14ac:dyDescent="0.25">
      <c r="A16" s="9" t="s">
        <v>21</v>
      </c>
      <c r="B16" s="689" t="s">
        <v>22</v>
      </c>
      <c r="C16" s="689"/>
      <c r="D16" s="331"/>
      <c r="E16" s="331"/>
      <c r="F16" s="18"/>
      <c r="G16" s="19"/>
      <c r="H16" s="507"/>
      <c r="I16" s="507"/>
    </row>
    <row r="17" spans="1:9" ht="15.95" customHeight="1" x14ac:dyDescent="0.25">
      <c r="A17" s="9"/>
      <c r="B17" s="871" t="s">
        <v>133</v>
      </c>
      <c r="C17" s="871"/>
      <c r="D17" s="331"/>
      <c r="E17" s="331"/>
      <c r="F17" s="18"/>
      <c r="G17" s="19"/>
      <c r="H17" s="507"/>
      <c r="I17" s="507"/>
    </row>
    <row r="18" spans="1:9" ht="15.95" customHeight="1" x14ac:dyDescent="0.25">
      <c r="A18" s="9" t="s">
        <v>23</v>
      </c>
      <c r="B18" s="692" t="s">
        <v>24</v>
      </c>
      <c r="C18" s="692"/>
      <c r="D18" s="331"/>
      <c r="E18" s="331"/>
      <c r="F18" s="18"/>
      <c r="G18" s="19"/>
      <c r="H18" s="507"/>
      <c r="I18" s="507"/>
    </row>
    <row r="19" spans="1:9" ht="15.95" customHeight="1" x14ac:dyDescent="0.25">
      <c r="A19" s="9" t="s">
        <v>25</v>
      </c>
      <c r="B19" s="692" t="s">
        <v>301</v>
      </c>
      <c r="C19" s="872"/>
      <c r="D19" s="331"/>
      <c r="E19" s="331"/>
      <c r="F19" s="18"/>
      <c r="G19" s="19"/>
      <c r="H19" s="507"/>
      <c r="I19" s="507"/>
    </row>
    <row r="20" spans="1:9" ht="15.95" customHeight="1" x14ac:dyDescent="0.25">
      <c r="A20" s="9"/>
      <c r="B20" s="669" t="s">
        <v>26</v>
      </c>
      <c r="C20" s="669"/>
      <c r="D20" s="332"/>
      <c r="E20" s="332"/>
      <c r="F20" s="333"/>
      <c r="G20" s="334"/>
      <c r="H20" s="507"/>
      <c r="I20" s="507"/>
    </row>
    <row r="21" spans="1:9" ht="15.95" customHeight="1" x14ac:dyDescent="0.25">
      <c r="A21" s="9" t="s">
        <v>1</v>
      </c>
      <c r="B21" s="504" t="s">
        <v>28</v>
      </c>
      <c r="C21" s="335"/>
      <c r="D21" s="331">
        <f>+D10+D11+D12+D13+D14+D20</f>
        <v>61093</v>
      </c>
      <c r="E21" s="331">
        <f>+E10+E11+E12+E13+E14+E20</f>
        <v>61093</v>
      </c>
      <c r="F21" s="23">
        <f>+F10+F11+F12+F13+F14+F20+F16</f>
        <v>0</v>
      </c>
      <c r="G21" s="17"/>
      <c r="H21" s="507"/>
      <c r="I21" s="507"/>
    </row>
    <row r="22" spans="1:9" ht="15.95" customHeight="1" x14ac:dyDescent="0.25">
      <c r="A22" s="9" t="s">
        <v>29</v>
      </c>
      <c r="B22" s="669" t="s">
        <v>30</v>
      </c>
      <c r="C22" s="669"/>
      <c r="D22" s="332">
        <v>720</v>
      </c>
      <c r="E22" s="332">
        <v>720</v>
      </c>
      <c r="F22" s="115"/>
      <c r="G22" s="19"/>
      <c r="H22" s="507"/>
      <c r="I22" s="507"/>
    </row>
    <row r="23" spans="1:9" ht="15.95" customHeight="1" x14ac:dyDescent="0.25">
      <c r="A23" s="9" t="s">
        <v>31</v>
      </c>
      <c r="B23" s="669" t="s">
        <v>32</v>
      </c>
      <c r="C23" s="669"/>
      <c r="D23" s="332"/>
      <c r="E23" s="332"/>
      <c r="F23" s="18"/>
      <c r="G23" s="19"/>
      <c r="H23" s="507"/>
      <c r="I23" s="507"/>
    </row>
    <row r="24" spans="1:9" ht="15.95" customHeight="1" x14ac:dyDescent="0.25">
      <c r="A24" s="9" t="s">
        <v>33</v>
      </c>
      <c r="B24" s="669" t="s">
        <v>137</v>
      </c>
      <c r="C24" s="669"/>
      <c r="D24" s="332"/>
      <c r="E24" s="332"/>
      <c r="F24" s="18"/>
      <c r="G24" s="19"/>
      <c r="H24" s="507"/>
      <c r="I24" s="507"/>
    </row>
    <row r="25" spans="1:9" ht="15.95" customHeight="1" x14ac:dyDescent="0.25">
      <c r="A25" s="9" t="s">
        <v>35</v>
      </c>
      <c r="B25" s="669" t="s">
        <v>36</v>
      </c>
      <c r="C25" s="669"/>
      <c r="D25" s="332">
        <f>+D22+D23+D24</f>
        <v>720</v>
      </c>
      <c r="E25" s="332">
        <f>+E22+E23+E24</f>
        <v>720</v>
      </c>
      <c r="F25" s="18">
        <f>SUM(F22:F24)</f>
        <v>0</v>
      </c>
      <c r="G25" s="19"/>
      <c r="H25" s="507"/>
      <c r="I25" s="507"/>
    </row>
    <row r="26" spans="1:9" ht="15.95" customHeight="1" x14ac:dyDescent="0.25">
      <c r="A26" s="9" t="s">
        <v>37</v>
      </c>
      <c r="B26" s="669"/>
      <c r="C26" s="669"/>
      <c r="D26" s="332"/>
      <c r="E26" s="332"/>
      <c r="F26" s="18"/>
      <c r="G26" s="19"/>
      <c r="H26" s="507"/>
      <c r="I26" s="507"/>
    </row>
    <row r="27" spans="1:9" ht="15.95" customHeight="1" x14ac:dyDescent="0.25">
      <c r="A27" s="9" t="s">
        <v>38</v>
      </c>
      <c r="B27" s="699"/>
      <c r="C27" s="699"/>
      <c r="D27" s="336"/>
      <c r="E27" s="336"/>
      <c r="F27" s="18">
        <f>+D27+E27</f>
        <v>0</v>
      </c>
      <c r="G27" s="19"/>
      <c r="H27" s="507"/>
      <c r="I27" s="507"/>
    </row>
    <row r="28" spans="1:9" ht="15.95" customHeight="1" x14ac:dyDescent="0.25">
      <c r="A28" s="9" t="s">
        <v>39</v>
      </c>
      <c r="B28" s="699"/>
      <c r="C28" s="699"/>
      <c r="D28" s="336"/>
      <c r="E28" s="336"/>
      <c r="F28" s="18">
        <f>+D28+E28</f>
        <v>0</v>
      </c>
      <c r="G28" s="19"/>
      <c r="H28" s="507"/>
      <c r="I28" s="507"/>
    </row>
    <row r="29" spans="1:9" ht="15.95" customHeight="1" x14ac:dyDescent="0.3">
      <c r="A29" s="36" t="s">
        <v>40</v>
      </c>
      <c r="B29" s="703" t="s">
        <v>302</v>
      </c>
      <c r="C29" s="703"/>
      <c r="D29" s="338">
        <f>+D21+D25+D26+D27+D28</f>
        <v>61813</v>
      </c>
      <c r="E29" s="338">
        <f>+E21+E25+E26+E27+E28</f>
        <v>61813</v>
      </c>
      <c r="F29" s="66">
        <f>+F21+F25+F26+F27+F28</f>
        <v>0</v>
      </c>
      <c r="G29" s="67">
        <f>+G21+G25+G26+G27+G28</f>
        <v>0</v>
      </c>
      <c r="H29" s="507"/>
      <c r="I29" s="507"/>
    </row>
    <row r="30" spans="1:9" ht="15.95" customHeight="1" x14ac:dyDescent="0.25">
      <c r="A30" s="40"/>
      <c r="B30" s="753"/>
      <c r="C30" s="753"/>
      <c r="D30" s="125"/>
      <c r="E30" s="125"/>
      <c r="F30" s="96"/>
      <c r="G30" s="96"/>
      <c r="H30" s="507"/>
      <c r="I30" s="507"/>
    </row>
    <row r="31" spans="1:9" ht="15.95" customHeight="1" x14ac:dyDescent="0.25">
      <c r="A31" s="9"/>
      <c r="B31" s="722" t="s">
        <v>42</v>
      </c>
      <c r="C31" s="722"/>
      <c r="D31" s="332"/>
      <c r="E31" s="332"/>
      <c r="F31" s="18"/>
      <c r="G31" s="19"/>
      <c r="H31" s="507"/>
      <c r="I31" s="507"/>
    </row>
    <row r="32" spans="1:9" ht="15.95" customHeight="1" x14ac:dyDescent="0.25">
      <c r="A32" s="9" t="s">
        <v>43</v>
      </c>
      <c r="B32" s="697" t="s">
        <v>44</v>
      </c>
      <c r="C32" s="697"/>
      <c r="D32" s="332">
        <v>1350</v>
      </c>
      <c r="E32" s="332">
        <v>1350</v>
      </c>
      <c r="F32" s="18"/>
      <c r="G32" s="19">
        <v>0</v>
      </c>
      <c r="H32" s="507"/>
      <c r="I32" s="507"/>
    </row>
    <row r="33" spans="1:9" ht="15.95" customHeight="1" x14ac:dyDescent="0.25">
      <c r="A33" s="9" t="s">
        <v>45</v>
      </c>
      <c r="B33" s="697" t="s">
        <v>46</v>
      </c>
      <c r="C33" s="697"/>
      <c r="D33" s="332">
        <f>SUM(D34:D36)</f>
        <v>0</v>
      </c>
      <c r="E33" s="332">
        <f>SUM(E34:E36)</f>
        <v>0</v>
      </c>
      <c r="F33" s="32">
        <f>SUM(F34:F36)</f>
        <v>0</v>
      </c>
      <c r="G33" s="19"/>
      <c r="H33" s="507"/>
      <c r="I33" s="507"/>
    </row>
    <row r="34" spans="1:9" ht="15.95" customHeight="1" x14ac:dyDescent="0.25">
      <c r="A34" s="9"/>
      <c r="B34" s="51" t="s">
        <v>47</v>
      </c>
      <c r="C34" s="52" t="s">
        <v>48</v>
      </c>
      <c r="D34" s="332"/>
      <c r="E34" s="332"/>
      <c r="F34" s="18"/>
      <c r="G34" s="19"/>
      <c r="H34" s="507"/>
      <c r="I34" s="507"/>
    </row>
    <row r="35" spans="1:9" ht="15.95" customHeight="1" x14ac:dyDescent="0.25">
      <c r="A35" s="9"/>
      <c r="B35" s="51" t="s">
        <v>49</v>
      </c>
      <c r="C35" s="52" t="s">
        <v>50</v>
      </c>
      <c r="D35" s="332"/>
      <c r="E35" s="332"/>
      <c r="F35" s="18"/>
      <c r="G35" s="19"/>
      <c r="H35" s="507"/>
      <c r="I35" s="507"/>
    </row>
    <row r="36" spans="1:9" ht="15.95" customHeight="1" x14ac:dyDescent="0.25">
      <c r="A36" s="9"/>
      <c r="B36" s="51" t="s">
        <v>51</v>
      </c>
      <c r="C36" s="52" t="s">
        <v>52</v>
      </c>
      <c r="D36" s="332"/>
      <c r="E36" s="332"/>
      <c r="F36" s="18"/>
      <c r="G36" s="19"/>
      <c r="H36" s="507"/>
      <c r="I36" s="507"/>
    </row>
    <row r="37" spans="1:9" ht="15.95" customHeight="1" x14ac:dyDescent="0.25">
      <c r="A37" s="9" t="s">
        <v>53</v>
      </c>
      <c r="B37" s="697" t="s">
        <v>54</v>
      </c>
      <c r="C37" s="697"/>
      <c r="D37" s="332">
        <f>SUM(D38:D40)</f>
        <v>0</v>
      </c>
      <c r="E37" s="332">
        <f>SUM(E38:E40)</f>
        <v>0</v>
      </c>
      <c r="F37" s="18">
        <f>SUM(F38:F40)</f>
        <v>0</v>
      </c>
      <c r="G37" s="19"/>
      <c r="H37" s="507"/>
      <c r="I37" s="507"/>
    </row>
    <row r="38" spans="1:9" ht="15.95" customHeight="1" x14ac:dyDescent="0.25">
      <c r="A38" s="9"/>
      <c r="B38" s="55" t="s">
        <v>55</v>
      </c>
      <c r="C38" s="503" t="s">
        <v>56</v>
      </c>
      <c r="D38" s="332"/>
      <c r="E38" s="332"/>
      <c r="F38" s="18"/>
      <c r="G38" s="19"/>
      <c r="H38" s="507"/>
      <c r="I38" s="507"/>
    </row>
    <row r="39" spans="1:9" ht="15.95" customHeight="1" x14ac:dyDescent="0.25">
      <c r="A39" s="9"/>
      <c r="B39" s="55" t="s">
        <v>57</v>
      </c>
      <c r="C39" s="503" t="s">
        <v>58</v>
      </c>
      <c r="D39" s="332"/>
      <c r="E39" s="332"/>
      <c r="F39" s="18">
        <f t="shared" ref="F39:F45" si="0">SUM(D39:D39)</f>
        <v>0</v>
      </c>
      <c r="G39" s="19"/>
      <c r="H39" s="507"/>
      <c r="I39" s="507"/>
    </row>
    <row r="40" spans="1:9" ht="15.95" customHeight="1" x14ac:dyDescent="0.25">
      <c r="A40" s="9"/>
      <c r="B40" s="55" t="s">
        <v>59</v>
      </c>
      <c r="C40" s="503" t="s">
        <v>60</v>
      </c>
      <c r="D40" s="332"/>
      <c r="E40" s="332"/>
      <c r="F40" s="18"/>
      <c r="G40" s="19"/>
      <c r="H40" s="507"/>
      <c r="I40" s="507"/>
    </row>
    <row r="41" spans="1:9" ht="15.95" customHeight="1" x14ac:dyDescent="0.25">
      <c r="A41" s="9" t="s">
        <v>16</v>
      </c>
      <c r="B41" s="697" t="s">
        <v>61</v>
      </c>
      <c r="C41" s="697"/>
      <c r="D41" s="332">
        <f>+F41</f>
        <v>0</v>
      </c>
      <c r="E41" s="332">
        <f>+G41</f>
        <v>0</v>
      </c>
      <c r="F41" s="32">
        <f>SUM(F42:F45)</f>
        <v>0</v>
      </c>
      <c r="G41" s="19"/>
      <c r="H41" s="507"/>
      <c r="I41" s="507"/>
    </row>
    <row r="42" spans="1:9" ht="15.95" customHeight="1" x14ac:dyDescent="0.25">
      <c r="A42" s="9"/>
      <c r="B42" s="55" t="s">
        <v>62</v>
      </c>
      <c r="C42" s="503" t="s">
        <v>63</v>
      </c>
      <c r="D42" s="332">
        <f>+F42</f>
        <v>0</v>
      </c>
      <c r="E42" s="332">
        <f>+G42</f>
        <v>0</v>
      </c>
      <c r="F42" s="18"/>
      <c r="G42" s="19"/>
      <c r="H42" s="507"/>
      <c r="I42" s="507"/>
    </row>
    <row r="43" spans="1:9" ht="15.95" customHeight="1" x14ac:dyDescent="0.25">
      <c r="A43" s="9"/>
      <c r="B43" s="55" t="s">
        <v>64</v>
      </c>
      <c r="C43" s="503" t="s">
        <v>65</v>
      </c>
      <c r="D43" s="332"/>
      <c r="E43" s="332"/>
      <c r="F43" s="18">
        <f t="shared" si="0"/>
        <v>0</v>
      </c>
      <c r="G43" s="19"/>
      <c r="H43" s="507"/>
      <c r="I43" s="507"/>
    </row>
    <row r="44" spans="1:9" ht="15.95" customHeight="1" x14ac:dyDescent="0.25">
      <c r="A44" s="9"/>
      <c r="B44" s="55" t="s">
        <v>66</v>
      </c>
      <c r="C44" s="503" t="s">
        <v>303</v>
      </c>
      <c r="D44" s="332"/>
      <c r="E44" s="332"/>
      <c r="F44" s="18">
        <f t="shared" si="0"/>
        <v>0</v>
      </c>
      <c r="G44" s="19"/>
      <c r="H44" s="507"/>
      <c r="I44" s="507"/>
    </row>
    <row r="45" spans="1:9" ht="15.95" customHeight="1" x14ac:dyDescent="0.25">
      <c r="A45" s="9"/>
      <c r="B45" s="55" t="s">
        <v>68</v>
      </c>
      <c r="C45" s="503" t="s">
        <v>69</v>
      </c>
      <c r="D45" s="332"/>
      <c r="E45" s="332"/>
      <c r="F45" s="18">
        <f t="shared" si="0"/>
        <v>0</v>
      </c>
      <c r="G45" s="19"/>
      <c r="H45" s="507"/>
      <c r="I45" s="507"/>
    </row>
    <row r="46" spans="1:9" s="376" customFormat="1" ht="15.95" customHeight="1" x14ac:dyDescent="0.25">
      <c r="A46" s="26" t="s">
        <v>1</v>
      </c>
      <c r="B46" s="705" t="s">
        <v>70</v>
      </c>
      <c r="C46" s="705"/>
      <c r="D46" s="332">
        <f>+D32+D33+D37+D41</f>
        <v>1350</v>
      </c>
      <c r="E46" s="332">
        <f>+E32+E33+E37+E41</f>
        <v>1350</v>
      </c>
      <c r="F46" s="332">
        <f>+F32+F33+F37+F41</f>
        <v>0</v>
      </c>
      <c r="G46" s="332">
        <f>+G32+G33+G37+G41</f>
        <v>0</v>
      </c>
      <c r="H46" s="508"/>
      <c r="I46" s="508"/>
    </row>
    <row r="47" spans="1:9" ht="15.95" customHeight="1" x14ac:dyDescent="0.25">
      <c r="A47" s="9" t="s">
        <v>18</v>
      </c>
      <c r="B47" s="697" t="s">
        <v>71</v>
      </c>
      <c r="C47" s="697"/>
      <c r="D47" s="332">
        <f>SUM(D48:D49)</f>
        <v>0</v>
      </c>
      <c r="E47" s="332">
        <f>SUM(E48:E49)</f>
        <v>0</v>
      </c>
      <c r="F47" s="32">
        <f>SUM(F48:F49)</f>
        <v>0</v>
      </c>
      <c r="G47" s="19"/>
      <c r="H47" s="507"/>
      <c r="I47" s="507"/>
    </row>
    <row r="48" spans="1:9" ht="15.95" customHeight="1" x14ac:dyDescent="0.25">
      <c r="A48" s="9"/>
      <c r="B48" s="55" t="s">
        <v>72</v>
      </c>
      <c r="C48" s="503" t="s">
        <v>73</v>
      </c>
      <c r="D48" s="332"/>
      <c r="E48" s="332"/>
      <c r="F48" s="18">
        <f t="shared" ref="F48:F56" si="1">SUM(D48:D48)</f>
        <v>0</v>
      </c>
      <c r="G48" s="19"/>
      <c r="H48" s="507"/>
      <c r="I48" s="507"/>
    </row>
    <row r="49" spans="1:9" ht="15.95" customHeight="1" x14ac:dyDescent="0.25">
      <c r="A49" s="9"/>
      <c r="B49" s="55" t="s">
        <v>74</v>
      </c>
      <c r="C49" s="503" t="s">
        <v>75</v>
      </c>
      <c r="D49" s="332"/>
      <c r="E49" s="332"/>
      <c r="F49" s="18"/>
      <c r="G49" s="19"/>
      <c r="H49" s="507"/>
      <c r="I49" s="507"/>
    </row>
    <row r="50" spans="1:9" ht="15.95" customHeight="1" x14ac:dyDescent="0.25">
      <c r="A50" s="9" t="s">
        <v>29</v>
      </c>
      <c r="B50" s="697" t="s">
        <v>76</v>
      </c>
      <c r="C50" s="697"/>
      <c r="D50" s="332">
        <f>SUM(D51:D52)</f>
        <v>0</v>
      </c>
      <c r="E50" s="332">
        <f>SUM(E51:E52)</f>
        <v>0</v>
      </c>
      <c r="F50" s="18">
        <f t="shared" si="1"/>
        <v>0</v>
      </c>
      <c r="G50" s="19"/>
      <c r="H50" s="507"/>
      <c r="I50" s="507"/>
    </row>
    <row r="51" spans="1:9" ht="15.95" customHeight="1" x14ac:dyDescent="0.25">
      <c r="A51" s="9"/>
      <c r="B51" s="55" t="s">
        <v>77</v>
      </c>
      <c r="C51" s="503" t="s">
        <v>78</v>
      </c>
      <c r="D51" s="332"/>
      <c r="E51" s="332"/>
      <c r="F51" s="18">
        <f t="shared" si="1"/>
        <v>0</v>
      </c>
      <c r="G51" s="19"/>
      <c r="H51" s="507"/>
      <c r="I51" s="507"/>
    </row>
    <row r="52" spans="1:9" ht="15.95" customHeight="1" x14ac:dyDescent="0.25">
      <c r="A52" s="9"/>
      <c r="B52" s="55" t="s">
        <v>79</v>
      </c>
      <c r="C52" s="503" t="s">
        <v>80</v>
      </c>
      <c r="D52" s="332">
        <v>0</v>
      </c>
      <c r="E52" s="332">
        <v>0</v>
      </c>
      <c r="F52" s="18">
        <f t="shared" si="1"/>
        <v>0</v>
      </c>
      <c r="G52" s="19"/>
      <c r="H52" s="507"/>
      <c r="I52" s="507"/>
    </row>
    <row r="53" spans="1:9" ht="15.95" customHeight="1" x14ac:dyDescent="0.25">
      <c r="A53" s="9" t="s">
        <v>31</v>
      </c>
      <c r="B53" s="697" t="s">
        <v>81</v>
      </c>
      <c r="C53" s="697"/>
      <c r="D53" s="332">
        <f>SUM(D54:D56)</f>
        <v>0</v>
      </c>
      <c r="E53" s="332">
        <f>SUM(E54:E56)</f>
        <v>0</v>
      </c>
      <c r="F53" s="18">
        <f>SUM(F54:F56)</f>
        <v>0</v>
      </c>
      <c r="G53" s="19"/>
      <c r="H53" s="507"/>
      <c r="I53" s="507"/>
    </row>
    <row r="54" spans="1:9" ht="15.95" customHeight="1" x14ac:dyDescent="0.25">
      <c r="A54" s="9"/>
      <c r="B54" s="55" t="s">
        <v>82</v>
      </c>
      <c r="C54" s="503" t="s">
        <v>83</v>
      </c>
      <c r="D54" s="332"/>
      <c r="E54" s="332"/>
      <c r="F54" s="18"/>
      <c r="G54" s="19"/>
      <c r="H54" s="507"/>
      <c r="I54" s="507"/>
    </row>
    <row r="55" spans="1:9" ht="15.95" customHeight="1" x14ac:dyDescent="0.25">
      <c r="A55" s="9"/>
      <c r="B55" s="55" t="s">
        <v>84</v>
      </c>
      <c r="C55" s="503" t="s">
        <v>85</v>
      </c>
      <c r="D55" s="332"/>
      <c r="E55" s="332"/>
      <c r="F55" s="18">
        <f t="shared" si="1"/>
        <v>0</v>
      </c>
      <c r="G55" s="19"/>
      <c r="H55" s="507"/>
      <c r="I55" s="507"/>
    </row>
    <row r="56" spans="1:9" ht="15.95" customHeight="1" x14ac:dyDescent="0.25">
      <c r="A56" s="9"/>
      <c r="B56" s="55" t="s">
        <v>86</v>
      </c>
      <c r="C56" s="503" t="s">
        <v>87</v>
      </c>
      <c r="D56" s="332"/>
      <c r="E56" s="332"/>
      <c r="F56" s="18">
        <f t="shared" si="1"/>
        <v>0</v>
      </c>
      <c r="G56" s="19"/>
      <c r="H56" s="507"/>
      <c r="I56" s="507"/>
    </row>
    <row r="57" spans="1:9" s="376" customFormat="1" ht="15.95" customHeight="1" x14ac:dyDescent="0.25">
      <c r="A57" s="26" t="s">
        <v>35</v>
      </c>
      <c r="B57" s="705" t="s">
        <v>88</v>
      </c>
      <c r="C57" s="705"/>
      <c r="D57" s="336">
        <f>+D47+D50+D53</f>
        <v>0</v>
      </c>
      <c r="E57" s="336">
        <f>+E47+E50+E53</f>
        <v>0</v>
      </c>
      <c r="F57" s="33">
        <f>+F47+F50+F53</f>
        <v>0</v>
      </c>
      <c r="G57" s="341">
        <f>+G47+G50+G53</f>
        <v>0</v>
      </c>
      <c r="H57" s="508"/>
      <c r="I57" s="508"/>
    </row>
    <row r="58" spans="1:9" s="376" customFormat="1" ht="15.95" customHeight="1" x14ac:dyDescent="0.25">
      <c r="A58" s="26" t="s">
        <v>37</v>
      </c>
      <c r="B58" s="705" t="s">
        <v>89</v>
      </c>
      <c r="C58" s="705"/>
      <c r="D58" s="336"/>
      <c r="E58" s="336"/>
      <c r="F58" s="342"/>
      <c r="G58" s="343"/>
      <c r="H58" s="508"/>
      <c r="I58" s="508"/>
    </row>
    <row r="59" spans="1:9" s="376" customFormat="1" ht="15.95" customHeight="1" x14ac:dyDescent="0.25">
      <c r="A59" s="26" t="s">
        <v>38</v>
      </c>
      <c r="B59" s="705" t="s">
        <v>90</v>
      </c>
      <c r="C59" s="705"/>
      <c r="D59" s="336"/>
      <c r="E59" s="336"/>
      <c r="F59" s="342"/>
      <c r="G59" s="343"/>
      <c r="H59" s="508"/>
      <c r="I59" s="508"/>
    </row>
    <row r="60" spans="1:9" s="378" customFormat="1" ht="15.95" customHeight="1" x14ac:dyDescent="0.3">
      <c r="A60" s="36" t="s">
        <v>91</v>
      </c>
      <c r="B60" s="707" t="s">
        <v>92</v>
      </c>
      <c r="C60" s="707"/>
      <c r="D60" s="338">
        <f>+D46+D57+D58+D59</f>
        <v>1350</v>
      </c>
      <c r="E60" s="338">
        <f>+E46+E57+E58+E59</f>
        <v>1350</v>
      </c>
      <c r="F60" s="66">
        <f>+F46+F57+F58+F59</f>
        <v>0</v>
      </c>
      <c r="G60" s="67">
        <f>+G46+G57+G58+G59</f>
        <v>0</v>
      </c>
      <c r="H60" s="508"/>
      <c r="I60" s="509"/>
    </row>
    <row r="61" spans="1:9" s="378" customFormat="1" ht="15.95" customHeight="1" x14ac:dyDescent="0.3">
      <c r="A61" s="36"/>
      <c r="B61" s="707" t="s">
        <v>93</v>
      </c>
      <c r="C61" s="707"/>
      <c r="D61" s="338">
        <f>+D29-D60</f>
        <v>60463</v>
      </c>
      <c r="E61" s="338">
        <f>+E29-E60</f>
        <v>60463</v>
      </c>
      <c r="F61" s="66">
        <f>+F29-F60</f>
        <v>0</v>
      </c>
      <c r="G61" s="67">
        <f>+G29-G60</f>
        <v>0</v>
      </c>
      <c r="H61" s="509"/>
      <c r="I61" s="509"/>
    </row>
    <row r="62" spans="1:9" s="378" customFormat="1" ht="15.95" customHeight="1" x14ac:dyDescent="0.3">
      <c r="A62" s="36"/>
      <c r="B62" s="705" t="s">
        <v>94</v>
      </c>
      <c r="C62" s="705"/>
      <c r="D62" s="338">
        <v>59198</v>
      </c>
      <c r="E62" s="338">
        <v>59198</v>
      </c>
      <c r="F62" s="66"/>
      <c r="G62" s="67"/>
      <c r="H62" s="509"/>
      <c r="I62" s="509"/>
    </row>
    <row r="63" spans="1:9" ht="15.95" customHeight="1" x14ac:dyDescent="0.25">
      <c r="A63" s="26" t="s">
        <v>39</v>
      </c>
      <c r="B63" s="705" t="s">
        <v>95</v>
      </c>
      <c r="C63" s="705"/>
      <c r="D63" s="332">
        <f>D64+D65</f>
        <v>1265</v>
      </c>
      <c r="E63" s="332">
        <f>E64+E65</f>
        <v>1265</v>
      </c>
      <c r="F63" s="18"/>
      <c r="G63" s="21"/>
      <c r="H63" s="507"/>
      <c r="I63" s="507"/>
    </row>
    <row r="64" spans="1:9" s="378" customFormat="1" ht="15.95" customHeight="1" x14ac:dyDescent="0.3">
      <c r="A64" s="36"/>
      <c r="B64" s="68" t="s">
        <v>43</v>
      </c>
      <c r="C64" s="503" t="s">
        <v>96</v>
      </c>
      <c r="D64" s="332">
        <v>1265</v>
      </c>
      <c r="E64" s="332">
        <v>1265</v>
      </c>
      <c r="F64" s="76"/>
      <c r="G64" s="69"/>
      <c r="H64" s="509"/>
      <c r="I64" s="509"/>
    </row>
    <row r="65" spans="1:9" s="378" customFormat="1" ht="15.95" customHeight="1" x14ac:dyDescent="0.3">
      <c r="A65" s="36"/>
      <c r="B65" s="68" t="s">
        <v>45</v>
      </c>
      <c r="C65" s="503" t="s">
        <v>97</v>
      </c>
      <c r="D65" s="344"/>
      <c r="E65" s="344"/>
      <c r="F65" s="18"/>
      <c r="G65" s="69"/>
      <c r="H65" s="509"/>
      <c r="I65" s="509"/>
    </row>
    <row r="66" spans="1:9" s="378" customFormat="1" ht="39.75" customHeight="1" x14ac:dyDescent="0.3">
      <c r="A66" s="36" t="s">
        <v>98</v>
      </c>
      <c r="B66" s="703" t="s">
        <v>99</v>
      </c>
      <c r="C66" s="703"/>
      <c r="D66" s="338">
        <f>+D63</f>
        <v>1265</v>
      </c>
      <c r="E66" s="338">
        <f>+E63</f>
        <v>1265</v>
      </c>
      <c r="F66" s="66">
        <f>+F63</f>
        <v>0</v>
      </c>
      <c r="G66" s="69"/>
      <c r="H66" s="509"/>
      <c r="I66" s="509"/>
    </row>
    <row r="67" spans="1:9" s="378" customFormat="1" ht="15.95" customHeight="1" x14ac:dyDescent="0.3">
      <c r="A67" s="9" t="s">
        <v>100</v>
      </c>
      <c r="B67" s="697" t="s">
        <v>101</v>
      </c>
      <c r="C67" s="697"/>
      <c r="D67" s="338"/>
      <c r="E67" s="338"/>
      <c r="F67" s="72">
        <f t="shared" ref="F67:F80" si="2">SUM(D67:E67)</f>
        <v>0</v>
      </c>
      <c r="G67" s="73"/>
      <c r="H67" s="509"/>
      <c r="I67" s="509"/>
    </row>
    <row r="68" spans="1:9" s="378" customFormat="1" ht="15.95" customHeight="1" x14ac:dyDescent="0.3">
      <c r="A68" s="9" t="s">
        <v>102</v>
      </c>
      <c r="B68" s="697" t="s">
        <v>103</v>
      </c>
      <c r="C68" s="697"/>
      <c r="D68" s="338">
        <f>SUM(D69:D72)</f>
        <v>0</v>
      </c>
      <c r="E68" s="338">
        <f>SUM(E69:E72)</f>
        <v>0</v>
      </c>
      <c r="F68" s="72">
        <f t="shared" si="2"/>
        <v>0</v>
      </c>
      <c r="G68" s="73"/>
      <c r="H68" s="509"/>
      <c r="I68" s="509"/>
    </row>
    <row r="69" spans="1:9" s="378" customFormat="1" ht="15.95" customHeight="1" x14ac:dyDescent="0.3">
      <c r="A69" s="9"/>
      <c r="B69" s="55" t="s">
        <v>43</v>
      </c>
      <c r="C69" s="503" t="s">
        <v>304</v>
      </c>
      <c r="D69" s="344"/>
      <c r="E69" s="344"/>
      <c r="F69" s="76">
        <f t="shared" si="2"/>
        <v>0</v>
      </c>
      <c r="G69" s="73"/>
      <c r="H69" s="509"/>
      <c r="I69" s="509"/>
    </row>
    <row r="70" spans="1:9" s="378" customFormat="1" ht="15.95" customHeight="1" x14ac:dyDescent="0.3">
      <c r="A70" s="9"/>
      <c r="B70" s="55" t="s">
        <v>45</v>
      </c>
      <c r="C70" s="503" t="s">
        <v>105</v>
      </c>
      <c r="D70" s="338"/>
      <c r="E70" s="338"/>
      <c r="F70" s="72">
        <f t="shared" si="2"/>
        <v>0</v>
      </c>
      <c r="G70" s="73"/>
      <c r="H70" s="509"/>
      <c r="I70" s="509"/>
    </row>
    <row r="71" spans="1:9" s="378" customFormat="1" ht="15.95" customHeight="1" x14ac:dyDescent="0.3">
      <c r="A71" s="9"/>
      <c r="B71" s="55" t="s">
        <v>53</v>
      </c>
      <c r="C71" s="503" t="s">
        <v>106</v>
      </c>
      <c r="D71" s="344"/>
      <c r="E71" s="344"/>
      <c r="F71" s="72"/>
      <c r="G71" s="73"/>
      <c r="H71" s="509"/>
      <c r="I71" s="509"/>
    </row>
    <row r="72" spans="1:9" s="378" customFormat="1" ht="15.95" customHeight="1" x14ac:dyDescent="0.3">
      <c r="A72" s="9"/>
      <c r="B72" s="55" t="s">
        <v>16</v>
      </c>
      <c r="C72" s="503" t="s">
        <v>107</v>
      </c>
      <c r="D72" s="344"/>
      <c r="E72" s="344"/>
      <c r="F72" s="72"/>
      <c r="G72" s="73"/>
      <c r="H72" s="509"/>
      <c r="I72" s="509"/>
    </row>
    <row r="73" spans="1:9" s="378" customFormat="1" ht="33" customHeight="1" x14ac:dyDescent="0.3">
      <c r="A73" s="36" t="s">
        <v>108</v>
      </c>
      <c r="B73" s="712" t="s">
        <v>109</v>
      </c>
      <c r="C73" s="712"/>
      <c r="D73" s="338">
        <f>+D67+D68</f>
        <v>0</v>
      </c>
      <c r="E73" s="338">
        <f>+E67+E68</f>
        <v>0</v>
      </c>
      <c r="F73" s="72">
        <f t="shared" si="2"/>
        <v>0</v>
      </c>
      <c r="G73" s="73"/>
      <c r="H73" s="509"/>
      <c r="I73" s="509"/>
    </row>
    <row r="74" spans="1:9" s="378" customFormat="1" ht="15.95" customHeight="1" x14ac:dyDescent="0.3">
      <c r="A74" s="36" t="s">
        <v>110</v>
      </c>
      <c r="B74" s="707" t="s">
        <v>111</v>
      </c>
      <c r="C74" s="707"/>
      <c r="D74" s="71">
        <f>+D66+D73+D62</f>
        <v>60463</v>
      </c>
      <c r="E74" s="71">
        <f>+E66+E73+E62</f>
        <v>60463</v>
      </c>
      <c r="F74" s="71">
        <f>+F66+F73+F62</f>
        <v>0</v>
      </c>
      <c r="G74" s="73"/>
      <c r="H74" s="509"/>
      <c r="I74" s="509"/>
    </row>
    <row r="75" spans="1:9" s="378" customFormat="1" ht="15.95" customHeight="1" x14ac:dyDescent="0.3">
      <c r="A75" s="9" t="s">
        <v>112</v>
      </c>
      <c r="B75" s="697" t="s">
        <v>305</v>
      </c>
      <c r="C75" s="697"/>
      <c r="D75" s="338"/>
      <c r="E75" s="338"/>
      <c r="F75" s="72">
        <f t="shared" si="2"/>
        <v>0</v>
      </c>
      <c r="G75" s="73"/>
      <c r="H75" s="509"/>
      <c r="I75" s="509"/>
    </row>
    <row r="76" spans="1:9" s="378" customFormat="1" ht="15.95" customHeight="1" x14ac:dyDescent="0.3">
      <c r="A76" s="9" t="s">
        <v>114</v>
      </c>
      <c r="B76" s="697" t="s">
        <v>115</v>
      </c>
      <c r="C76" s="697"/>
      <c r="D76" s="344">
        <f>SUM(D77:D79)</f>
        <v>0</v>
      </c>
      <c r="E76" s="344">
        <f>SUM(E77:E79)</f>
        <v>0</v>
      </c>
      <c r="F76" s="76">
        <f t="shared" si="2"/>
        <v>0</v>
      </c>
      <c r="G76" s="73"/>
      <c r="H76" s="509"/>
      <c r="I76" s="509"/>
    </row>
    <row r="77" spans="1:9" s="378" customFormat="1" ht="15.95" customHeight="1" x14ac:dyDescent="0.3">
      <c r="A77" s="9"/>
      <c r="B77" s="55" t="s">
        <v>43</v>
      </c>
      <c r="C77" s="503" t="s">
        <v>306</v>
      </c>
      <c r="D77" s="344"/>
      <c r="E77" s="344"/>
      <c r="F77" s="76">
        <f t="shared" si="2"/>
        <v>0</v>
      </c>
      <c r="G77" s="73"/>
      <c r="H77" s="509"/>
      <c r="I77" s="509"/>
    </row>
    <row r="78" spans="1:9" s="378" customFormat="1" ht="15.95" customHeight="1" x14ac:dyDescent="0.3">
      <c r="A78" s="9"/>
      <c r="B78" s="55" t="s">
        <v>45</v>
      </c>
      <c r="C78" s="503" t="s">
        <v>307</v>
      </c>
      <c r="D78" s="344"/>
      <c r="E78" s="344"/>
      <c r="F78" s="76">
        <f t="shared" si="2"/>
        <v>0</v>
      </c>
      <c r="G78" s="73"/>
      <c r="H78" s="509"/>
      <c r="I78" s="509"/>
    </row>
    <row r="79" spans="1:9" s="378" customFormat="1" ht="15.95" customHeight="1" x14ac:dyDescent="0.3">
      <c r="A79" s="9"/>
      <c r="B79" s="55" t="s">
        <v>53</v>
      </c>
      <c r="C79" s="503" t="s">
        <v>118</v>
      </c>
      <c r="D79" s="344"/>
      <c r="E79" s="344"/>
      <c r="F79" s="76">
        <f t="shared" si="2"/>
        <v>0</v>
      </c>
      <c r="G79" s="73"/>
      <c r="H79" s="509"/>
      <c r="I79" s="509"/>
    </row>
    <row r="80" spans="1:9" s="378" customFormat="1" ht="15.95" customHeight="1" x14ac:dyDescent="0.3">
      <c r="A80" s="36" t="s">
        <v>120</v>
      </c>
      <c r="B80" s="707" t="s">
        <v>308</v>
      </c>
      <c r="C80" s="707"/>
      <c r="D80" s="338">
        <f>+D75+D76</f>
        <v>0</v>
      </c>
      <c r="E80" s="338">
        <f>+E75+E76</f>
        <v>0</v>
      </c>
      <c r="F80" s="72">
        <f t="shared" si="2"/>
        <v>0</v>
      </c>
      <c r="G80" s="73"/>
      <c r="H80" s="509"/>
      <c r="I80" s="509"/>
    </row>
    <row r="81" spans="1:9" s="378" customFormat="1" ht="15.95" customHeight="1" x14ac:dyDescent="0.3">
      <c r="A81" s="36" t="s">
        <v>122</v>
      </c>
      <c r="B81" s="707" t="s">
        <v>123</v>
      </c>
      <c r="C81" s="707"/>
      <c r="D81" s="345">
        <f>+D29+D80</f>
        <v>61813</v>
      </c>
      <c r="E81" s="345">
        <f>+E29+E80</f>
        <v>61813</v>
      </c>
      <c r="F81" s="345">
        <f>+F29+F80</f>
        <v>0</v>
      </c>
      <c r="G81" s="345">
        <f>+G29+G80</f>
        <v>0</v>
      </c>
      <c r="H81" s="509"/>
      <c r="I81" s="509"/>
    </row>
    <row r="82" spans="1:9" s="378" customFormat="1" ht="15.95" customHeight="1" thickBot="1" x14ac:dyDescent="0.35">
      <c r="A82" s="346" t="s">
        <v>124</v>
      </c>
      <c r="B82" s="347" t="s">
        <v>125</v>
      </c>
      <c r="C82" s="347"/>
      <c r="D82" s="348">
        <f>+D60+D74</f>
        <v>61813</v>
      </c>
      <c r="E82" s="348">
        <f>+E60+E74</f>
        <v>61813</v>
      </c>
      <c r="F82" s="348">
        <f>+F60+F74</f>
        <v>0</v>
      </c>
      <c r="G82" s="348">
        <f>+G60+G74</f>
        <v>0</v>
      </c>
      <c r="H82" s="509"/>
      <c r="I82" s="509"/>
    </row>
    <row r="83" spans="1:9" ht="20.100000000000001" customHeight="1" x14ac:dyDescent="0.25">
      <c r="B83" s="85"/>
      <c r="C83" s="85"/>
      <c r="D83" s="86"/>
      <c r="E83" s="86"/>
      <c r="F83" s="86"/>
    </row>
    <row r="84" spans="1:9" ht="20.100000000000001" customHeight="1" x14ac:dyDescent="0.25">
      <c r="B84" s="85"/>
      <c r="C84" s="85"/>
      <c r="D84" s="87">
        <f>+D82-D81</f>
        <v>0</v>
      </c>
      <c r="E84" s="87">
        <f>+E82-E81</f>
        <v>0</v>
      </c>
      <c r="F84" s="87">
        <f>+F82-F81</f>
        <v>0</v>
      </c>
      <c r="G84" s="87">
        <f>+G82-G81</f>
        <v>0</v>
      </c>
      <c r="H84" s="510">
        <f>SUM(E84:G84)</f>
        <v>0</v>
      </c>
    </row>
    <row r="85" spans="1:9" ht="20.100000000000001" customHeight="1" x14ac:dyDescent="0.25">
      <c r="B85" s="85"/>
      <c r="C85" s="85"/>
      <c r="D85" s="86"/>
      <c r="E85" s="86"/>
      <c r="F85" s="86"/>
    </row>
    <row r="86" spans="1:9" ht="20.100000000000001" customHeight="1" x14ac:dyDescent="0.25">
      <c r="B86" s="85"/>
      <c r="C86" s="85"/>
      <c r="D86" s="86"/>
      <c r="E86" s="86"/>
      <c r="F86" s="86"/>
    </row>
    <row r="87" spans="1:9" ht="20.100000000000001" customHeight="1" x14ac:dyDescent="0.25">
      <c r="B87" s="85"/>
      <c r="C87" s="85"/>
      <c r="D87" s="86"/>
      <c r="E87" s="86"/>
      <c r="F87" s="86"/>
    </row>
    <row r="88" spans="1:9" ht="20.100000000000001" customHeight="1" x14ac:dyDescent="0.25">
      <c r="B88" s="85"/>
      <c r="C88" s="85"/>
      <c r="D88" s="86"/>
      <c r="E88" s="86"/>
      <c r="F88" s="86"/>
    </row>
    <row r="89" spans="1:9" ht="20.100000000000001" customHeight="1" x14ac:dyDescent="0.25">
      <c r="B89" s="85"/>
      <c r="C89" s="85"/>
      <c r="D89" s="86"/>
      <c r="E89" s="86"/>
      <c r="F89" s="86"/>
    </row>
    <row r="90" spans="1:9" ht="20.100000000000001" customHeight="1" x14ac:dyDescent="0.25">
      <c r="B90" s="85"/>
      <c r="C90" s="85"/>
      <c r="D90" s="86"/>
      <c r="E90" s="86"/>
      <c r="F90" s="86"/>
    </row>
    <row r="91" spans="1:9" ht="20.100000000000001" customHeight="1" x14ac:dyDescent="0.25">
      <c r="B91" s="85"/>
      <c r="C91" s="85"/>
      <c r="D91" s="86"/>
      <c r="E91" s="86"/>
      <c r="F91" s="86"/>
    </row>
    <row r="92" spans="1:9" ht="20.100000000000001" customHeight="1" x14ac:dyDescent="0.25">
      <c r="B92" s="85"/>
      <c r="C92" s="85"/>
      <c r="D92" s="86"/>
      <c r="E92" s="86"/>
      <c r="F92" s="86"/>
    </row>
    <row r="93" spans="1:9" ht="20.100000000000001" customHeight="1" x14ac:dyDescent="0.25">
      <c r="B93" s="85"/>
      <c r="C93" s="85"/>
      <c r="D93" s="86"/>
      <c r="E93" s="86"/>
      <c r="F93" s="86"/>
    </row>
    <row r="94" spans="1:9" ht="20.100000000000001" customHeight="1" x14ac:dyDescent="0.25">
      <c r="B94" s="85"/>
      <c r="C94" s="85"/>
      <c r="D94" s="86"/>
      <c r="E94" s="86"/>
      <c r="F94" s="86"/>
    </row>
    <row r="95" spans="1:9" ht="20.100000000000001" customHeight="1" x14ac:dyDescent="0.25">
      <c r="B95" s="85"/>
      <c r="C95" s="85"/>
      <c r="D95" s="86"/>
      <c r="E95" s="86"/>
      <c r="F95" s="86"/>
    </row>
    <row r="96" spans="1:9" ht="20.100000000000001" customHeight="1" x14ac:dyDescent="0.25">
      <c r="B96" s="85"/>
      <c r="C96" s="85"/>
      <c r="D96" s="86"/>
      <c r="E96" s="86"/>
      <c r="F96" s="86"/>
    </row>
    <row r="97" spans="2:6" ht="20.100000000000001" customHeight="1" x14ac:dyDescent="0.25">
      <c r="B97" s="85"/>
      <c r="C97" s="85"/>
      <c r="D97" s="86"/>
      <c r="E97" s="86"/>
      <c r="F97" s="86"/>
    </row>
    <row r="98" spans="2:6" ht="20.100000000000001" customHeight="1" x14ac:dyDescent="0.25">
      <c r="B98" s="85"/>
      <c r="C98" s="85"/>
      <c r="D98" s="86"/>
      <c r="E98" s="86"/>
      <c r="F98" s="86"/>
    </row>
    <row r="99" spans="2:6" ht="20.100000000000001" customHeight="1" x14ac:dyDescent="0.25">
      <c r="B99" s="85"/>
      <c r="C99" s="85"/>
      <c r="D99" s="86"/>
      <c r="E99" s="86"/>
      <c r="F99" s="86"/>
    </row>
    <row r="100" spans="2:6" ht="20.100000000000001" customHeight="1" x14ac:dyDescent="0.25">
      <c r="B100" s="85"/>
      <c r="C100" s="85"/>
      <c r="D100" s="86"/>
      <c r="E100" s="86"/>
      <c r="F100" s="86"/>
    </row>
    <row r="101" spans="2:6" ht="20.100000000000001" customHeight="1" x14ac:dyDescent="0.25">
      <c r="B101" s="85"/>
      <c r="C101" s="85"/>
      <c r="D101" s="86"/>
      <c r="E101" s="86"/>
      <c r="F101" s="86"/>
    </row>
    <row r="102" spans="2:6" ht="20.100000000000001" customHeight="1" x14ac:dyDescent="0.25">
      <c r="B102" s="85"/>
      <c r="C102" s="85"/>
      <c r="D102" s="86"/>
      <c r="E102" s="86"/>
      <c r="F102" s="86"/>
    </row>
    <row r="103" spans="2:6" ht="20.100000000000001" customHeight="1" x14ac:dyDescent="0.25">
      <c r="B103" s="85"/>
      <c r="C103" s="85"/>
      <c r="D103" s="86"/>
      <c r="E103" s="86"/>
      <c r="F103" s="86"/>
    </row>
    <row r="104" spans="2:6" ht="20.100000000000001" customHeight="1" x14ac:dyDescent="0.25">
      <c r="B104" s="85"/>
      <c r="C104" s="85"/>
      <c r="D104" s="86"/>
      <c r="E104" s="86"/>
      <c r="F104" s="86"/>
    </row>
    <row r="105" spans="2:6" ht="20.100000000000001" customHeight="1" x14ac:dyDescent="0.25"/>
  </sheetData>
  <mergeCells count="60">
    <mergeCell ref="H6:H7"/>
    <mergeCell ref="I6:I7"/>
    <mergeCell ref="B81:C81"/>
    <mergeCell ref="B61:C61"/>
    <mergeCell ref="B62:C62"/>
    <mergeCell ref="B63:C63"/>
    <mergeCell ref="B66:C66"/>
    <mergeCell ref="B67:C67"/>
    <mergeCell ref="B68:C68"/>
    <mergeCell ref="B73:C73"/>
    <mergeCell ref="B74:C74"/>
    <mergeCell ref="B75:C75"/>
    <mergeCell ref="B76:C76"/>
    <mergeCell ref="B80:C80"/>
    <mergeCell ref="B60:C60"/>
    <mergeCell ref="B32:C32"/>
    <mergeCell ref="B33:C33"/>
    <mergeCell ref="B37:C37"/>
    <mergeCell ref="B41:C41"/>
    <mergeCell ref="B46:C46"/>
    <mergeCell ref="B47:C47"/>
    <mergeCell ref="B50:C50"/>
    <mergeCell ref="B53:C53"/>
    <mergeCell ref="B57:C57"/>
    <mergeCell ref="B58:C58"/>
    <mergeCell ref="B59:C59"/>
    <mergeCell ref="B31:C31"/>
    <mergeCell ref="B19:C19"/>
    <mergeCell ref="B20:C20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8:C18"/>
    <mergeCell ref="G6:G7"/>
    <mergeCell ref="D8:F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A1:F1"/>
    <mergeCell ref="A2:F2"/>
    <mergeCell ref="A3:G3"/>
    <mergeCell ref="A4:F4"/>
    <mergeCell ref="A5:F5"/>
    <mergeCell ref="A6:A8"/>
    <mergeCell ref="B6:C8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65"/>
  <sheetViews>
    <sheetView workbookViewId="0">
      <selection activeCell="Q7" sqref="Q7"/>
    </sheetView>
  </sheetViews>
  <sheetFormatPr defaultRowHeight="15" x14ac:dyDescent="0.25"/>
  <cols>
    <col min="1" max="4" width="9.140625" style="586"/>
    <col min="5" max="5" width="24.140625" style="586" customWidth="1"/>
    <col min="6" max="6" width="0" style="586" hidden="1" customWidth="1"/>
    <col min="7" max="7" width="10.28515625" style="586" hidden="1" customWidth="1"/>
    <col min="8" max="9" width="10.7109375" style="586" hidden="1" customWidth="1"/>
    <col min="10" max="12" width="0" style="586" hidden="1" customWidth="1"/>
    <col min="13" max="13" width="13.85546875" style="586" bestFit="1" customWidth="1"/>
    <col min="14" max="14" width="13.140625" style="586" customWidth="1"/>
    <col min="15" max="15" width="13.85546875" style="586" bestFit="1" customWidth="1"/>
    <col min="16" max="252" width="9.140625" style="586"/>
    <col min="253" max="253" width="16.5703125" style="586" customWidth="1"/>
    <col min="254" max="254" width="14.42578125" style="586" customWidth="1"/>
    <col min="255" max="255" width="10.42578125" style="586" bestFit="1" customWidth="1"/>
    <col min="256" max="256" width="15.85546875" style="586" bestFit="1" customWidth="1"/>
    <col min="257" max="257" width="14" style="586" bestFit="1" customWidth="1"/>
    <col min="258" max="508" width="9.140625" style="586"/>
    <col min="509" max="509" width="16.5703125" style="586" customWidth="1"/>
    <col min="510" max="510" width="14.42578125" style="586" customWidth="1"/>
    <col min="511" max="511" width="10.42578125" style="586" bestFit="1" customWidth="1"/>
    <col min="512" max="512" width="15.85546875" style="586" bestFit="1" customWidth="1"/>
    <col min="513" max="513" width="14" style="586" bestFit="1" customWidth="1"/>
    <col min="514" max="764" width="9.140625" style="586"/>
    <col min="765" max="765" width="16.5703125" style="586" customWidth="1"/>
    <col min="766" max="766" width="14.42578125" style="586" customWidth="1"/>
    <col min="767" max="767" width="10.42578125" style="586" bestFit="1" customWidth="1"/>
    <col min="768" max="768" width="15.85546875" style="586" bestFit="1" customWidth="1"/>
    <col min="769" max="769" width="14" style="586" bestFit="1" customWidth="1"/>
    <col min="770" max="1020" width="9.140625" style="586"/>
    <col min="1021" max="1021" width="16.5703125" style="586" customWidth="1"/>
    <col min="1022" max="1022" width="14.42578125" style="586" customWidth="1"/>
    <col min="1023" max="1023" width="10.42578125" style="586" bestFit="1" customWidth="1"/>
    <col min="1024" max="1024" width="15.85546875" style="586" bestFit="1" customWidth="1"/>
    <col min="1025" max="1025" width="14" style="586" bestFit="1" customWidth="1"/>
    <col min="1026" max="1276" width="9.140625" style="586"/>
    <col min="1277" max="1277" width="16.5703125" style="586" customWidth="1"/>
    <col min="1278" max="1278" width="14.42578125" style="586" customWidth="1"/>
    <col min="1279" max="1279" width="10.42578125" style="586" bestFit="1" customWidth="1"/>
    <col min="1280" max="1280" width="15.85546875" style="586" bestFit="1" customWidth="1"/>
    <col min="1281" max="1281" width="14" style="586" bestFit="1" customWidth="1"/>
    <col min="1282" max="1532" width="9.140625" style="586"/>
    <col min="1533" max="1533" width="16.5703125" style="586" customWidth="1"/>
    <col min="1534" max="1534" width="14.42578125" style="586" customWidth="1"/>
    <col min="1535" max="1535" width="10.42578125" style="586" bestFit="1" customWidth="1"/>
    <col min="1536" max="1536" width="15.85546875" style="586" bestFit="1" customWidth="1"/>
    <col min="1537" max="1537" width="14" style="586" bestFit="1" customWidth="1"/>
    <col min="1538" max="1788" width="9.140625" style="586"/>
    <col min="1789" max="1789" width="16.5703125" style="586" customWidth="1"/>
    <col min="1790" max="1790" width="14.42578125" style="586" customWidth="1"/>
    <col min="1791" max="1791" width="10.42578125" style="586" bestFit="1" customWidth="1"/>
    <col min="1792" max="1792" width="15.85546875" style="586" bestFit="1" customWidth="1"/>
    <col min="1793" max="1793" width="14" style="586" bestFit="1" customWidth="1"/>
    <col min="1794" max="2044" width="9.140625" style="586"/>
    <col min="2045" max="2045" width="16.5703125" style="586" customWidth="1"/>
    <col min="2046" max="2046" width="14.42578125" style="586" customWidth="1"/>
    <col min="2047" max="2047" width="10.42578125" style="586" bestFit="1" customWidth="1"/>
    <col min="2048" max="2048" width="15.85546875" style="586" bestFit="1" customWidth="1"/>
    <col min="2049" max="2049" width="14" style="586" bestFit="1" customWidth="1"/>
    <col min="2050" max="2300" width="9.140625" style="586"/>
    <col min="2301" max="2301" width="16.5703125" style="586" customWidth="1"/>
    <col min="2302" max="2302" width="14.42578125" style="586" customWidth="1"/>
    <col min="2303" max="2303" width="10.42578125" style="586" bestFit="1" customWidth="1"/>
    <col min="2304" max="2304" width="15.85546875" style="586" bestFit="1" customWidth="1"/>
    <col min="2305" max="2305" width="14" style="586" bestFit="1" customWidth="1"/>
    <col min="2306" max="2556" width="9.140625" style="586"/>
    <col min="2557" max="2557" width="16.5703125" style="586" customWidth="1"/>
    <col min="2558" max="2558" width="14.42578125" style="586" customWidth="1"/>
    <col min="2559" max="2559" width="10.42578125" style="586" bestFit="1" customWidth="1"/>
    <col min="2560" max="2560" width="15.85546875" style="586" bestFit="1" customWidth="1"/>
    <col min="2561" max="2561" width="14" style="586" bestFit="1" customWidth="1"/>
    <col min="2562" max="2812" width="9.140625" style="586"/>
    <col min="2813" max="2813" width="16.5703125" style="586" customWidth="1"/>
    <col min="2814" max="2814" width="14.42578125" style="586" customWidth="1"/>
    <col min="2815" max="2815" width="10.42578125" style="586" bestFit="1" customWidth="1"/>
    <col min="2816" max="2816" width="15.85546875" style="586" bestFit="1" customWidth="1"/>
    <col min="2817" max="2817" width="14" style="586" bestFit="1" customWidth="1"/>
    <col min="2818" max="3068" width="9.140625" style="586"/>
    <col min="3069" max="3069" width="16.5703125" style="586" customWidth="1"/>
    <col min="3070" max="3070" width="14.42578125" style="586" customWidth="1"/>
    <col min="3071" max="3071" width="10.42578125" style="586" bestFit="1" customWidth="1"/>
    <col min="3072" max="3072" width="15.85546875" style="586" bestFit="1" customWidth="1"/>
    <col min="3073" max="3073" width="14" style="586" bestFit="1" customWidth="1"/>
    <col min="3074" max="3324" width="9.140625" style="586"/>
    <col min="3325" max="3325" width="16.5703125" style="586" customWidth="1"/>
    <col min="3326" max="3326" width="14.42578125" style="586" customWidth="1"/>
    <col min="3327" max="3327" width="10.42578125" style="586" bestFit="1" customWidth="1"/>
    <col min="3328" max="3328" width="15.85546875" style="586" bestFit="1" customWidth="1"/>
    <col min="3329" max="3329" width="14" style="586" bestFit="1" customWidth="1"/>
    <col min="3330" max="3580" width="9.140625" style="586"/>
    <col min="3581" max="3581" width="16.5703125" style="586" customWidth="1"/>
    <col min="3582" max="3582" width="14.42578125" style="586" customWidth="1"/>
    <col min="3583" max="3583" width="10.42578125" style="586" bestFit="1" customWidth="1"/>
    <col min="3584" max="3584" width="15.85546875" style="586" bestFit="1" customWidth="1"/>
    <col min="3585" max="3585" width="14" style="586" bestFit="1" customWidth="1"/>
    <col min="3586" max="3836" width="9.140625" style="586"/>
    <col min="3837" max="3837" width="16.5703125" style="586" customWidth="1"/>
    <col min="3838" max="3838" width="14.42578125" style="586" customWidth="1"/>
    <col min="3839" max="3839" width="10.42578125" style="586" bestFit="1" customWidth="1"/>
    <col min="3840" max="3840" width="15.85546875" style="586" bestFit="1" customWidth="1"/>
    <col min="3841" max="3841" width="14" style="586" bestFit="1" customWidth="1"/>
    <col min="3842" max="4092" width="9.140625" style="586"/>
    <col min="4093" max="4093" width="16.5703125" style="586" customWidth="1"/>
    <col min="4094" max="4094" width="14.42578125" style="586" customWidth="1"/>
    <col min="4095" max="4095" width="10.42578125" style="586" bestFit="1" customWidth="1"/>
    <col min="4096" max="4096" width="15.85546875" style="586" bestFit="1" customWidth="1"/>
    <col min="4097" max="4097" width="14" style="586" bestFit="1" customWidth="1"/>
    <col min="4098" max="4348" width="9.140625" style="586"/>
    <col min="4349" max="4349" width="16.5703125" style="586" customWidth="1"/>
    <col min="4350" max="4350" width="14.42578125" style="586" customWidth="1"/>
    <col min="4351" max="4351" width="10.42578125" style="586" bestFit="1" customWidth="1"/>
    <col min="4352" max="4352" width="15.85546875" style="586" bestFit="1" customWidth="1"/>
    <col min="4353" max="4353" width="14" style="586" bestFit="1" customWidth="1"/>
    <col min="4354" max="4604" width="9.140625" style="586"/>
    <col min="4605" max="4605" width="16.5703125" style="586" customWidth="1"/>
    <col min="4606" max="4606" width="14.42578125" style="586" customWidth="1"/>
    <col min="4607" max="4607" width="10.42578125" style="586" bestFit="1" customWidth="1"/>
    <col min="4608" max="4608" width="15.85546875" style="586" bestFit="1" customWidth="1"/>
    <col min="4609" max="4609" width="14" style="586" bestFit="1" customWidth="1"/>
    <col min="4610" max="4860" width="9.140625" style="586"/>
    <col min="4861" max="4861" width="16.5703125" style="586" customWidth="1"/>
    <col min="4862" max="4862" width="14.42578125" style="586" customWidth="1"/>
    <col min="4863" max="4863" width="10.42578125" style="586" bestFit="1" customWidth="1"/>
    <col min="4864" max="4864" width="15.85546875" style="586" bestFit="1" customWidth="1"/>
    <col min="4865" max="4865" width="14" style="586" bestFit="1" customWidth="1"/>
    <col min="4866" max="5116" width="9.140625" style="586"/>
    <col min="5117" max="5117" width="16.5703125" style="586" customWidth="1"/>
    <col min="5118" max="5118" width="14.42578125" style="586" customWidth="1"/>
    <col min="5119" max="5119" width="10.42578125" style="586" bestFit="1" customWidth="1"/>
    <col min="5120" max="5120" width="15.85546875" style="586" bestFit="1" customWidth="1"/>
    <col min="5121" max="5121" width="14" style="586" bestFit="1" customWidth="1"/>
    <col min="5122" max="5372" width="9.140625" style="586"/>
    <col min="5373" max="5373" width="16.5703125" style="586" customWidth="1"/>
    <col min="5374" max="5374" width="14.42578125" style="586" customWidth="1"/>
    <col min="5375" max="5375" width="10.42578125" style="586" bestFit="1" customWidth="1"/>
    <col min="5376" max="5376" width="15.85546875" style="586" bestFit="1" customWidth="1"/>
    <col min="5377" max="5377" width="14" style="586" bestFit="1" customWidth="1"/>
    <col min="5378" max="5628" width="9.140625" style="586"/>
    <col min="5629" max="5629" width="16.5703125" style="586" customWidth="1"/>
    <col min="5630" max="5630" width="14.42578125" style="586" customWidth="1"/>
    <col min="5631" max="5631" width="10.42578125" style="586" bestFit="1" customWidth="1"/>
    <col min="5632" max="5632" width="15.85546875" style="586" bestFit="1" customWidth="1"/>
    <col min="5633" max="5633" width="14" style="586" bestFit="1" customWidth="1"/>
    <col min="5634" max="5884" width="9.140625" style="586"/>
    <col min="5885" max="5885" width="16.5703125" style="586" customWidth="1"/>
    <col min="5886" max="5886" width="14.42578125" style="586" customWidth="1"/>
    <col min="5887" max="5887" width="10.42578125" style="586" bestFit="1" customWidth="1"/>
    <col min="5888" max="5888" width="15.85546875" style="586" bestFit="1" customWidth="1"/>
    <col min="5889" max="5889" width="14" style="586" bestFit="1" customWidth="1"/>
    <col min="5890" max="6140" width="9.140625" style="586"/>
    <col min="6141" max="6141" width="16.5703125" style="586" customWidth="1"/>
    <col min="6142" max="6142" width="14.42578125" style="586" customWidth="1"/>
    <col min="6143" max="6143" width="10.42578125" style="586" bestFit="1" customWidth="1"/>
    <col min="6144" max="6144" width="15.85546875" style="586" bestFit="1" customWidth="1"/>
    <col min="6145" max="6145" width="14" style="586" bestFit="1" customWidth="1"/>
    <col min="6146" max="6396" width="9.140625" style="586"/>
    <col min="6397" max="6397" width="16.5703125" style="586" customWidth="1"/>
    <col min="6398" max="6398" width="14.42578125" style="586" customWidth="1"/>
    <col min="6399" max="6399" width="10.42578125" style="586" bestFit="1" customWidth="1"/>
    <col min="6400" max="6400" width="15.85546875" style="586" bestFit="1" customWidth="1"/>
    <col min="6401" max="6401" width="14" style="586" bestFit="1" customWidth="1"/>
    <col min="6402" max="6652" width="9.140625" style="586"/>
    <col min="6653" max="6653" width="16.5703125" style="586" customWidth="1"/>
    <col min="6654" max="6654" width="14.42578125" style="586" customWidth="1"/>
    <col min="6655" max="6655" width="10.42578125" style="586" bestFit="1" customWidth="1"/>
    <col min="6656" max="6656" width="15.85546875" style="586" bestFit="1" customWidth="1"/>
    <col min="6657" max="6657" width="14" style="586" bestFit="1" customWidth="1"/>
    <col min="6658" max="6908" width="9.140625" style="586"/>
    <col min="6909" max="6909" width="16.5703125" style="586" customWidth="1"/>
    <col min="6910" max="6910" width="14.42578125" style="586" customWidth="1"/>
    <col min="6911" max="6911" width="10.42578125" style="586" bestFit="1" customWidth="1"/>
    <col min="6912" max="6912" width="15.85546875" style="586" bestFit="1" customWidth="1"/>
    <col min="6913" max="6913" width="14" style="586" bestFit="1" customWidth="1"/>
    <col min="6914" max="7164" width="9.140625" style="586"/>
    <col min="7165" max="7165" width="16.5703125" style="586" customWidth="1"/>
    <col min="7166" max="7166" width="14.42578125" style="586" customWidth="1"/>
    <col min="7167" max="7167" width="10.42578125" style="586" bestFit="1" customWidth="1"/>
    <col min="7168" max="7168" width="15.85546875" style="586" bestFit="1" customWidth="1"/>
    <col min="7169" max="7169" width="14" style="586" bestFit="1" customWidth="1"/>
    <col min="7170" max="7420" width="9.140625" style="586"/>
    <col min="7421" max="7421" width="16.5703125" style="586" customWidth="1"/>
    <col min="7422" max="7422" width="14.42578125" style="586" customWidth="1"/>
    <col min="7423" max="7423" width="10.42578125" style="586" bestFit="1" customWidth="1"/>
    <col min="7424" max="7424" width="15.85546875" style="586" bestFit="1" customWidth="1"/>
    <col min="7425" max="7425" width="14" style="586" bestFit="1" customWidth="1"/>
    <col min="7426" max="7676" width="9.140625" style="586"/>
    <col min="7677" max="7677" width="16.5703125" style="586" customWidth="1"/>
    <col min="7678" max="7678" width="14.42578125" style="586" customWidth="1"/>
    <col min="7679" max="7679" width="10.42578125" style="586" bestFit="1" customWidth="1"/>
    <col min="7680" max="7680" width="15.85546875" style="586" bestFit="1" customWidth="1"/>
    <col min="7681" max="7681" width="14" style="586" bestFit="1" customWidth="1"/>
    <col min="7682" max="7932" width="9.140625" style="586"/>
    <col min="7933" max="7933" width="16.5703125" style="586" customWidth="1"/>
    <col min="7934" max="7934" width="14.42578125" style="586" customWidth="1"/>
    <col min="7935" max="7935" width="10.42578125" style="586" bestFit="1" customWidth="1"/>
    <col min="7936" max="7936" width="15.85546875" style="586" bestFit="1" customWidth="1"/>
    <col min="7937" max="7937" width="14" style="586" bestFit="1" customWidth="1"/>
    <col min="7938" max="8188" width="9.140625" style="586"/>
    <col min="8189" max="8189" width="16.5703125" style="586" customWidth="1"/>
    <col min="8190" max="8190" width="14.42578125" style="586" customWidth="1"/>
    <col min="8191" max="8191" width="10.42578125" style="586" bestFit="1" customWidth="1"/>
    <col min="8192" max="8192" width="15.85546875" style="586" bestFit="1" customWidth="1"/>
    <col min="8193" max="8193" width="14" style="586" bestFit="1" customWidth="1"/>
    <col min="8194" max="8444" width="9.140625" style="586"/>
    <col min="8445" max="8445" width="16.5703125" style="586" customWidth="1"/>
    <col min="8446" max="8446" width="14.42578125" style="586" customWidth="1"/>
    <col min="8447" max="8447" width="10.42578125" style="586" bestFit="1" customWidth="1"/>
    <col min="8448" max="8448" width="15.85546875" style="586" bestFit="1" customWidth="1"/>
    <col min="8449" max="8449" width="14" style="586" bestFit="1" customWidth="1"/>
    <col min="8450" max="8700" width="9.140625" style="586"/>
    <col min="8701" max="8701" width="16.5703125" style="586" customWidth="1"/>
    <col min="8702" max="8702" width="14.42578125" style="586" customWidth="1"/>
    <col min="8703" max="8703" width="10.42578125" style="586" bestFit="1" customWidth="1"/>
    <col min="8704" max="8704" width="15.85546875" style="586" bestFit="1" customWidth="1"/>
    <col min="8705" max="8705" width="14" style="586" bestFit="1" customWidth="1"/>
    <col min="8706" max="8956" width="9.140625" style="586"/>
    <col min="8957" max="8957" width="16.5703125" style="586" customWidth="1"/>
    <col min="8958" max="8958" width="14.42578125" style="586" customWidth="1"/>
    <col min="8959" max="8959" width="10.42578125" style="586" bestFit="1" customWidth="1"/>
    <col min="8960" max="8960" width="15.85546875" style="586" bestFit="1" customWidth="1"/>
    <col min="8961" max="8961" width="14" style="586" bestFit="1" customWidth="1"/>
    <col min="8962" max="9212" width="9.140625" style="586"/>
    <col min="9213" max="9213" width="16.5703125" style="586" customWidth="1"/>
    <col min="9214" max="9214" width="14.42578125" style="586" customWidth="1"/>
    <col min="9215" max="9215" width="10.42578125" style="586" bestFit="1" customWidth="1"/>
    <col min="9216" max="9216" width="15.85546875" style="586" bestFit="1" customWidth="1"/>
    <col min="9217" max="9217" width="14" style="586" bestFit="1" customWidth="1"/>
    <col min="9218" max="9468" width="9.140625" style="586"/>
    <col min="9469" max="9469" width="16.5703125" style="586" customWidth="1"/>
    <col min="9470" max="9470" width="14.42578125" style="586" customWidth="1"/>
    <col min="9471" max="9471" width="10.42578125" style="586" bestFit="1" customWidth="1"/>
    <col min="9472" max="9472" width="15.85546875" style="586" bestFit="1" customWidth="1"/>
    <col min="9473" max="9473" width="14" style="586" bestFit="1" customWidth="1"/>
    <col min="9474" max="9724" width="9.140625" style="586"/>
    <col min="9725" max="9725" width="16.5703125" style="586" customWidth="1"/>
    <col min="9726" max="9726" width="14.42578125" style="586" customWidth="1"/>
    <col min="9727" max="9727" width="10.42578125" style="586" bestFit="1" customWidth="1"/>
    <col min="9728" max="9728" width="15.85546875" style="586" bestFit="1" customWidth="1"/>
    <col min="9729" max="9729" width="14" style="586" bestFit="1" customWidth="1"/>
    <col min="9730" max="9980" width="9.140625" style="586"/>
    <col min="9981" max="9981" width="16.5703125" style="586" customWidth="1"/>
    <col min="9982" max="9982" width="14.42578125" style="586" customWidth="1"/>
    <col min="9983" max="9983" width="10.42578125" style="586" bestFit="1" customWidth="1"/>
    <col min="9984" max="9984" width="15.85546875" style="586" bestFit="1" customWidth="1"/>
    <col min="9985" max="9985" width="14" style="586" bestFit="1" customWidth="1"/>
    <col min="9986" max="10236" width="9.140625" style="586"/>
    <col min="10237" max="10237" width="16.5703125" style="586" customWidth="1"/>
    <col min="10238" max="10238" width="14.42578125" style="586" customWidth="1"/>
    <col min="10239" max="10239" width="10.42578125" style="586" bestFit="1" customWidth="1"/>
    <col min="10240" max="10240" width="15.85546875" style="586" bestFit="1" customWidth="1"/>
    <col min="10241" max="10241" width="14" style="586" bestFit="1" customWidth="1"/>
    <col min="10242" max="10492" width="9.140625" style="586"/>
    <col min="10493" max="10493" width="16.5703125" style="586" customWidth="1"/>
    <col min="10494" max="10494" width="14.42578125" style="586" customWidth="1"/>
    <col min="10495" max="10495" width="10.42578125" style="586" bestFit="1" customWidth="1"/>
    <col min="10496" max="10496" width="15.85546875" style="586" bestFit="1" customWidth="1"/>
    <col min="10497" max="10497" width="14" style="586" bestFit="1" customWidth="1"/>
    <col min="10498" max="10748" width="9.140625" style="586"/>
    <col min="10749" max="10749" width="16.5703125" style="586" customWidth="1"/>
    <col min="10750" max="10750" width="14.42578125" style="586" customWidth="1"/>
    <col min="10751" max="10751" width="10.42578125" style="586" bestFit="1" customWidth="1"/>
    <col min="10752" max="10752" width="15.85546875" style="586" bestFit="1" customWidth="1"/>
    <col min="10753" max="10753" width="14" style="586" bestFit="1" customWidth="1"/>
    <col min="10754" max="11004" width="9.140625" style="586"/>
    <col min="11005" max="11005" width="16.5703125" style="586" customWidth="1"/>
    <col min="11006" max="11006" width="14.42578125" style="586" customWidth="1"/>
    <col min="11007" max="11007" width="10.42578125" style="586" bestFit="1" customWidth="1"/>
    <col min="11008" max="11008" width="15.85546875" style="586" bestFit="1" customWidth="1"/>
    <col min="11009" max="11009" width="14" style="586" bestFit="1" customWidth="1"/>
    <col min="11010" max="11260" width="9.140625" style="586"/>
    <col min="11261" max="11261" width="16.5703125" style="586" customWidth="1"/>
    <col min="11262" max="11262" width="14.42578125" style="586" customWidth="1"/>
    <col min="11263" max="11263" width="10.42578125" style="586" bestFit="1" customWidth="1"/>
    <col min="11264" max="11264" width="15.85546875" style="586" bestFit="1" customWidth="1"/>
    <col min="11265" max="11265" width="14" style="586" bestFit="1" customWidth="1"/>
    <col min="11266" max="11516" width="9.140625" style="586"/>
    <col min="11517" max="11517" width="16.5703125" style="586" customWidth="1"/>
    <col min="11518" max="11518" width="14.42578125" style="586" customWidth="1"/>
    <col min="11519" max="11519" width="10.42578125" style="586" bestFit="1" customWidth="1"/>
    <col min="11520" max="11520" width="15.85546875" style="586" bestFit="1" customWidth="1"/>
    <col min="11521" max="11521" width="14" style="586" bestFit="1" customWidth="1"/>
    <col min="11522" max="11772" width="9.140625" style="586"/>
    <col min="11773" max="11773" width="16.5703125" style="586" customWidth="1"/>
    <col min="11774" max="11774" width="14.42578125" style="586" customWidth="1"/>
    <col min="11775" max="11775" width="10.42578125" style="586" bestFit="1" customWidth="1"/>
    <col min="11776" max="11776" width="15.85546875" style="586" bestFit="1" customWidth="1"/>
    <col min="11777" max="11777" width="14" style="586" bestFit="1" customWidth="1"/>
    <col min="11778" max="12028" width="9.140625" style="586"/>
    <col min="12029" max="12029" width="16.5703125" style="586" customWidth="1"/>
    <col min="12030" max="12030" width="14.42578125" style="586" customWidth="1"/>
    <col min="12031" max="12031" width="10.42578125" style="586" bestFit="1" customWidth="1"/>
    <col min="12032" max="12032" width="15.85546875" style="586" bestFit="1" customWidth="1"/>
    <col min="12033" max="12033" width="14" style="586" bestFit="1" customWidth="1"/>
    <col min="12034" max="12284" width="9.140625" style="586"/>
    <col min="12285" max="12285" width="16.5703125" style="586" customWidth="1"/>
    <col min="12286" max="12286" width="14.42578125" style="586" customWidth="1"/>
    <col min="12287" max="12287" width="10.42578125" style="586" bestFit="1" customWidth="1"/>
    <col min="12288" max="12288" width="15.85546875" style="586" bestFit="1" customWidth="1"/>
    <col min="12289" max="12289" width="14" style="586" bestFit="1" customWidth="1"/>
    <col min="12290" max="12540" width="9.140625" style="586"/>
    <col min="12541" max="12541" width="16.5703125" style="586" customWidth="1"/>
    <col min="12542" max="12542" width="14.42578125" style="586" customWidth="1"/>
    <col min="12543" max="12543" width="10.42578125" style="586" bestFit="1" customWidth="1"/>
    <col min="12544" max="12544" width="15.85546875" style="586" bestFit="1" customWidth="1"/>
    <col min="12545" max="12545" width="14" style="586" bestFit="1" customWidth="1"/>
    <col min="12546" max="12796" width="9.140625" style="586"/>
    <col min="12797" max="12797" width="16.5703125" style="586" customWidth="1"/>
    <col min="12798" max="12798" width="14.42578125" style="586" customWidth="1"/>
    <col min="12799" max="12799" width="10.42578125" style="586" bestFit="1" customWidth="1"/>
    <col min="12800" max="12800" width="15.85546875" style="586" bestFit="1" customWidth="1"/>
    <col min="12801" max="12801" width="14" style="586" bestFit="1" customWidth="1"/>
    <col min="12802" max="13052" width="9.140625" style="586"/>
    <col min="13053" max="13053" width="16.5703125" style="586" customWidth="1"/>
    <col min="13054" max="13054" width="14.42578125" style="586" customWidth="1"/>
    <col min="13055" max="13055" width="10.42578125" style="586" bestFit="1" customWidth="1"/>
    <col min="13056" max="13056" width="15.85546875" style="586" bestFit="1" customWidth="1"/>
    <col min="13057" max="13057" width="14" style="586" bestFit="1" customWidth="1"/>
    <col min="13058" max="13308" width="9.140625" style="586"/>
    <col min="13309" max="13309" width="16.5703125" style="586" customWidth="1"/>
    <col min="13310" max="13310" width="14.42578125" style="586" customWidth="1"/>
    <col min="13311" max="13311" width="10.42578125" style="586" bestFit="1" customWidth="1"/>
    <col min="13312" max="13312" width="15.85546875" style="586" bestFit="1" customWidth="1"/>
    <col min="13313" max="13313" width="14" style="586" bestFit="1" customWidth="1"/>
    <col min="13314" max="13564" width="9.140625" style="586"/>
    <col min="13565" max="13565" width="16.5703125" style="586" customWidth="1"/>
    <col min="13566" max="13566" width="14.42578125" style="586" customWidth="1"/>
    <col min="13567" max="13567" width="10.42578125" style="586" bestFit="1" customWidth="1"/>
    <col min="13568" max="13568" width="15.85546875" style="586" bestFit="1" customWidth="1"/>
    <col min="13569" max="13569" width="14" style="586" bestFit="1" customWidth="1"/>
    <col min="13570" max="13820" width="9.140625" style="586"/>
    <col min="13821" max="13821" width="16.5703125" style="586" customWidth="1"/>
    <col min="13822" max="13822" width="14.42578125" style="586" customWidth="1"/>
    <col min="13823" max="13823" width="10.42578125" style="586" bestFit="1" customWidth="1"/>
    <col min="13824" max="13824" width="15.85546875" style="586" bestFit="1" customWidth="1"/>
    <col min="13825" max="13825" width="14" style="586" bestFit="1" customWidth="1"/>
    <col min="13826" max="14076" width="9.140625" style="586"/>
    <col min="14077" max="14077" width="16.5703125" style="586" customWidth="1"/>
    <col min="14078" max="14078" width="14.42578125" style="586" customWidth="1"/>
    <col min="14079" max="14079" width="10.42578125" style="586" bestFit="1" customWidth="1"/>
    <col min="14080" max="14080" width="15.85546875" style="586" bestFit="1" customWidth="1"/>
    <col min="14081" max="14081" width="14" style="586" bestFit="1" customWidth="1"/>
    <col min="14082" max="14332" width="9.140625" style="586"/>
    <col min="14333" max="14333" width="16.5703125" style="586" customWidth="1"/>
    <col min="14334" max="14334" width="14.42578125" style="586" customWidth="1"/>
    <col min="14335" max="14335" width="10.42578125" style="586" bestFit="1" customWidth="1"/>
    <col min="14336" max="14336" width="15.85546875" style="586" bestFit="1" customWidth="1"/>
    <col min="14337" max="14337" width="14" style="586" bestFit="1" customWidth="1"/>
    <col min="14338" max="14588" width="9.140625" style="586"/>
    <col min="14589" max="14589" width="16.5703125" style="586" customWidth="1"/>
    <col min="14590" max="14590" width="14.42578125" style="586" customWidth="1"/>
    <col min="14591" max="14591" width="10.42578125" style="586" bestFit="1" customWidth="1"/>
    <col min="14592" max="14592" width="15.85546875" style="586" bestFit="1" customWidth="1"/>
    <col min="14593" max="14593" width="14" style="586" bestFit="1" customWidth="1"/>
    <col min="14594" max="14844" width="9.140625" style="586"/>
    <col min="14845" max="14845" width="16.5703125" style="586" customWidth="1"/>
    <col min="14846" max="14846" width="14.42578125" style="586" customWidth="1"/>
    <col min="14847" max="14847" width="10.42578125" style="586" bestFit="1" customWidth="1"/>
    <col min="14848" max="14848" width="15.85546875" style="586" bestFit="1" customWidth="1"/>
    <col min="14849" max="14849" width="14" style="586" bestFit="1" customWidth="1"/>
    <col min="14850" max="15100" width="9.140625" style="586"/>
    <col min="15101" max="15101" width="16.5703125" style="586" customWidth="1"/>
    <col min="15102" max="15102" width="14.42578125" style="586" customWidth="1"/>
    <col min="15103" max="15103" width="10.42578125" style="586" bestFit="1" customWidth="1"/>
    <col min="15104" max="15104" width="15.85546875" style="586" bestFit="1" customWidth="1"/>
    <col min="15105" max="15105" width="14" style="586" bestFit="1" customWidth="1"/>
    <col min="15106" max="15356" width="9.140625" style="586"/>
    <col min="15357" max="15357" width="16.5703125" style="586" customWidth="1"/>
    <col min="15358" max="15358" width="14.42578125" style="586" customWidth="1"/>
    <col min="15359" max="15359" width="10.42578125" style="586" bestFit="1" customWidth="1"/>
    <col min="15360" max="15360" width="15.85546875" style="586" bestFit="1" customWidth="1"/>
    <col min="15361" max="15361" width="14" style="586" bestFit="1" customWidth="1"/>
    <col min="15362" max="15612" width="9.140625" style="586"/>
    <col min="15613" max="15613" width="16.5703125" style="586" customWidth="1"/>
    <col min="15614" max="15614" width="14.42578125" style="586" customWidth="1"/>
    <col min="15615" max="15615" width="10.42578125" style="586" bestFit="1" customWidth="1"/>
    <col min="15616" max="15616" width="15.85546875" style="586" bestFit="1" customWidth="1"/>
    <col min="15617" max="15617" width="14" style="586" bestFit="1" customWidth="1"/>
    <col min="15618" max="15868" width="9.140625" style="586"/>
    <col min="15869" max="15869" width="16.5703125" style="586" customWidth="1"/>
    <col min="15870" max="15870" width="14.42578125" style="586" customWidth="1"/>
    <col min="15871" max="15871" width="10.42578125" style="586" bestFit="1" customWidth="1"/>
    <col min="15872" max="15872" width="15.85546875" style="586" bestFit="1" customWidth="1"/>
    <col min="15873" max="15873" width="14" style="586" bestFit="1" customWidth="1"/>
    <col min="15874" max="16124" width="9.140625" style="586"/>
    <col min="16125" max="16125" width="16.5703125" style="586" customWidth="1"/>
    <col min="16126" max="16126" width="14.42578125" style="586" customWidth="1"/>
    <col min="16127" max="16127" width="10.42578125" style="586" bestFit="1" customWidth="1"/>
    <col min="16128" max="16128" width="15.85546875" style="586" bestFit="1" customWidth="1"/>
    <col min="16129" max="16129" width="14" style="586" bestFit="1" customWidth="1"/>
    <col min="16130" max="16384" width="9.140625" style="586"/>
  </cols>
  <sheetData>
    <row r="1" spans="1:15" ht="18.75" x14ac:dyDescent="0.3">
      <c r="A1" s="592" t="s">
        <v>769</v>
      </c>
      <c r="B1" s="592"/>
      <c r="C1" s="592"/>
      <c r="D1" s="592"/>
      <c r="E1" s="592"/>
    </row>
    <row r="2" spans="1:15" ht="19.5" thickBot="1" x14ac:dyDescent="0.35">
      <c r="D2" s="588"/>
      <c r="E2" s="588"/>
      <c r="O2" s="586" t="s">
        <v>783</v>
      </c>
    </row>
    <row r="3" spans="1:15" s="601" customFormat="1" ht="16.5" thickBot="1" x14ac:dyDescent="0.3">
      <c r="M3" s="883" t="s">
        <v>925</v>
      </c>
      <c r="N3" s="884"/>
      <c r="O3" s="885"/>
    </row>
    <row r="4" spans="1:15" ht="15.75" thickBot="1" x14ac:dyDescent="0.3">
      <c r="A4" s="874" t="s">
        <v>7</v>
      </c>
      <c r="B4" s="875"/>
      <c r="C4" s="875"/>
      <c r="D4" s="875"/>
      <c r="E4" s="876"/>
      <c r="M4" s="589" t="s">
        <v>309</v>
      </c>
      <c r="N4" s="589" t="s">
        <v>310</v>
      </c>
      <c r="O4" s="590" t="s">
        <v>184</v>
      </c>
    </row>
    <row r="5" spans="1:15" ht="15.75" thickBot="1" x14ac:dyDescent="0.3">
      <c r="A5" s="889" t="s">
        <v>311</v>
      </c>
      <c r="B5" s="890"/>
      <c r="C5" s="890"/>
      <c r="D5" s="890"/>
      <c r="E5" s="891"/>
      <c r="G5" s="586">
        <v>508000</v>
      </c>
      <c r="M5" s="591">
        <f>7559145+2242594</f>
        <v>9801739</v>
      </c>
      <c r="N5" s="591">
        <v>0</v>
      </c>
      <c r="O5" s="591">
        <f>N5+M5</f>
        <v>9801739</v>
      </c>
    </row>
    <row r="6" spans="1:15" ht="15.75" thickBot="1" x14ac:dyDescent="0.3">
      <c r="A6" s="889" t="s">
        <v>312</v>
      </c>
      <c r="B6" s="890"/>
      <c r="C6" s="890"/>
      <c r="D6" s="890"/>
      <c r="E6" s="891"/>
      <c r="M6" s="591">
        <v>300000</v>
      </c>
      <c r="N6" s="591">
        <v>0</v>
      </c>
      <c r="O6" s="591">
        <f>N6+M6</f>
        <v>300000</v>
      </c>
    </row>
    <row r="7" spans="1:15" ht="15.75" thickBot="1" x14ac:dyDescent="0.3">
      <c r="A7" s="889" t="s">
        <v>313</v>
      </c>
      <c r="B7" s="890"/>
      <c r="C7" s="890"/>
      <c r="D7" s="890"/>
      <c r="E7" s="891"/>
      <c r="M7" s="591">
        <v>288000</v>
      </c>
      <c r="N7" s="591">
        <v>0</v>
      </c>
      <c r="O7" s="591">
        <f>N7+M7</f>
        <v>288000</v>
      </c>
    </row>
    <row r="8" spans="1:15" ht="15.75" thickBot="1" x14ac:dyDescent="0.3">
      <c r="A8" s="889" t="s">
        <v>314</v>
      </c>
      <c r="B8" s="890"/>
      <c r="C8" s="890"/>
      <c r="D8" s="890"/>
      <c r="E8" s="891"/>
      <c r="M8" s="591">
        <v>90720</v>
      </c>
      <c r="N8" s="591">
        <v>0</v>
      </c>
      <c r="O8" s="591">
        <f>N8+M8</f>
        <v>90720</v>
      </c>
    </row>
    <row r="9" spans="1:15" ht="15.75" thickBot="1" x14ac:dyDescent="0.3">
      <c r="A9" s="889" t="s">
        <v>625</v>
      </c>
      <c r="B9" s="890"/>
      <c r="C9" s="890"/>
      <c r="D9" s="890"/>
      <c r="E9" s="891"/>
      <c r="G9" s="586">
        <v>300000</v>
      </c>
      <c r="M9" s="591">
        <v>60000</v>
      </c>
      <c r="N9" s="591">
        <v>0</v>
      </c>
      <c r="O9" s="591">
        <f>N9+M9</f>
        <v>60000</v>
      </c>
    </row>
    <row r="10" spans="1:15" s="601" customFormat="1" ht="16.5" thickBot="1" x14ac:dyDescent="0.3">
      <c r="A10" s="898" t="s">
        <v>319</v>
      </c>
      <c r="B10" s="899"/>
      <c r="C10" s="899"/>
      <c r="D10" s="899"/>
      <c r="E10" s="900"/>
      <c r="M10" s="587">
        <f>SUM(M5:M9)</f>
        <v>10540459</v>
      </c>
      <c r="N10" s="587">
        <v>0</v>
      </c>
      <c r="O10" s="587">
        <f>M10+N10</f>
        <v>10540459</v>
      </c>
    </row>
    <row r="11" spans="1:15" s="601" customFormat="1" ht="30" customHeight="1" thickBot="1" x14ac:dyDescent="0.3">
      <c r="A11" s="892" t="s">
        <v>320</v>
      </c>
      <c r="B11" s="893"/>
      <c r="C11" s="893"/>
      <c r="D11" s="893"/>
      <c r="E11" s="894"/>
      <c r="M11" s="587">
        <v>1993185</v>
      </c>
      <c r="N11" s="587">
        <v>0</v>
      </c>
      <c r="O11" s="587">
        <f>M11+N11</f>
        <v>1993185</v>
      </c>
    </row>
    <row r="12" spans="1:15" s="601" customFormat="1" ht="35.25" customHeight="1" thickBot="1" x14ac:dyDescent="0.3">
      <c r="A12" s="892" t="s">
        <v>627</v>
      </c>
      <c r="B12" s="893"/>
      <c r="C12" s="893"/>
      <c r="D12" s="893"/>
      <c r="E12" s="894"/>
      <c r="M12" s="587">
        <f>M10+M11</f>
        <v>12533644</v>
      </c>
      <c r="N12" s="587">
        <v>0</v>
      </c>
      <c r="O12" s="587">
        <f t="shared" ref="O12" si="0">O10+O11</f>
        <v>12533644</v>
      </c>
    </row>
    <row r="13" spans="1:15" ht="37.5" customHeight="1" thickBot="1" x14ac:dyDescent="0.3">
      <c r="A13" s="895" t="s">
        <v>321</v>
      </c>
      <c r="B13" s="896"/>
      <c r="C13" s="896"/>
      <c r="D13" s="896"/>
      <c r="E13" s="897"/>
      <c r="M13" s="591">
        <v>20000</v>
      </c>
      <c r="N13" s="591">
        <f>M13*5%</f>
        <v>1000</v>
      </c>
      <c r="O13" s="591">
        <f>M13+N13</f>
        <v>21000</v>
      </c>
    </row>
    <row r="14" spans="1:15" ht="15.75" thickBot="1" x14ac:dyDescent="0.3">
      <c r="A14" s="889" t="s">
        <v>628</v>
      </c>
      <c r="B14" s="890"/>
      <c r="C14" s="890"/>
      <c r="D14" s="890"/>
      <c r="E14" s="891"/>
      <c r="M14" s="591">
        <v>236221</v>
      </c>
      <c r="N14" s="591">
        <f>M14*27%-1</f>
        <v>63778.670000000006</v>
      </c>
      <c r="O14" s="591">
        <f>M14+N14</f>
        <v>299999.67</v>
      </c>
    </row>
    <row r="15" spans="1:15" ht="15.75" thickBot="1" x14ac:dyDescent="0.3">
      <c r="A15" s="901" t="s">
        <v>323</v>
      </c>
      <c r="B15" s="902"/>
      <c r="C15" s="902"/>
      <c r="D15" s="902"/>
      <c r="E15" s="903"/>
      <c r="M15" s="590">
        <f>M13+M14</f>
        <v>256221</v>
      </c>
      <c r="N15" s="590">
        <f t="shared" ref="N15:O15" si="1">N13+N14</f>
        <v>64778.670000000006</v>
      </c>
      <c r="O15" s="590">
        <f t="shared" si="1"/>
        <v>320999.67</v>
      </c>
    </row>
    <row r="16" spans="1:15" ht="15.75" thickBot="1" x14ac:dyDescent="0.3">
      <c r="A16" s="907" t="s">
        <v>629</v>
      </c>
      <c r="B16" s="908"/>
      <c r="C16" s="908"/>
      <c r="D16" s="908"/>
      <c r="E16" s="909"/>
      <c r="M16" s="591">
        <v>130000</v>
      </c>
      <c r="N16" s="591">
        <f t="shared" ref="N16:N17" si="2">M16*27%</f>
        <v>35100</v>
      </c>
      <c r="O16" s="591">
        <f t="shared" ref="O16:O26" si="3">M16+N16</f>
        <v>165100</v>
      </c>
    </row>
    <row r="17" spans="1:15" ht="15.75" thickBot="1" x14ac:dyDescent="0.3">
      <c r="A17" s="889" t="s">
        <v>630</v>
      </c>
      <c r="B17" s="890"/>
      <c r="C17" s="890"/>
      <c r="D17" s="890"/>
      <c r="E17" s="891"/>
      <c r="M17" s="591">
        <v>30000</v>
      </c>
      <c r="N17" s="591">
        <f t="shared" si="2"/>
        <v>8100.0000000000009</v>
      </c>
      <c r="O17" s="591">
        <f t="shared" si="3"/>
        <v>38100</v>
      </c>
    </row>
    <row r="18" spans="1:15" ht="15.75" thickBot="1" x14ac:dyDescent="0.3">
      <c r="A18" s="880" t="s">
        <v>631</v>
      </c>
      <c r="B18" s="881"/>
      <c r="C18" s="881"/>
      <c r="D18" s="881"/>
      <c r="E18" s="882"/>
      <c r="M18" s="591">
        <v>250000</v>
      </c>
      <c r="N18" s="591">
        <f>M18*27%</f>
        <v>67500</v>
      </c>
      <c r="O18" s="591">
        <f t="shared" si="3"/>
        <v>317500</v>
      </c>
    </row>
    <row r="19" spans="1:15" ht="15.75" thickBot="1" x14ac:dyDescent="0.3">
      <c r="A19" s="880" t="s">
        <v>651</v>
      </c>
      <c r="B19" s="881"/>
      <c r="C19" s="881"/>
      <c r="D19" s="881"/>
      <c r="E19" s="882"/>
      <c r="M19" s="591">
        <v>60000</v>
      </c>
      <c r="N19" s="591">
        <v>0</v>
      </c>
      <c r="O19" s="591">
        <f t="shared" si="3"/>
        <v>60000</v>
      </c>
    </row>
    <row r="20" spans="1:15" ht="15.75" thickBot="1" x14ac:dyDescent="0.3">
      <c r="A20" s="880" t="s">
        <v>770</v>
      </c>
      <c r="B20" s="881"/>
      <c r="C20" s="881"/>
      <c r="D20" s="881"/>
      <c r="E20" s="882"/>
      <c r="M20" s="591">
        <v>50000</v>
      </c>
      <c r="N20" s="591">
        <f>M20*27%</f>
        <v>13500</v>
      </c>
      <c r="O20" s="591">
        <f t="shared" si="3"/>
        <v>63500</v>
      </c>
    </row>
    <row r="21" spans="1:15" ht="15.75" thickBot="1" x14ac:dyDescent="0.3">
      <c r="A21" s="880" t="s">
        <v>632</v>
      </c>
      <c r="B21" s="881"/>
      <c r="C21" s="881"/>
      <c r="D21" s="881"/>
      <c r="E21" s="882"/>
      <c r="G21" s="586">
        <v>-160000</v>
      </c>
      <c r="H21" s="586">
        <v>-43200</v>
      </c>
      <c r="M21" s="591">
        <v>30000</v>
      </c>
      <c r="N21" s="591">
        <f>M21*27%</f>
        <v>8100.0000000000009</v>
      </c>
      <c r="O21" s="591">
        <f t="shared" si="3"/>
        <v>38100</v>
      </c>
    </row>
    <row r="22" spans="1:15" ht="15.75" thickBot="1" x14ac:dyDescent="0.3">
      <c r="A22" s="880" t="s">
        <v>771</v>
      </c>
      <c r="B22" s="881"/>
      <c r="C22" s="881"/>
      <c r="D22" s="881"/>
      <c r="E22" s="882"/>
      <c r="M22" s="591">
        <v>40000</v>
      </c>
      <c r="N22" s="591">
        <f>M22*27%</f>
        <v>10800</v>
      </c>
      <c r="O22" s="591">
        <f t="shared" si="3"/>
        <v>50800</v>
      </c>
    </row>
    <row r="23" spans="1:15" ht="15.75" thickBot="1" x14ac:dyDescent="0.3">
      <c r="A23" s="880" t="s">
        <v>772</v>
      </c>
      <c r="B23" s="881"/>
      <c r="C23" s="881"/>
      <c r="D23" s="881"/>
      <c r="E23" s="882"/>
      <c r="M23" s="591">
        <v>40000</v>
      </c>
      <c r="N23" s="591">
        <f>M23*27%</f>
        <v>10800</v>
      </c>
      <c r="O23" s="591">
        <f t="shared" si="3"/>
        <v>50800</v>
      </c>
    </row>
    <row r="24" spans="1:15" ht="15.75" thickBot="1" x14ac:dyDescent="0.3">
      <c r="A24" s="880" t="s">
        <v>773</v>
      </c>
      <c r="B24" s="881"/>
      <c r="C24" s="881"/>
      <c r="D24" s="881"/>
      <c r="E24" s="882"/>
      <c r="M24" s="591">
        <v>0</v>
      </c>
      <c r="N24" s="591">
        <v>0</v>
      </c>
      <c r="O24" s="591">
        <f t="shared" si="3"/>
        <v>0</v>
      </c>
    </row>
    <row r="25" spans="1:15" ht="15.75" thickBot="1" x14ac:dyDescent="0.3">
      <c r="A25" s="880" t="s">
        <v>774</v>
      </c>
      <c r="B25" s="881"/>
      <c r="C25" s="881"/>
      <c r="D25" s="881"/>
      <c r="E25" s="882"/>
      <c r="M25" s="591">
        <v>0</v>
      </c>
      <c r="N25" s="591">
        <f>M25*27%</f>
        <v>0</v>
      </c>
      <c r="O25" s="591">
        <f t="shared" si="3"/>
        <v>0</v>
      </c>
    </row>
    <row r="26" spans="1:15" ht="32.25" customHeight="1" thickBot="1" x14ac:dyDescent="0.3">
      <c r="A26" s="904" t="s">
        <v>775</v>
      </c>
      <c r="B26" s="905"/>
      <c r="C26" s="905"/>
      <c r="D26" s="905"/>
      <c r="E26" s="906"/>
      <c r="M26" s="585">
        <v>50000</v>
      </c>
      <c r="N26" s="585">
        <f>M26*27%</f>
        <v>13500</v>
      </c>
      <c r="O26" s="585">
        <f t="shared" si="3"/>
        <v>63500</v>
      </c>
    </row>
    <row r="27" spans="1:15" ht="16.5" thickBot="1" x14ac:dyDescent="0.3">
      <c r="A27" s="898" t="s">
        <v>328</v>
      </c>
      <c r="B27" s="899"/>
      <c r="C27" s="899"/>
      <c r="D27" s="899"/>
      <c r="E27" s="900"/>
      <c r="F27" s="590">
        <f t="shared" ref="F27:O27" si="4">SUM(F16:F26)</f>
        <v>0</v>
      </c>
      <c r="G27" s="590">
        <f t="shared" si="4"/>
        <v>-160000</v>
      </c>
      <c r="H27" s="590">
        <f t="shared" si="4"/>
        <v>-43200</v>
      </c>
      <c r="I27" s="590">
        <f t="shared" si="4"/>
        <v>0</v>
      </c>
      <c r="J27" s="590">
        <f t="shared" si="4"/>
        <v>0</v>
      </c>
      <c r="K27" s="590">
        <f t="shared" si="4"/>
        <v>0</v>
      </c>
      <c r="L27" s="590">
        <f t="shared" si="4"/>
        <v>0</v>
      </c>
      <c r="M27" s="590">
        <f t="shared" si="4"/>
        <v>680000</v>
      </c>
      <c r="N27" s="590">
        <f t="shared" si="4"/>
        <v>167400</v>
      </c>
      <c r="O27" s="590">
        <f t="shared" si="4"/>
        <v>847400</v>
      </c>
    </row>
    <row r="28" spans="1:15" ht="15.75" thickBot="1" x14ac:dyDescent="0.3">
      <c r="A28" s="901" t="s">
        <v>329</v>
      </c>
      <c r="B28" s="902"/>
      <c r="C28" s="902"/>
      <c r="D28" s="902"/>
      <c r="E28" s="903"/>
      <c r="F28" s="590">
        <f t="shared" ref="F28:O28" si="5">F15+F27</f>
        <v>0</v>
      </c>
      <c r="G28" s="590">
        <f t="shared" si="5"/>
        <v>-160000</v>
      </c>
      <c r="H28" s="590">
        <f t="shared" si="5"/>
        <v>-43200</v>
      </c>
      <c r="I28" s="590">
        <f t="shared" si="5"/>
        <v>0</v>
      </c>
      <c r="J28" s="590">
        <f t="shared" si="5"/>
        <v>0</v>
      </c>
      <c r="K28" s="590">
        <f t="shared" si="5"/>
        <v>0</v>
      </c>
      <c r="L28" s="590">
        <f t="shared" si="5"/>
        <v>0</v>
      </c>
      <c r="M28" s="590">
        <f t="shared" si="5"/>
        <v>936221</v>
      </c>
      <c r="N28" s="590">
        <f t="shared" si="5"/>
        <v>232178.67</v>
      </c>
      <c r="O28" s="590">
        <f t="shared" si="5"/>
        <v>1168399.67</v>
      </c>
    </row>
    <row r="29" spans="1:15" ht="15.75" thickBot="1" x14ac:dyDescent="0.3">
      <c r="A29" s="889" t="s">
        <v>332</v>
      </c>
      <c r="B29" s="890"/>
      <c r="C29" s="890"/>
      <c r="D29" s="890"/>
      <c r="E29" s="891"/>
      <c r="M29" s="591">
        <v>96000</v>
      </c>
      <c r="N29" s="591">
        <f>M29*27%</f>
        <v>25920</v>
      </c>
      <c r="O29" s="591">
        <f>M29+N29</f>
        <v>121920</v>
      </c>
    </row>
    <row r="30" spans="1:15" s="593" customFormat="1" ht="15.75" thickBot="1" x14ac:dyDescent="0.3">
      <c r="A30" s="901" t="s">
        <v>333</v>
      </c>
      <c r="B30" s="902"/>
      <c r="C30" s="902"/>
      <c r="D30" s="902"/>
      <c r="E30" s="903"/>
      <c r="F30" s="590">
        <f t="shared" ref="F30:O31" si="6">F29</f>
        <v>0</v>
      </c>
      <c r="G30" s="590">
        <f t="shared" si="6"/>
        <v>0</v>
      </c>
      <c r="H30" s="590">
        <f t="shared" si="6"/>
        <v>0</v>
      </c>
      <c r="I30" s="590">
        <f t="shared" si="6"/>
        <v>0</v>
      </c>
      <c r="J30" s="590">
        <f t="shared" si="6"/>
        <v>0</v>
      </c>
      <c r="K30" s="590">
        <f t="shared" si="6"/>
        <v>0</v>
      </c>
      <c r="L30" s="590">
        <f t="shared" si="6"/>
        <v>0</v>
      </c>
      <c r="M30" s="590">
        <f t="shared" si="6"/>
        <v>96000</v>
      </c>
      <c r="N30" s="590">
        <f t="shared" si="6"/>
        <v>25920</v>
      </c>
      <c r="O30" s="590">
        <f t="shared" si="6"/>
        <v>121920</v>
      </c>
    </row>
    <row r="31" spans="1:15" s="593" customFormat="1" ht="15.75" thickBot="1" x14ac:dyDescent="0.3">
      <c r="A31" s="901" t="s">
        <v>334</v>
      </c>
      <c r="B31" s="902"/>
      <c r="C31" s="902"/>
      <c r="D31" s="902"/>
      <c r="E31" s="903"/>
      <c r="F31" s="590">
        <f t="shared" si="6"/>
        <v>0</v>
      </c>
      <c r="G31" s="590">
        <f t="shared" si="6"/>
        <v>0</v>
      </c>
      <c r="H31" s="590">
        <f t="shared" si="6"/>
        <v>0</v>
      </c>
      <c r="I31" s="590">
        <f t="shared" si="6"/>
        <v>0</v>
      </c>
      <c r="J31" s="590">
        <f t="shared" si="6"/>
        <v>0</v>
      </c>
      <c r="K31" s="590">
        <f t="shared" si="6"/>
        <v>0</v>
      </c>
      <c r="L31" s="590">
        <f t="shared" si="6"/>
        <v>0</v>
      </c>
      <c r="M31" s="590">
        <f t="shared" si="6"/>
        <v>96000</v>
      </c>
      <c r="N31" s="590">
        <f t="shared" si="6"/>
        <v>25920</v>
      </c>
      <c r="O31" s="590">
        <f t="shared" si="6"/>
        <v>121920</v>
      </c>
    </row>
    <row r="32" spans="1:15" ht="15.75" thickBot="1" x14ac:dyDescent="0.3">
      <c r="A32" s="880" t="s">
        <v>638</v>
      </c>
      <c r="B32" s="881"/>
      <c r="C32" s="881"/>
      <c r="D32" s="881"/>
      <c r="E32" s="882"/>
      <c r="M32" s="591">
        <v>450000</v>
      </c>
      <c r="N32" s="591">
        <f>M32*27%</f>
        <v>121500.00000000001</v>
      </c>
      <c r="O32" s="591">
        <f>M32+N32</f>
        <v>571500</v>
      </c>
    </row>
    <row r="33" spans="1:15" s="593" customFormat="1" ht="15.75" thickBot="1" x14ac:dyDescent="0.3">
      <c r="A33" s="874" t="s">
        <v>335</v>
      </c>
      <c r="B33" s="875"/>
      <c r="C33" s="875"/>
      <c r="D33" s="875"/>
      <c r="E33" s="876"/>
      <c r="F33" s="590">
        <f t="shared" ref="F33:O33" si="7">F32</f>
        <v>0</v>
      </c>
      <c r="G33" s="590">
        <f t="shared" si="7"/>
        <v>0</v>
      </c>
      <c r="H33" s="590">
        <f t="shared" si="7"/>
        <v>0</v>
      </c>
      <c r="I33" s="590">
        <f t="shared" si="7"/>
        <v>0</v>
      </c>
      <c r="J33" s="590">
        <f t="shared" si="7"/>
        <v>0</v>
      </c>
      <c r="K33" s="590">
        <f t="shared" si="7"/>
        <v>0</v>
      </c>
      <c r="L33" s="590">
        <f t="shared" si="7"/>
        <v>0</v>
      </c>
      <c r="M33" s="590">
        <f t="shared" si="7"/>
        <v>450000</v>
      </c>
      <c r="N33" s="590">
        <f t="shared" si="7"/>
        <v>121500.00000000001</v>
      </c>
      <c r="O33" s="590">
        <f t="shared" si="7"/>
        <v>571500</v>
      </c>
    </row>
    <row r="34" spans="1:15" ht="15.75" thickBot="1" x14ac:dyDescent="0.3">
      <c r="A34" s="880" t="s">
        <v>336</v>
      </c>
      <c r="B34" s="881"/>
      <c r="C34" s="881"/>
      <c r="D34" s="881"/>
      <c r="E34" s="882"/>
      <c r="M34" s="591">
        <v>60000</v>
      </c>
      <c r="N34" s="591">
        <f>M34*27%</f>
        <v>16200.000000000002</v>
      </c>
      <c r="O34" s="591">
        <f>M34+N34</f>
        <v>76200</v>
      </c>
    </row>
    <row r="35" spans="1:15" ht="15.75" thickBot="1" x14ac:dyDescent="0.3">
      <c r="A35" s="880" t="s">
        <v>639</v>
      </c>
      <c r="B35" s="881"/>
      <c r="C35" s="881"/>
      <c r="D35" s="881"/>
      <c r="E35" s="882"/>
      <c r="M35" s="591">
        <v>68400</v>
      </c>
      <c r="N35" s="591">
        <v>0</v>
      </c>
      <c r="O35" s="591">
        <f>M35+N35</f>
        <v>68400</v>
      </c>
    </row>
    <row r="36" spans="1:15" ht="15.75" thickBot="1" x14ac:dyDescent="0.3">
      <c r="A36" s="880" t="s">
        <v>337</v>
      </c>
      <c r="B36" s="881"/>
      <c r="C36" s="881"/>
      <c r="D36" s="881"/>
      <c r="E36" s="882"/>
      <c r="M36" s="591">
        <v>35000</v>
      </c>
      <c r="N36" s="591">
        <f>M36*27%</f>
        <v>9450</v>
      </c>
      <c r="O36" s="591">
        <f>M36+N36</f>
        <v>44450</v>
      </c>
    </row>
    <row r="37" spans="1:15" s="593" customFormat="1" ht="15.75" thickBot="1" x14ac:dyDescent="0.3">
      <c r="A37" s="874" t="s">
        <v>338</v>
      </c>
      <c r="B37" s="875"/>
      <c r="C37" s="875"/>
      <c r="D37" s="875"/>
      <c r="E37" s="876"/>
      <c r="F37" s="590">
        <f t="shared" ref="F37:O37" si="8">F35+F36</f>
        <v>0</v>
      </c>
      <c r="G37" s="590">
        <f t="shared" si="8"/>
        <v>0</v>
      </c>
      <c r="H37" s="590">
        <f t="shared" si="8"/>
        <v>0</v>
      </c>
      <c r="I37" s="590">
        <f t="shared" si="8"/>
        <v>0</v>
      </c>
      <c r="J37" s="590">
        <f t="shared" si="8"/>
        <v>0</v>
      </c>
      <c r="K37" s="590">
        <f t="shared" si="8"/>
        <v>0</v>
      </c>
      <c r="L37" s="590">
        <f t="shared" si="8"/>
        <v>0</v>
      </c>
      <c r="M37" s="590">
        <f t="shared" si="8"/>
        <v>103400</v>
      </c>
      <c r="N37" s="590">
        <f t="shared" si="8"/>
        <v>9450</v>
      </c>
      <c r="O37" s="590">
        <f t="shared" si="8"/>
        <v>112850</v>
      </c>
    </row>
    <row r="38" spans="1:15" ht="21.75" customHeight="1" thickBot="1" x14ac:dyDescent="0.3">
      <c r="A38" s="880" t="s">
        <v>643</v>
      </c>
      <c r="B38" s="881"/>
      <c r="C38" s="881"/>
      <c r="D38" s="881"/>
      <c r="E38" s="882"/>
      <c r="M38" s="591">
        <v>21750</v>
      </c>
      <c r="N38" s="591">
        <v>0</v>
      </c>
      <c r="O38" s="591">
        <f>M38+N38</f>
        <v>21750</v>
      </c>
    </row>
    <row r="39" spans="1:15" ht="21" customHeight="1" thickBot="1" x14ac:dyDescent="0.3">
      <c r="A39" s="880" t="s">
        <v>645</v>
      </c>
      <c r="B39" s="881"/>
      <c r="C39" s="881"/>
      <c r="D39" s="881"/>
      <c r="E39" s="882"/>
      <c r="M39" s="591">
        <v>5000</v>
      </c>
      <c r="N39" s="591">
        <f>M39*27%</f>
        <v>1350</v>
      </c>
      <c r="O39" s="591">
        <f>M39+N39</f>
        <v>6350</v>
      </c>
    </row>
    <row r="40" spans="1:15" ht="21" customHeight="1" thickBot="1" x14ac:dyDescent="0.3">
      <c r="A40" s="880" t="s">
        <v>776</v>
      </c>
      <c r="B40" s="881"/>
      <c r="C40" s="881"/>
      <c r="D40" s="881"/>
      <c r="E40" s="882"/>
      <c r="M40" s="591">
        <v>10000</v>
      </c>
      <c r="N40" s="591">
        <f>M40*27%</f>
        <v>2700</v>
      </c>
      <c r="O40" s="591">
        <f>M40+N40</f>
        <v>12700</v>
      </c>
    </row>
    <row r="41" spans="1:15" ht="19.5" customHeight="1" thickBot="1" x14ac:dyDescent="0.3">
      <c r="A41" s="874" t="s">
        <v>344</v>
      </c>
      <c r="B41" s="875"/>
      <c r="C41" s="875"/>
      <c r="D41" s="875"/>
      <c r="E41" s="876"/>
      <c r="F41" s="593"/>
      <c r="G41" s="593"/>
      <c r="H41" s="593"/>
      <c r="I41" s="593"/>
      <c r="J41" s="593"/>
      <c r="K41" s="593"/>
      <c r="L41" s="593"/>
      <c r="M41" s="590">
        <f>SUM(M38:M40)</f>
        <v>36750</v>
      </c>
      <c r="N41" s="590">
        <f>SUM(N38:N40)</f>
        <v>4050</v>
      </c>
      <c r="O41" s="590">
        <f>SUM(O38:O40)</f>
        <v>40800</v>
      </c>
    </row>
    <row r="42" spans="1:15" ht="19.5" customHeight="1" thickBot="1" x14ac:dyDescent="0.3">
      <c r="A42" s="874" t="s">
        <v>345</v>
      </c>
      <c r="B42" s="875"/>
      <c r="C42" s="875"/>
      <c r="D42" s="875"/>
      <c r="E42" s="876"/>
      <c r="F42" s="590">
        <f t="shared" ref="F42:O42" si="9">F41+F37+F34+F33+F31+F28</f>
        <v>0</v>
      </c>
      <c r="G42" s="590">
        <f t="shared" si="9"/>
        <v>-160000</v>
      </c>
      <c r="H42" s="590">
        <f t="shared" si="9"/>
        <v>-43200</v>
      </c>
      <c r="I42" s="590">
        <f t="shared" si="9"/>
        <v>0</v>
      </c>
      <c r="J42" s="590">
        <f t="shared" si="9"/>
        <v>0</v>
      </c>
      <c r="K42" s="590">
        <f t="shared" si="9"/>
        <v>0</v>
      </c>
      <c r="L42" s="590">
        <f t="shared" si="9"/>
        <v>0</v>
      </c>
      <c r="M42" s="590">
        <f>M41+M37+M34+M33+M31+M28</f>
        <v>1682371</v>
      </c>
      <c r="N42" s="590">
        <f t="shared" si="9"/>
        <v>409298.67000000004</v>
      </c>
      <c r="O42" s="590">
        <f t="shared" si="9"/>
        <v>2091669.67</v>
      </c>
    </row>
    <row r="43" spans="1:15" ht="19.5" customHeight="1" thickBot="1" x14ac:dyDescent="0.3">
      <c r="A43" s="880" t="s">
        <v>346</v>
      </c>
      <c r="B43" s="881"/>
      <c r="C43" s="881"/>
      <c r="D43" s="881"/>
      <c r="E43" s="882"/>
      <c r="M43" s="591">
        <v>50000</v>
      </c>
      <c r="N43" s="591">
        <v>0</v>
      </c>
      <c r="O43" s="591">
        <f>M43+N43</f>
        <v>50000</v>
      </c>
    </row>
    <row r="44" spans="1:15" s="593" customFormat="1" ht="15.75" thickBot="1" x14ac:dyDescent="0.3">
      <c r="A44" s="874" t="s">
        <v>348</v>
      </c>
      <c r="B44" s="875"/>
      <c r="C44" s="875"/>
      <c r="D44" s="875"/>
      <c r="E44" s="876"/>
      <c r="F44" s="590">
        <f t="shared" ref="F44:O44" si="10">F43</f>
        <v>0</v>
      </c>
      <c r="G44" s="590">
        <f t="shared" si="10"/>
        <v>0</v>
      </c>
      <c r="H44" s="590">
        <f t="shared" si="10"/>
        <v>0</v>
      </c>
      <c r="I44" s="590">
        <f t="shared" si="10"/>
        <v>0</v>
      </c>
      <c r="J44" s="590">
        <f t="shared" si="10"/>
        <v>0</v>
      </c>
      <c r="K44" s="590">
        <f t="shared" si="10"/>
        <v>0</v>
      </c>
      <c r="L44" s="590">
        <f t="shared" si="10"/>
        <v>0</v>
      </c>
      <c r="M44" s="590">
        <f t="shared" si="10"/>
        <v>50000</v>
      </c>
      <c r="N44" s="590">
        <f t="shared" si="10"/>
        <v>0</v>
      </c>
      <c r="O44" s="590">
        <f t="shared" si="10"/>
        <v>50000</v>
      </c>
    </row>
    <row r="45" spans="1:15" ht="15.75" thickBot="1" x14ac:dyDescent="0.3">
      <c r="A45" s="880" t="s">
        <v>349</v>
      </c>
      <c r="B45" s="881"/>
      <c r="C45" s="881"/>
      <c r="D45" s="881"/>
      <c r="E45" s="882"/>
      <c r="M45" s="591">
        <v>0</v>
      </c>
      <c r="N45" s="591">
        <f>N15+N27+N30+N33+N34+N37+N41</f>
        <v>409298.67000000004</v>
      </c>
      <c r="O45" s="591">
        <f>N45</f>
        <v>409298.67000000004</v>
      </c>
    </row>
    <row r="46" spans="1:15" ht="15.75" thickBot="1" x14ac:dyDescent="0.3">
      <c r="A46" s="880" t="s">
        <v>352</v>
      </c>
      <c r="B46" s="881"/>
      <c r="C46" s="881"/>
      <c r="D46" s="881"/>
      <c r="E46" s="882"/>
      <c r="M46" s="591">
        <v>5000</v>
      </c>
      <c r="N46" s="591">
        <v>0</v>
      </c>
      <c r="O46" s="591">
        <f>M46+N46</f>
        <v>5000</v>
      </c>
    </row>
    <row r="47" spans="1:15" s="593" customFormat="1" ht="15.75" thickBot="1" x14ac:dyDescent="0.3">
      <c r="A47" s="874" t="s">
        <v>350</v>
      </c>
      <c r="B47" s="875"/>
      <c r="C47" s="875"/>
      <c r="D47" s="875"/>
      <c r="E47" s="876"/>
      <c r="M47" s="590">
        <f>M45+M46</f>
        <v>5000</v>
      </c>
      <c r="N47" s="590">
        <f t="shared" ref="N47:O48" si="11">N45+N46</f>
        <v>409298.67000000004</v>
      </c>
      <c r="O47" s="590">
        <f t="shared" si="11"/>
        <v>414298.67000000004</v>
      </c>
    </row>
    <row r="48" spans="1:15" ht="15.75" thickBot="1" x14ac:dyDescent="0.3">
      <c r="A48" s="874" t="s">
        <v>351</v>
      </c>
      <c r="B48" s="875"/>
      <c r="C48" s="875"/>
      <c r="D48" s="875"/>
      <c r="E48" s="876"/>
      <c r="F48" s="590">
        <f t="shared" ref="F48:M48" si="12">F42+F44+F47</f>
        <v>0</v>
      </c>
      <c r="G48" s="590">
        <f t="shared" si="12"/>
        <v>-160000</v>
      </c>
      <c r="H48" s="590">
        <f t="shared" si="12"/>
        <v>-43200</v>
      </c>
      <c r="I48" s="590">
        <f t="shared" si="12"/>
        <v>0</v>
      </c>
      <c r="J48" s="590">
        <f t="shared" si="12"/>
        <v>0</v>
      </c>
      <c r="K48" s="590">
        <f t="shared" si="12"/>
        <v>0</v>
      </c>
      <c r="L48" s="590">
        <f t="shared" si="12"/>
        <v>0</v>
      </c>
      <c r="M48" s="590">
        <f t="shared" si="12"/>
        <v>1737371</v>
      </c>
      <c r="N48" s="590">
        <f t="shared" si="11"/>
        <v>409298.67000000004</v>
      </c>
      <c r="O48" s="590">
        <f>O42+O44+O47-O47+O46</f>
        <v>2146669.67</v>
      </c>
    </row>
    <row r="49" spans="1:15" ht="16.5" thickBot="1" x14ac:dyDescent="0.3">
      <c r="A49" s="886" t="s">
        <v>649</v>
      </c>
      <c r="B49" s="887"/>
      <c r="C49" s="887"/>
      <c r="D49" s="887"/>
      <c r="E49" s="888"/>
      <c r="F49" s="593"/>
      <c r="G49" s="593"/>
      <c r="H49" s="593"/>
      <c r="I49" s="593"/>
      <c r="J49" s="593"/>
      <c r="K49" s="593"/>
      <c r="L49" s="593"/>
      <c r="M49" s="590"/>
      <c r="N49" s="590"/>
      <c r="O49" s="590"/>
    </row>
    <row r="50" spans="1:15" ht="15.75" thickBot="1" x14ac:dyDescent="0.3">
      <c r="A50" s="874" t="s">
        <v>777</v>
      </c>
      <c r="B50" s="875"/>
      <c r="C50" s="875"/>
      <c r="D50" s="875"/>
      <c r="E50" s="876"/>
      <c r="F50" s="590">
        <v>10000</v>
      </c>
      <c r="G50" s="590">
        <v>0</v>
      </c>
      <c r="H50" s="590">
        <f>F50+G50</f>
        <v>10000</v>
      </c>
      <c r="I50" s="593"/>
      <c r="J50" s="593"/>
      <c r="K50" s="593"/>
      <c r="L50" s="593"/>
      <c r="M50" s="590">
        <v>10000</v>
      </c>
      <c r="N50" s="590">
        <v>0</v>
      </c>
      <c r="O50" s="590">
        <v>10000</v>
      </c>
    </row>
    <row r="51" spans="1:15" ht="15.75" thickBot="1" x14ac:dyDescent="0.3">
      <c r="A51" s="874" t="s">
        <v>778</v>
      </c>
      <c r="B51" s="875"/>
      <c r="C51" s="875"/>
      <c r="D51" s="875"/>
      <c r="E51" s="876"/>
      <c r="F51" s="590"/>
      <c r="G51" s="590">
        <v>2700</v>
      </c>
      <c r="H51" s="590">
        <f>F51+G51</f>
        <v>2700</v>
      </c>
      <c r="I51" s="593"/>
      <c r="J51" s="593"/>
      <c r="K51" s="593"/>
      <c r="L51" s="593"/>
      <c r="M51" s="590"/>
      <c r="N51" s="590">
        <v>2700</v>
      </c>
      <c r="O51" s="590">
        <f>N51</f>
        <v>2700</v>
      </c>
    </row>
    <row r="52" spans="1:15" ht="15.75" thickBot="1" x14ac:dyDescent="0.3">
      <c r="A52" s="874" t="s">
        <v>779</v>
      </c>
      <c r="B52" s="875"/>
      <c r="C52" s="875"/>
      <c r="D52" s="875"/>
      <c r="E52" s="876"/>
      <c r="F52" s="590">
        <f t="shared" ref="F52:H52" si="13">F50+F51</f>
        <v>10000</v>
      </c>
      <c r="G52" s="590">
        <f t="shared" si="13"/>
        <v>2700</v>
      </c>
      <c r="H52" s="590">
        <f t="shared" si="13"/>
        <v>12700</v>
      </c>
      <c r="I52" s="593"/>
      <c r="J52" s="593"/>
      <c r="K52" s="593"/>
      <c r="L52" s="593"/>
      <c r="M52" s="590">
        <f>M50+M51</f>
        <v>10000</v>
      </c>
      <c r="N52" s="590">
        <f t="shared" ref="N52:O52" si="14">N50+N51</f>
        <v>2700</v>
      </c>
      <c r="O52" s="590">
        <f t="shared" si="14"/>
        <v>12700</v>
      </c>
    </row>
    <row r="53" spans="1:15" s="593" customFormat="1" ht="15.75" thickBot="1" x14ac:dyDescent="0.3">
      <c r="A53" s="880" t="s">
        <v>166</v>
      </c>
      <c r="B53" s="881"/>
      <c r="C53" s="881"/>
      <c r="D53" s="881"/>
      <c r="E53" s="882"/>
      <c r="F53" s="591">
        <v>50000</v>
      </c>
      <c r="G53" s="591">
        <f t="shared" ref="G53:G59" si="15">F53*27%</f>
        <v>13500</v>
      </c>
      <c r="H53" s="591">
        <f>F53+G53</f>
        <v>63500</v>
      </c>
      <c r="M53" s="591">
        <v>50000</v>
      </c>
      <c r="N53" s="591">
        <f t="shared" ref="N53:N58" si="16">M53*27%</f>
        <v>13500</v>
      </c>
      <c r="O53" s="591">
        <f>M53+N53</f>
        <v>63500</v>
      </c>
    </row>
    <row r="54" spans="1:15" s="593" customFormat="1" ht="15.75" thickBot="1" x14ac:dyDescent="0.3">
      <c r="A54" s="880" t="s">
        <v>167</v>
      </c>
      <c r="B54" s="881"/>
      <c r="C54" s="881"/>
      <c r="D54" s="881"/>
      <c r="E54" s="882"/>
      <c r="F54" s="591">
        <v>20000</v>
      </c>
      <c r="G54" s="591">
        <f t="shared" si="15"/>
        <v>5400</v>
      </c>
      <c r="H54" s="591">
        <f t="shared" ref="H54:H60" si="17">F54+G54</f>
        <v>25400</v>
      </c>
      <c r="M54" s="591">
        <v>0</v>
      </c>
      <c r="N54" s="591">
        <f t="shared" si="16"/>
        <v>0</v>
      </c>
      <c r="O54" s="591">
        <f t="shared" ref="O54:O58" si="18">M54+N54</f>
        <v>0</v>
      </c>
    </row>
    <row r="55" spans="1:15" s="593" customFormat="1" ht="15.75" thickBot="1" x14ac:dyDescent="0.3">
      <c r="A55" s="880" t="s">
        <v>158</v>
      </c>
      <c r="B55" s="881"/>
      <c r="C55" s="881"/>
      <c r="D55" s="881"/>
      <c r="E55" s="882"/>
      <c r="F55" s="591">
        <v>12000</v>
      </c>
      <c r="G55" s="591">
        <f t="shared" si="15"/>
        <v>3240</v>
      </c>
      <c r="H55" s="591">
        <f t="shared" si="17"/>
        <v>15240</v>
      </c>
      <c r="M55" s="591">
        <v>0</v>
      </c>
      <c r="N55" s="591">
        <f t="shared" si="16"/>
        <v>0</v>
      </c>
      <c r="O55" s="591">
        <f t="shared" si="18"/>
        <v>0</v>
      </c>
    </row>
    <row r="56" spans="1:15" s="593" customFormat="1" ht="15.75" thickBot="1" x14ac:dyDescent="0.3">
      <c r="A56" s="880" t="s">
        <v>168</v>
      </c>
      <c r="B56" s="881"/>
      <c r="C56" s="881"/>
      <c r="D56" s="881"/>
      <c r="E56" s="882"/>
      <c r="F56" s="591">
        <v>50000</v>
      </c>
      <c r="G56" s="591">
        <f t="shared" si="15"/>
        <v>13500</v>
      </c>
      <c r="H56" s="591">
        <f t="shared" si="17"/>
        <v>63500</v>
      </c>
      <c r="M56" s="591">
        <v>0</v>
      </c>
      <c r="N56" s="591">
        <f t="shared" si="16"/>
        <v>0</v>
      </c>
      <c r="O56" s="591">
        <f t="shared" si="18"/>
        <v>0</v>
      </c>
    </row>
    <row r="57" spans="1:15" s="593" customFormat="1" ht="15.75" thickBot="1" x14ac:dyDescent="0.3">
      <c r="A57" s="880" t="s">
        <v>780</v>
      </c>
      <c r="B57" s="881"/>
      <c r="C57" s="881"/>
      <c r="D57" s="881"/>
      <c r="E57" s="882"/>
      <c r="F57" s="591"/>
      <c r="G57" s="591"/>
      <c r="H57" s="591"/>
      <c r="M57" s="591"/>
      <c r="N57" s="591">
        <f t="shared" si="16"/>
        <v>0</v>
      </c>
      <c r="O57" s="591">
        <f t="shared" si="18"/>
        <v>0</v>
      </c>
    </row>
    <row r="58" spans="1:15" s="593" customFormat="1" ht="15.75" thickBot="1" x14ac:dyDescent="0.3">
      <c r="A58" s="880" t="s">
        <v>781</v>
      </c>
      <c r="B58" s="881"/>
      <c r="C58" s="881"/>
      <c r="D58" s="881"/>
      <c r="E58" s="882"/>
      <c r="F58" s="591"/>
      <c r="G58" s="591"/>
      <c r="H58" s="591"/>
      <c r="M58" s="591">
        <v>0</v>
      </c>
      <c r="N58" s="591">
        <f t="shared" si="16"/>
        <v>0</v>
      </c>
      <c r="O58" s="591">
        <f t="shared" si="18"/>
        <v>0</v>
      </c>
    </row>
    <row r="59" spans="1:15" s="593" customFormat="1" ht="16.5" thickBot="1" x14ac:dyDescent="0.3">
      <c r="A59" s="874" t="s">
        <v>353</v>
      </c>
      <c r="B59" s="875"/>
      <c r="C59" s="875"/>
      <c r="D59" s="875"/>
      <c r="E59" s="876"/>
      <c r="F59" s="590">
        <f>F53+F54+F55+F56</f>
        <v>132000</v>
      </c>
      <c r="G59" s="590">
        <f t="shared" si="15"/>
        <v>35640</v>
      </c>
      <c r="H59" s="590">
        <f t="shared" si="17"/>
        <v>167640</v>
      </c>
      <c r="M59" s="587">
        <f>M53+M54+M55+M56+M57+M58</f>
        <v>50000</v>
      </c>
      <c r="N59" s="587">
        <f t="shared" ref="N59:O59" si="19">N53+N54+N55+N56+N57+N58</f>
        <v>13500</v>
      </c>
      <c r="O59" s="587">
        <f t="shared" si="19"/>
        <v>63500</v>
      </c>
    </row>
    <row r="60" spans="1:15" s="593" customFormat="1" ht="16.5" customHeight="1" thickBot="1" x14ac:dyDescent="0.3">
      <c r="A60" s="874" t="s">
        <v>354</v>
      </c>
      <c r="B60" s="875"/>
      <c r="C60" s="875"/>
      <c r="D60" s="875"/>
      <c r="E60" s="876"/>
      <c r="F60" s="590"/>
      <c r="G60" s="590">
        <f>G59</f>
        <v>35640</v>
      </c>
      <c r="H60" s="590">
        <f t="shared" si="17"/>
        <v>35640</v>
      </c>
      <c r="I60" s="586"/>
      <c r="J60" s="586"/>
      <c r="K60" s="586"/>
      <c r="L60" s="586"/>
      <c r="M60" s="585"/>
      <c r="N60" s="585">
        <f>N51+N53</f>
        <v>16200</v>
      </c>
      <c r="O60" s="585">
        <f>M60+N60</f>
        <v>16200</v>
      </c>
    </row>
    <row r="61" spans="1:15" s="593" customFormat="1" ht="15.75" thickBot="1" x14ac:dyDescent="0.3">
      <c r="A61" s="874" t="s">
        <v>782</v>
      </c>
      <c r="B61" s="875"/>
      <c r="C61" s="875"/>
      <c r="D61" s="875"/>
      <c r="E61" s="876"/>
      <c r="F61" s="590">
        <f t="shared" ref="F61:L61" si="20">F59</f>
        <v>132000</v>
      </c>
      <c r="G61" s="590">
        <f t="shared" si="20"/>
        <v>35640</v>
      </c>
      <c r="H61" s="590">
        <f t="shared" si="20"/>
        <v>167640</v>
      </c>
      <c r="I61" s="590">
        <f t="shared" si="20"/>
        <v>0</v>
      </c>
      <c r="J61" s="590">
        <f t="shared" si="20"/>
        <v>0</v>
      </c>
      <c r="K61" s="590">
        <f t="shared" si="20"/>
        <v>0</v>
      </c>
      <c r="L61" s="590">
        <f t="shared" si="20"/>
        <v>0</v>
      </c>
      <c r="M61" s="590">
        <f>M59+M52</f>
        <v>60000</v>
      </c>
      <c r="N61" s="590">
        <f>N51+N59</f>
        <v>16200</v>
      </c>
      <c r="O61" s="590">
        <f>M61+N61</f>
        <v>76200</v>
      </c>
    </row>
    <row r="62" spans="1:15" s="593" customFormat="1" ht="19.5" thickBot="1" x14ac:dyDescent="0.35">
      <c r="A62" s="877" t="s">
        <v>355</v>
      </c>
      <c r="B62" s="878"/>
      <c r="C62" s="878"/>
      <c r="D62" s="878"/>
      <c r="E62" s="879"/>
      <c r="F62" s="606"/>
      <c r="G62" s="606"/>
      <c r="H62" s="606"/>
      <c r="I62" s="606"/>
      <c r="J62" s="606"/>
      <c r="K62" s="606"/>
      <c r="L62" s="606"/>
      <c r="M62" s="642">
        <f>M10+M11+M48+M61</f>
        <v>14331015</v>
      </c>
      <c r="N62" s="642">
        <f>N52+N59+N48</f>
        <v>425498.67000000004</v>
      </c>
      <c r="O62" s="642">
        <f>O61+O48+O12</f>
        <v>14756513.67</v>
      </c>
    </row>
    <row r="63" spans="1:15" s="593" customFormat="1" x14ac:dyDescent="0.25">
      <c r="A63" s="586"/>
      <c r="B63" s="586"/>
      <c r="C63" s="586"/>
      <c r="D63" s="586"/>
      <c r="E63" s="586"/>
      <c r="F63" s="586"/>
      <c r="G63" s="586"/>
      <c r="H63" s="586"/>
      <c r="I63" s="586"/>
      <c r="J63" s="586"/>
      <c r="K63" s="586"/>
      <c r="L63" s="586"/>
      <c r="M63" s="586"/>
      <c r="N63" s="586"/>
      <c r="O63" s="586"/>
    </row>
    <row r="64" spans="1:15" s="593" customFormat="1" x14ac:dyDescent="0.25">
      <c r="A64" s="586"/>
      <c r="B64" s="586"/>
      <c r="C64" s="586"/>
      <c r="D64" s="586"/>
      <c r="E64" s="586"/>
      <c r="F64" s="586"/>
      <c r="G64" s="586"/>
      <c r="H64" s="586"/>
      <c r="I64" s="586"/>
      <c r="J64" s="586"/>
      <c r="K64" s="586"/>
      <c r="L64" s="586"/>
      <c r="M64" s="586"/>
      <c r="N64" s="586"/>
      <c r="O64" s="586"/>
    </row>
    <row r="65" spans="1:15" s="606" customFormat="1" ht="18.75" x14ac:dyDescent="0.3">
      <c r="A65" s="586"/>
      <c r="B65" s="586"/>
      <c r="C65" s="586"/>
      <c r="D65" s="586"/>
      <c r="E65" s="586"/>
      <c r="F65" s="586"/>
      <c r="G65" s="586"/>
      <c r="H65" s="586"/>
      <c r="I65" s="586"/>
      <c r="J65" s="586"/>
      <c r="K65" s="586"/>
      <c r="L65" s="586"/>
      <c r="M65" s="586"/>
      <c r="N65" s="586"/>
      <c r="O65" s="586"/>
    </row>
  </sheetData>
  <mergeCells count="60">
    <mergeCell ref="A45:E45"/>
    <mergeCell ref="A4:E4"/>
    <mergeCell ref="A5:E5"/>
    <mergeCell ref="A46:E46"/>
    <mergeCell ref="A47:E47"/>
    <mergeCell ref="A39:E39"/>
    <mergeCell ref="A40:E40"/>
    <mergeCell ref="A41:E41"/>
    <mergeCell ref="A42:E42"/>
    <mergeCell ref="A26:E26"/>
    <mergeCell ref="A24:E24"/>
    <mergeCell ref="A15:E15"/>
    <mergeCell ref="A16:E16"/>
    <mergeCell ref="A17:E17"/>
    <mergeCell ref="A18:E18"/>
    <mergeCell ref="A19:E19"/>
    <mergeCell ref="A10:E10"/>
    <mergeCell ref="A48:E48"/>
    <mergeCell ref="A38:E38"/>
    <mergeCell ref="A27:E27"/>
    <mergeCell ref="A28:E28"/>
    <mergeCell ref="A34:E34"/>
    <mergeCell ref="A35:E35"/>
    <mergeCell ref="A36:E36"/>
    <mergeCell ref="A37:E37"/>
    <mergeCell ref="A29:E29"/>
    <mergeCell ref="A30:E30"/>
    <mergeCell ref="A31:E31"/>
    <mergeCell ref="A32:E32"/>
    <mergeCell ref="A33:E33"/>
    <mergeCell ref="A43:E43"/>
    <mergeCell ref="A44:E44"/>
    <mergeCell ref="M3:O3"/>
    <mergeCell ref="A49:E49"/>
    <mergeCell ref="A50:E50"/>
    <mergeCell ref="A25:E25"/>
    <mergeCell ref="A14:E14"/>
    <mergeCell ref="A22:E22"/>
    <mergeCell ref="A23:E23"/>
    <mergeCell ref="A11:E11"/>
    <mergeCell ref="A12:E12"/>
    <mergeCell ref="A13:E13"/>
    <mergeCell ref="A20:E20"/>
    <mergeCell ref="A21:E21"/>
    <mergeCell ref="A6:E6"/>
    <mergeCell ref="A7:E7"/>
    <mergeCell ref="A8:E8"/>
    <mergeCell ref="A9:E9"/>
    <mergeCell ref="A51:E51"/>
    <mergeCell ref="A52:E52"/>
    <mergeCell ref="A53:E53"/>
    <mergeCell ref="A54:E54"/>
    <mergeCell ref="A55:E55"/>
    <mergeCell ref="A61:E61"/>
    <mergeCell ref="A62:E62"/>
    <mergeCell ref="A56:E56"/>
    <mergeCell ref="A57:E57"/>
    <mergeCell ref="A58:E58"/>
    <mergeCell ref="A59:E59"/>
    <mergeCell ref="A60:E60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75"/>
  <sheetViews>
    <sheetView workbookViewId="0">
      <selection activeCell="F4" sqref="F4:H4"/>
    </sheetView>
  </sheetViews>
  <sheetFormatPr defaultRowHeight="15" x14ac:dyDescent="0.25"/>
  <cols>
    <col min="1" max="4" width="9.140625" style="586"/>
    <col min="5" max="5" width="24.140625" style="586" customWidth="1"/>
    <col min="6" max="6" width="18.42578125" style="586" customWidth="1"/>
    <col min="7" max="7" width="9.140625" style="586"/>
    <col min="8" max="8" width="15.42578125" style="586" customWidth="1"/>
    <col min="257" max="257" width="13" customWidth="1"/>
    <col min="258" max="258" width="14.42578125" customWidth="1"/>
    <col min="259" max="259" width="10.42578125" bestFit="1" customWidth="1"/>
    <col min="260" max="260" width="15.85546875" bestFit="1" customWidth="1"/>
    <col min="261" max="261" width="14" bestFit="1" customWidth="1"/>
    <col min="513" max="513" width="13" customWidth="1"/>
    <col min="514" max="514" width="14.42578125" customWidth="1"/>
    <col min="515" max="515" width="10.42578125" bestFit="1" customWidth="1"/>
    <col min="516" max="516" width="15.85546875" bestFit="1" customWidth="1"/>
    <col min="517" max="517" width="14" bestFit="1" customWidth="1"/>
    <col min="769" max="769" width="13" customWidth="1"/>
    <col min="770" max="770" width="14.42578125" customWidth="1"/>
    <col min="771" max="771" width="10.42578125" bestFit="1" customWidth="1"/>
    <col min="772" max="772" width="15.85546875" bestFit="1" customWidth="1"/>
    <col min="773" max="773" width="14" bestFit="1" customWidth="1"/>
    <col min="1025" max="1025" width="13" customWidth="1"/>
    <col min="1026" max="1026" width="14.42578125" customWidth="1"/>
    <col min="1027" max="1027" width="10.42578125" bestFit="1" customWidth="1"/>
    <col min="1028" max="1028" width="15.85546875" bestFit="1" customWidth="1"/>
    <col min="1029" max="1029" width="14" bestFit="1" customWidth="1"/>
    <col min="1281" max="1281" width="13" customWidth="1"/>
    <col min="1282" max="1282" width="14.42578125" customWidth="1"/>
    <col min="1283" max="1283" width="10.42578125" bestFit="1" customWidth="1"/>
    <col min="1284" max="1284" width="15.85546875" bestFit="1" customWidth="1"/>
    <col min="1285" max="1285" width="14" bestFit="1" customWidth="1"/>
    <col min="1537" max="1537" width="13" customWidth="1"/>
    <col min="1538" max="1538" width="14.42578125" customWidth="1"/>
    <col min="1539" max="1539" width="10.42578125" bestFit="1" customWidth="1"/>
    <col min="1540" max="1540" width="15.85546875" bestFit="1" customWidth="1"/>
    <col min="1541" max="1541" width="14" bestFit="1" customWidth="1"/>
    <col min="1793" max="1793" width="13" customWidth="1"/>
    <col min="1794" max="1794" width="14.42578125" customWidth="1"/>
    <col min="1795" max="1795" width="10.42578125" bestFit="1" customWidth="1"/>
    <col min="1796" max="1796" width="15.85546875" bestFit="1" customWidth="1"/>
    <col min="1797" max="1797" width="14" bestFit="1" customWidth="1"/>
    <col min="2049" max="2049" width="13" customWidth="1"/>
    <col min="2050" max="2050" width="14.42578125" customWidth="1"/>
    <col min="2051" max="2051" width="10.42578125" bestFit="1" customWidth="1"/>
    <col min="2052" max="2052" width="15.85546875" bestFit="1" customWidth="1"/>
    <col min="2053" max="2053" width="14" bestFit="1" customWidth="1"/>
    <col min="2305" max="2305" width="13" customWidth="1"/>
    <col min="2306" max="2306" width="14.42578125" customWidth="1"/>
    <col min="2307" max="2307" width="10.42578125" bestFit="1" customWidth="1"/>
    <col min="2308" max="2308" width="15.85546875" bestFit="1" customWidth="1"/>
    <col min="2309" max="2309" width="14" bestFit="1" customWidth="1"/>
    <col min="2561" max="2561" width="13" customWidth="1"/>
    <col min="2562" max="2562" width="14.42578125" customWidth="1"/>
    <col min="2563" max="2563" width="10.42578125" bestFit="1" customWidth="1"/>
    <col min="2564" max="2564" width="15.85546875" bestFit="1" customWidth="1"/>
    <col min="2565" max="2565" width="14" bestFit="1" customWidth="1"/>
    <col min="2817" max="2817" width="13" customWidth="1"/>
    <col min="2818" max="2818" width="14.42578125" customWidth="1"/>
    <col min="2819" max="2819" width="10.42578125" bestFit="1" customWidth="1"/>
    <col min="2820" max="2820" width="15.85546875" bestFit="1" customWidth="1"/>
    <col min="2821" max="2821" width="14" bestFit="1" customWidth="1"/>
    <col min="3073" max="3073" width="13" customWidth="1"/>
    <col min="3074" max="3074" width="14.42578125" customWidth="1"/>
    <col min="3075" max="3075" width="10.42578125" bestFit="1" customWidth="1"/>
    <col min="3076" max="3076" width="15.85546875" bestFit="1" customWidth="1"/>
    <col min="3077" max="3077" width="14" bestFit="1" customWidth="1"/>
    <col min="3329" max="3329" width="13" customWidth="1"/>
    <col min="3330" max="3330" width="14.42578125" customWidth="1"/>
    <col min="3331" max="3331" width="10.42578125" bestFit="1" customWidth="1"/>
    <col min="3332" max="3332" width="15.85546875" bestFit="1" customWidth="1"/>
    <col min="3333" max="3333" width="14" bestFit="1" customWidth="1"/>
    <col min="3585" max="3585" width="13" customWidth="1"/>
    <col min="3586" max="3586" width="14.42578125" customWidth="1"/>
    <col min="3587" max="3587" width="10.42578125" bestFit="1" customWidth="1"/>
    <col min="3588" max="3588" width="15.85546875" bestFit="1" customWidth="1"/>
    <col min="3589" max="3589" width="14" bestFit="1" customWidth="1"/>
    <col min="3841" max="3841" width="13" customWidth="1"/>
    <col min="3842" max="3842" width="14.42578125" customWidth="1"/>
    <col min="3843" max="3843" width="10.42578125" bestFit="1" customWidth="1"/>
    <col min="3844" max="3844" width="15.85546875" bestFit="1" customWidth="1"/>
    <col min="3845" max="3845" width="14" bestFit="1" customWidth="1"/>
    <col min="4097" max="4097" width="13" customWidth="1"/>
    <col min="4098" max="4098" width="14.42578125" customWidth="1"/>
    <col min="4099" max="4099" width="10.42578125" bestFit="1" customWidth="1"/>
    <col min="4100" max="4100" width="15.85546875" bestFit="1" customWidth="1"/>
    <col min="4101" max="4101" width="14" bestFit="1" customWidth="1"/>
    <col min="4353" max="4353" width="13" customWidth="1"/>
    <col min="4354" max="4354" width="14.42578125" customWidth="1"/>
    <col min="4355" max="4355" width="10.42578125" bestFit="1" customWidth="1"/>
    <col min="4356" max="4356" width="15.85546875" bestFit="1" customWidth="1"/>
    <col min="4357" max="4357" width="14" bestFit="1" customWidth="1"/>
    <col min="4609" max="4609" width="13" customWidth="1"/>
    <col min="4610" max="4610" width="14.42578125" customWidth="1"/>
    <col min="4611" max="4611" width="10.42578125" bestFit="1" customWidth="1"/>
    <col min="4612" max="4612" width="15.85546875" bestFit="1" customWidth="1"/>
    <col min="4613" max="4613" width="14" bestFit="1" customWidth="1"/>
    <col min="4865" max="4865" width="13" customWidth="1"/>
    <col min="4866" max="4866" width="14.42578125" customWidth="1"/>
    <col min="4867" max="4867" width="10.42578125" bestFit="1" customWidth="1"/>
    <col min="4868" max="4868" width="15.85546875" bestFit="1" customWidth="1"/>
    <col min="4869" max="4869" width="14" bestFit="1" customWidth="1"/>
    <col min="5121" max="5121" width="13" customWidth="1"/>
    <col min="5122" max="5122" width="14.42578125" customWidth="1"/>
    <col min="5123" max="5123" width="10.42578125" bestFit="1" customWidth="1"/>
    <col min="5124" max="5124" width="15.85546875" bestFit="1" customWidth="1"/>
    <col min="5125" max="5125" width="14" bestFit="1" customWidth="1"/>
    <col min="5377" max="5377" width="13" customWidth="1"/>
    <col min="5378" max="5378" width="14.42578125" customWidth="1"/>
    <col min="5379" max="5379" width="10.42578125" bestFit="1" customWidth="1"/>
    <col min="5380" max="5380" width="15.85546875" bestFit="1" customWidth="1"/>
    <col min="5381" max="5381" width="14" bestFit="1" customWidth="1"/>
    <col min="5633" max="5633" width="13" customWidth="1"/>
    <col min="5634" max="5634" width="14.42578125" customWidth="1"/>
    <col min="5635" max="5635" width="10.42578125" bestFit="1" customWidth="1"/>
    <col min="5636" max="5636" width="15.85546875" bestFit="1" customWidth="1"/>
    <col min="5637" max="5637" width="14" bestFit="1" customWidth="1"/>
    <col min="5889" max="5889" width="13" customWidth="1"/>
    <col min="5890" max="5890" width="14.42578125" customWidth="1"/>
    <col min="5891" max="5891" width="10.42578125" bestFit="1" customWidth="1"/>
    <col min="5892" max="5892" width="15.85546875" bestFit="1" customWidth="1"/>
    <col min="5893" max="5893" width="14" bestFit="1" customWidth="1"/>
    <col min="6145" max="6145" width="13" customWidth="1"/>
    <col min="6146" max="6146" width="14.42578125" customWidth="1"/>
    <col min="6147" max="6147" width="10.42578125" bestFit="1" customWidth="1"/>
    <col min="6148" max="6148" width="15.85546875" bestFit="1" customWidth="1"/>
    <col min="6149" max="6149" width="14" bestFit="1" customWidth="1"/>
    <col min="6401" max="6401" width="13" customWidth="1"/>
    <col min="6402" max="6402" width="14.42578125" customWidth="1"/>
    <col min="6403" max="6403" width="10.42578125" bestFit="1" customWidth="1"/>
    <col min="6404" max="6404" width="15.85546875" bestFit="1" customWidth="1"/>
    <col min="6405" max="6405" width="14" bestFit="1" customWidth="1"/>
    <col min="6657" max="6657" width="13" customWidth="1"/>
    <col min="6658" max="6658" width="14.42578125" customWidth="1"/>
    <col min="6659" max="6659" width="10.42578125" bestFit="1" customWidth="1"/>
    <col min="6660" max="6660" width="15.85546875" bestFit="1" customWidth="1"/>
    <col min="6661" max="6661" width="14" bestFit="1" customWidth="1"/>
    <col min="6913" max="6913" width="13" customWidth="1"/>
    <col min="6914" max="6914" width="14.42578125" customWidth="1"/>
    <col min="6915" max="6915" width="10.42578125" bestFit="1" customWidth="1"/>
    <col min="6916" max="6916" width="15.85546875" bestFit="1" customWidth="1"/>
    <col min="6917" max="6917" width="14" bestFit="1" customWidth="1"/>
    <col min="7169" max="7169" width="13" customWidth="1"/>
    <col min="7170" max="7170" width="14.42578125" customWidth="1"/>
    <col min="7171" max="7171" width="10.42578125" bestFit="1" customWidth="1"/>
    <col min="7172" max="7172" width="15.85546875" bestFit="1" customWidth="1"/>
    <col min="7173" max="7173" width="14" bestFit="1" customWidth="1"/>
    <col min="7425" max="7425" width="13" customWidth="1"/>
    <col min="7426" max="7426" width="14.42578125" customWidth="1"/>
    <col min="7427" max="7427" width="10.42578125" bestFit="1" customWidth="1"/>
    <col min="7428" max="7428" width="15.85546875" bestFit="1" customWidth="1"/>
    <col min="7429" max="7429" width="14" bestFit="1" customWidth="1"/>
    <col min="7681" max="7681" width="13" customWidth="1"/>
    <col min="7682" max="7682" width="14.42578125" customWidth="1"/>
    <col min="7683" max="7683" width="10.42578125" bestFit="1" customWidth="1"/>
    <col min="7684" max="7684" width="15.85546875" bestFit="1" customWidth="1"/>
    <col min="7685" max="7685" width="14" bestFit="1" customWidth="1"/>
    <col min="7937" max="7937" width="13" customWidth="1"/>
    <col min="7938" max="7938" width="14.42578125" customWidth="1"/>
    <col min="7939" max="7939" width="10.42578125" bestFit="1" customWidth="1"/>
    <col min="7940" max="7940" width="15.85546875" bestFit="1" customWidth="1"/>
    <col min="7941" max="7941" width="14" bestFit="1" customWidth="1"/>
    <col min="8193" max="8193" width="13" customWidth="1"/>
    <col min="8194" max="8194" width="14.42578125" customWidth="1"/>
    <col min="8195" max="8195" width="10.42578125" bestFit="1" customWidth="1"/>
    <col min="8196" max="8196" width="15.85546875" bestFit="1" customWidth="1"/>
    <col min="8197" max="8197" width="14" bestFit="1" customWidth="1"/>
    <col min="8449" max="8449" width="13" customWidth="1"/>
    <col min="8450" max="8450" width="14.42578125" customWidth="1"/>
    <col min="8451" max="8451" width="10.42578125" bestFit="1" customWidth="1"/>
    <col min="8452" max="8452" width="15.85546875" bestFit="1" customWidth="1"/>
    <col min="8453" max="8453" width="14" bestFit="1" customWidth="1"/>
    <col min="8705" max="8705" width="13" customWidth="1"/>
    <col min="8706" max="8706" width="14.42578125" customWidth="1"/>
    <col min="8707" max="8707" width="10.42578125" bestFit="1" customWidth="1"/>
    <col min="8708" max="8708" width="15.85546875" bestFit="1" customWidth="1"/>
    <col min="8709" max="8709" width="14" bestFit="1" customWidth="1"/>
    <col min="8961" max="8961" width="13" customWidth="1"/>
    <col min="8962" max="8962" width="14.42578125" customWidth="1"/>
    <col min="8963" max="8963" width="10.42578125" bestFit="1" customWidth="1"/>
    <col min="8964" max="8964" width="15.85546875" bestFit="1" customWidth="1"/>
    <col min="8965" max="8965" width="14" bestFit="1" customWidth="1"/>
    <col min="9217" max="9217" width="13" customWidth="1"/>
    <col min="9218" max="9218" width="14.42578125" customWidth="1"/>
    <col min="9219" max="9219" width="10.42578125" bestFit="1" customWidth="1"/>
    <col min="9220" max="9220" width="15.85546875" bestFit="1" customWidth="1"/>
    <col min="9221" max="9221" width="14" bestFit="1" customWidth="1"/>
    <col min="9473" max="9473" width="13" customWidth="1"/>
    <col min="9474" max="9474" width="14.42578125" customWidth="1"/>
    <col min="9475" max="9475" width="10.42578125" bestFit="1" customWidth="1"/>
    <col min="9476" max="9476" width="15.85546875" bestFit="1" customWidth="1"/>
    <col min="9477" max="9477" width="14" bestFit="1" customWidth="1"/>
    <col min="9729" max="9729" width="13" customWidth="1"/>
    <col min="9730" max="9730" width="14.42578125" customWidth="1"/>
    <col min="9731" max="9731" width="10.42578125" bestFit="1" customWidth="1"/>
    <col min="9732" max="9732" width="15.85546875" bestFit="1" customWidth="1"/>
    <col min="9733" max="9733" width="14" bestFit="1" customWidth="1"/>
    <col min="9985" max="9985" width="13" customWidth="1"/>
    <col min="9986" max="9986" width="14.42578125" customWidth="1"/>
    <col min="9987" max="9987" width="10.42578125" bestFit="1" customWidth="1"/>
    <col min="9988" max="9988" width="15.85546875" bestFit="1" customWidth="1"/>
    <col min="9989" max="9989" width="14" bestFit="1" customWidth="1"/>
    <col min="10241" max="10241" width="13" customWidth="1"/>
    <col min="10242" max="10242" width="14.42578125" customWidth="1"/>
    <col min="10243" max="10243" width="10.42578125" bestFit="1" customWidth="1"/>
    <col min="10244" max="10244" width="15.85546875" bestFit="1" customWidth="1"/>
    <col min="10245" max="10245" width="14" bestFit="1" customWidth="1"/>
    <col min="10497" max="10497" width="13" customWidth="1"/>
    <col min="10498" max="10498" width="14.42578125" customWidth="1"/>
    <col min="10499" max="10499" width="10.42578125" bestFit="1" customWidth="1"/>
    <col min="10500" max="10500" width="15.85546875" bestFit="1" customWidth="1"/>
    <col min="10501" max="10501" width="14" bestFit="1" customWidth="1"/>
    <col min="10753" max="10753" width="13" customWidth="1"/>
    <col min="10754" max="10754" width="14.42578125" customWidth="1"/>
    <col min="10755" max="10755" width="10.42578125" bestFit="1" customWidth="1"/>
    <col min="10756" max="10756" width="15.85546875" bestFit="1" customWidth="1"/>
    <col min="10757" max="10757" width="14" bestFit="1" customWidth="1"/>
    <col min="11009" max="11009" width="13" customWidth="1"/>
    <col min="11010" max="11010" width="14.42578125" customWidth="1"/>
    <col min="11011" max="11011" width="10.42578125" bestFit="1" customWidth="1"/>
    <col min="11012" max="11012" width="15.85546875" bestFit="1" customWidth="1"/>
    <col min="11013" max="11013" width="14" bestFit="1" customWidth="1"/>
    <col min="11265" max="11265" width="13" customWidth="1"/>
    <col min="11266" max="11266" width="14.42578125" customWidth="1"/>
    <col min="11267" max="11267" width="10.42578125" bestFit="1" customWidth="1"/>
    <col min="11268" max="11268" width="15.85546875" bestFit="1" customWidth="1"/>
    <col min="11269" max="11269" width="14" bestFit="1" customWidth="1"/>
    <col min="11521" max="11521" width="13" customWidth="1"/>
    <col min="11522" max="11522" width="14.42578125" customWidth="1"/>
    <col min="11523" max="11523" width="10.42578125" bestFit="1" customWidth="1"/>
    <col min="11524" max="11524" width="15.85546875" bestFit="1" customWidth="1"/>
    <col min="11525" max="11525" width="14" bestFit="1" customWidth="1"/>
    <col min="11777" max="11777" width="13" customWidth="1"/>
    <col min="11778" max="11778" width="14.42578125" customWidth="1"/>
    <col min="11779" max="11779" width="10.42578125" bestFit="1" customWidth="1"/>
    <col min="11780" max="11780" width="15.85546875" bestFit="1" customWidth="1"/>
    <col min="11781" max="11781" width="14" bestFit="1" customWidth="1"/>
    <col min="12033" max="12033" width="13" customWidth="1"/>
    <col min="12034" max="12034" width="14.42578125" customWidth="1"/>
    <col min="12035" max="12035" width="10.42578125" bestFit="1" customWidth="1"/>
    <col min="12036" max="12036" width="15.85546875" bestFit="1" customWidth="1"/>
    <col min="12037" max="12037" width="14" bestFit="1" customWidth="1"/>
    <col min="12289" max="12289" width="13" customWidth="1"/>
    <col min="12290" max="12290" width="14.42578125" customWidth="1"/>
    <col min="12291" max="12291" width="10.42578125" bestFit="1" customWidth="1"/>
    <col min="12292" max="12292" width="15.85546875" bestFit="1" customWidth="1"/>
    <col min="12293" max="12293" width="14" bestFit="1" customWidth="1"/>
    <col min="12545" max="12545" width="13" customWidth="1"/>
    <col min="12546" max="12546" width="14.42578125" customWidth="1"/>
    <col min="12547" max="12547" width="10.42578125" bestFit="1" customWidth="1"/>
    <col min="12548" max="12548" width="15.85546875" bestFit="1" customWidth="1"/>
    <col min="12549" max="12549" width="14" bestFit="1" customWidth="1"/>
    <col min="12801" max="12801" width="13" customWidth="1"/>
    <col min="12802" max="12802" width="14.42578125" customWidth="1"/>
    <col min="12803" max="12803" width="10.42578125" bestFit="1" customWidth="1"/>
    <col min="12804" max="12804" width="15.85546875" bestFit="1" customWidth="1"/>
    <col min="12805" max="12805" width="14" bestFit="1" customWidth="1"/>
    <col min="13057" max="13057" width="13" customWidth="1"/>
    <col min="13058" max="13058" width="14.42578125" customWidth="1"/>
    <col min="13059" max="13059" width="10.42578125" bestFit="1" customWidth="1"/>
    <col min="13060" max="13060" width="15.85546875" bestFit="1" customWidth="1"/>
    <col min="13061" max="13061" width="14" bestFit="1" customWidth="1"/>
    <col min="13313" max="13313" width="13" customWidth="1"/>
    <col min="13314" max="13314" width="14.42578125" customWidth="1"/>
    <col min="13315" max="13315" width="10.42578125" bestFit="1" customWidth="1"/>
    <col min="13316" max="13316" width="15.85546875" bestFit="1" customWidth="1"/>
    <col min="13317" max="13317" width="14" bestFit="1" customWidth="1"/>
    <col min="13569" max="13569" width="13" customWidth="1"/>
    <col min="13570" max="13570" width="14.42578125" customWidth="1"/>
    <col min="13571" max="13571" width="10.42578125" bestFit="1" customWidth="1"/>
    <col min="13572" max="13572" width="15.85546875" bestFit="1" customWidth="1"/>
    <col min="13573" max="13573" width="14" bestFit="1" customWidth="1"/>
    <col min="13825" max="13825" width="13" customWidth="1"/>
    <col min="13826" max="13826" width="14.42578125" customWidth="1"/>
    <col min="13827" max="13827" width="10.42578125" bestFit="1" customWidth="1"/>
    <col min="13828" max="13828" width="15.85546875" bestFit="1" customWidth="1"/>
    <col min="13829" max="13829" width="14" bestFit="1" customWidth="1"/>
    <col min="14081" max="14081" width="13" customWidth="1"/>
    <col min="14082" max="14082" width="14.42578125" customWidth="1"/>
    <col min="14083" max="14083" width="10.42578125" bestFit="1" customWidth="1"/>
    <col min="14084" max="14084" width="15.85546875" bestFit="1" customWidth="1"/>
    <col min="14085" max="14085" width="14" bestFit="1" customWidth="1"/>
    <col min="14337" max="14337" width="13" customWidth="1"/>
    <col min="14338" max="14338" width="14.42578125" customWidth="1"/>
    <col min="14339" max="14339" width="10.42578125" bestFit="1" customWidth="1"/>
    <col min="14340" max="14340" width="15.85546875" bestFit="1" customWidth="1"/>
    <col min="14341" max="14341" width="14" bestFit="1" customWidth="1"/>
    <col min="14593" max="14593" width="13" customWidth="1"/>
    <col min="14594" max="14594" width="14.42578125" customWidth="1"/>
    <col min="14595" max="14595" width="10.42578125" bestFit="1" customWidth="1"/>
    <col min="14596" max="14596" width="15.85546875" bestFit="1" customWidth="1"/>
    <col min="14597" max="14597" width="14" bestFit="1" customWidth="1"/>
    <col min="14849" max="14849" width="13" customWidth="1"/>
    <col min="14850" max="14850" width="14.42578125" customWidth="1"/>
    <col min="14851" max="14851" width="10.42578125" bestFit="1" customWidth="1"/>
    <col min="14852" max="14852" width="15.85546875" bestFit="1" customWidth="1"/>
    <col min="14853" max="14853" width="14" bestFit="1" customWidth="1"/>
    <col min="15105" max="15105" width="13" customWidth="1"/>
    <col min="15106" max="15106" width="14.42578125" customWidth="1"/>
    <col min="15107" max="15107" width="10.42578125" bestFit="1" customWidth="1"/>
    <col min="15108" max="15108" width="15.85546875" bestFit="1" customWidth="1"/>
    <col min="15109" max="15109" width="14" bestFit="1" customWidth="1"/>
    <col min="15361" max="15361" width="13" customWidth="1"/>
    <col min="15362" max="15362" width="14.42578125" customWidth="1"/>
    <col min="15363" max="15363" width="10.42578125" bestFit="1" customWidth="1"/>
    <col min="15364" max="15364" width="15.85546875" bestFit="1" customWidth="1"/>
    <col min="15365" max="15365" width="14" bestFit="1" customWidth="1"/>
    <col min="15617" max="15617" width="13" customWidth="1"/>
    <col min="15618" max="15618" width="14.42578125" customWidth="1"/>
    <col min="15619" max="15619" width="10.42578125" bestFit="1" customWidth="1"/>
    <col min="15620" max="15620" width="15.85546875" bestFit="1" customWidth="1"/>
    <col min="15621" max="15621" width="14" bestFit="1" customWidth="1"/>
    <col min="15873" max="15873" width="13" customWidth="1"/>
    <col min="15874" max="15874" width="14.42578125" customWidth="1"/>
    <col min="15875" max="15875" width="10.42578125" bestFit="1" customWidth="1"/>
    <col min="15876" max="15876" width="15.85546875" bestFit="1" customWidth="1"/>
    <col min="15877" max="15877" width="14" bestFit="1" customWidth="1"/>
    <col min="16129" max="16129" width="13" customWidth="1"/>
    <col min="16130" max="16130" width="14.42578125" customWidth="1"/>
    <col min="16131" max="16131" width="10.42578125" bestFit="1" customWidth="1"/>
    <col min="16132" max="16132" width="15.85546875" bestFit="1" customWidth="1"/>
    <col min="16133" max="16133" width="14" bestFit="1" customWidth="1"/>
  </cols>
  <sheetData>
    <row r="1" spans="1:8" x14ac:dyDescent="0.25">
      <c r="E1" s="593" t="s">
        <v>801</v>
      </c>
    </row>
    <row r="2" spans="1:8" ht="18.75" x14ac:dyDescent="0.3">
      <c r="D2" s="592" t="s">
        <v>784</v>
      </c>
      <c r="E2" s="592"/>
    </row>
    <row r="3" spans="1:8" ht="19.5" thickBot="1" x14ac:dyDescent="0.35">
      <c r="D3" s="588"/>
      <c r="E3" s="588"/>
      <c r="H3" s="586" t="s">
        <v>802</v>
      </c>
    </row>
    <row r="4" spans="1:8" ht="16.5" thickBot="1" x14ac:dyDescent="0.3">
      <c r="F4" s="883" t="s">
        <v>925</v>
      </c>
      <c r="G4" s="884"/>
      <c r="H4" s="885"/>
    </row>
    <row r="5" spans="1:8" ht="16.5" customHeight="1" thickBot="1" x14ac:dyDescent="0.3">
      <c r="A5" s="874" t="s">
        <v>7</v>
      </c>
      <c r="B5" s="875"/>
      <c r="C5" s="875"/>
      <c r="D5" s="875"/>
      <c r="E5" s="876"/>
      <c r="F5" s="589" t="s">
        <v>309</v>
      </c>
      <c r="G5" s="589" t="s">
        <v>310</v>
      </c>
      <c r="H5" s="590" t="s">
        <v>184</v>
      </c>
    </row>
    <row r="6" spans="1:8" ht="15.75" thickBot="1" x14ac:dyDescent="0.3">
      <c r="A6" s="889" t="s">
        <v>311</v>
      </c>
      <c r="B6" s="890"/>
      <c r="C6" s="890"/>
      <c r="D6" s="890"/>
      <c r="E6" s="891"/>
      <c r="F6" s="591">
        <v>21374288</v>
      </c>
      <c r="G6" s="591">
        <v>0</v>
      </c>
      <c r="H6" s="591">
        <f t="shared" ref="H6:H11" si="0">G6+F6</f>
        <v>21374288</v>
      </c>
    </row>
    <row r="7" spans="1:8" ht="15.75" thickBot="1" x14ac:dyDescent="0.3">
      <c r="A7" s="889" t="s">
        <v>312</v>
      </c>
      <c r="B7" s="890"/>
      <c r="C7" s="890"/>
      <c r="D7" s="890"/>
      <c r="E7" s="891"/>
      <c r="F7" s="591">
        <v>600000</v>
      </c>
      <c r="G7" s="591">
        <v>0</v>
      </c>
      <c r="H7" s="591">
        <f t="shared" si="0"/>
        <v>600000</v>
      </c>
    </row>
    <row r="8" spans="1:8" ht="15.75" thickBot="1" x14ac:dyDescent="0.3">
      <c r="A8" s="889" t="s">
        <v>785</v>
      </c>
      <c r="B8" s="890"/>
      <c r="C8" s="890"/>
      <c r="D8" s="890"/>
      <c r="E8" s="891"/>
      <c r="F8" s="591">
        <v>657720</v>
      </c>
      <c r="G8" s="591">
        <v>0</v>
      </c>
      <c r="H8" s="591">
        <f t="shared" si="0"/>
        <v>657720</v>
      </c>
    </row>
    <row r="9" spans="1:8" ht="15.75" thickBot="1" x14ac:dyDescent="0.3">
      <c r="A9" s="889" t="s">
        <v>313</v>
      </c>
      <c r="B9" s="890"/>
      <c r="C9" s="890"/>
      <c r="D9" s="890"/>
      <c r="E9" s="891"/>
      <c r="F9" s="591">
        <f>384000+192000</f>
        <v>576000</v>
      </c>
      <c r="G9" s="591">
        <v>0</v>
      </c>
      <c r="H9" s="591">
        <f t="shared" si="0"/>
        <v>576000</v>
      </c>
    </row>
    <row r="10" spans="1:8" ht="15.75" thickBot="1" x14ac:dyDescent="0.3">
      <c r="A10" s="889" t="s">
        <v>314</v>
      </c>
      <c r="B10" s="890"/>
      <c r="C10" s="890"/>
      <c r="D10" s="890"/>
      <c r="E10" s="891"/>
      <c r="F10" s="591">
        <f>187020+16800</f>
        <v>203820</v>
      </c>
      <c r="G10" s="591">
        <v>0</v>
      </c>
      <c r="H10" s="591">
        <f t="shared" si="0"/>
        <v>203820</v>
      </c>
    </row>
    <row r="11" spans="1:8" ht="15.75" thickBot="1" x14ac:dyDescent="0.3">
      <c r="A11" s="889" t="s">
        <v>625</v>
      </c>
      <c r="B11" s="890"/>
      <c r="C11" s="890"/>
      <c r="D11" s="890"/>
      <c r="E11" s="891"/>
      <c r="F11" s="591">
        <v>100000</v>
      </c>
      <c r="G11" s="591">
        <v>0</v>
      </c>
      <c r="H11" s="591">
        <f t="shared" si="0"/>
        <v>100000</v>
      </c>
    </row>
    <row r="12" spans="1:8" ht="19.5" thickBot="1" x14ac:dyDescent="0.35">
      <c r="A12" s="910" t="s">
        <v>319</v>
      </c>
      <c r="B12" s="911"/>
      <c r="C12" s="911"/>
      <c r="D12" s="911"/>
      <c r="E12" s="912"/>
      <c r="F12" s="587">
        <f>SUM(F6:F11)</f>
        <v>23511828</v>
      </c>
      <c r="G12" s="587">
        <v>0</v>
      </c>
      <c r="H12" s="587">
        <f>F12+G12</f>
        <v>23511828</v>
      </c>
    </row>
    <row r="13" spans="1:8" s="350" customFormat="1" ht="39" customHeight="1" thickBot="1" x14ac:dyDescent="0.3">
      <c r="A13" s="892" t="s">
        <v>320</v>
      </c>
      <c r="B13" s="893"/>
      <c r="C13" s="893"/>
      <c r="D13" s="893"/>
      <c r="E13" s="894"/>
      <c r="F13" s="587">
        <f>3305739+1130941</f>
        <v>4436680</v>
      </c>
      <c r="G13" s="587">
        <v>0</v>
      </c>
      <c r="H13" s="587">
        <f>F13+G13</f>
        <v>4436680</v>
      </c>
    </row>
    <row r="14" spans="1:8" s="355" customFormat="1" ht="37.5" customHeight="1" thickBot="1" x14ac:dyDescent="0.3">
      <c r="A14" s="892" t="s">
        <v>627</v>
      </c>
      <c r="B14" s="893"/>
      <c r="C14" s="893"/>
      <c r="D14" s="893"/>
      <c r="E14" s="894"/>
      <c r="F14" s="587">
        <f>F12+F13</f>
        <v>27948508</v>
      </c>
      <c r="G14" s="587">
        <v>0</v>
      </c>
      <c r="H14" s="587">
        <f t="shared" ref="H14" si="1">H12+H13</f>
        <v>27948508</v>
      </c>
    </row>
    <row r="15" spans="1:8" ht="15.75" thickBot="1" x14ac:dyDescent="0.3">
      <c r="A15" s="889" t="s">
        <v>321</v>
      </c>
      <c r="B15" s="890"/>
      <c r="C15" s="890"/>
      <c r="D15" s="890"/>
      <c r="E15" s="891"/>
      <c r="F15" s="591">
        <v>150000</v>
      </c>
      <c r="G15" s="591">
        <f>F15*5%</f>
        <v>7500</v>
      </c>
      <c r="H15" s="591">
        <f>F15+G15</f>
        <v>157500</v>
      </c>
    </row>
    <row r="16" spans="1:8" ht="15.75" thickBot="1" x14ac:dyDescent="0.3">
      <c r="A16" s="880" t="s">
        <v>322</v>
      </c>
      <c r="B16" s="881"/>
      <c r="C16" s="881"/>
      <c r="D16" s="881"/>
      <c r="E16" s="882"/>
      <c r="F16" s="591">
        <v>236220</v>
      </c>
      <c r="G16" s="591">
        <f>F16*27%</f>
        <v>63779.4</v>
      </c>
      <c r="H16" s="591">
        <f>F16+G16</f>
        <v>299999.40000000002</v>
      </c>
    </row>
    <row r="17" spans="1:8" ht="15.75" thickBot="1" x14ac:dyDescent="0.3">
      <c r="A17" s="901" t="s">
        <v>323</v>
      </c>
      <c r="B17" s="902"/>
      <c r="C17" s="902"/>
      <c r="D17" s="902"/>
      <c r="E17" s="903"/>
      <c r="F17" s="590">
        <f>F15+F16</f>
        <v>386220</v>
      </c>
      <c r="G17" s="590">
        <f t="shared" ref="G17:H17" si="2">G15+G16</f>
        <v>71279.399999999994</v>
      </c>
      <c r="H17" s="590">
        <f t="shared" si="2"/>
        <v>457499.4</v>
      </c>
    </row>
    <row r="18" spans="1:8" ht="15.75" thickBot="1" x14ac:dyDescent="0.3">
      <c r="A18" s="889" t="s">
        <v>324</v>
      </c>
      <c r="B18" s="890"/>
      <c r="C18" s="890"/>
      <c r="D18" s="890"/>
      <c r="E18" s="891"/>
      <c r="F18" s="591">
        <v>50000</v>
      </c>
      <c r="G18" s="591">
        <f t="shared" ref="G18:G19" si="3">F18*27%</f>
        <v>13500</v>
      </c>
      <c r="H18" s="591">
        <f t="shared" ref="H18:H33" si="4">F18+G18</f>
        <v>63500</v>
      </c>
    </row>
    <row r="19" spans="1:8" ht="15.75" thickBot="1" x14ac:dyDescent="0.3">
      <c r="A19" s="889" t="s">
        <v>325</v>
      </c>
      <c r="B19" s="890"/>
      <c r="C19" s="890"/>
      <c r="D19" s="890"/>
      <c r="E19" s="891"/>
      <c r="F19" s="591">
        <v>30000</v>
      </c>
      <c r="G19" s="591">
        <f t="shared" si="3"/>
        <v>8100.0000000000009</v>
      </c>
      <c r="H19" s="591">
        <f t="shared" si="4"/>
        <v>38100</v>
      </c>
    </row>
    <row r="20" spans="1:8" ht="15.75" thickBot="1" x14ac:dyDescent="0.3">
      <c r="A20" s="889" t="s">
        <v>652</v>
      </c>
      <c r="B20" s="890"/>
      <c r="C20" s="890"/>
      <c r="D20" s="890"/>
      <c r="E20" s="891"/>
      <c r="F20" s="591">
        <v>250000</v>
      </c>
      <c r="G20" s="591">
        <f>F20*27%</f>
        <v>67500</v>
      </c>
      <c r="H20" s="591">
        <f t="shared" si="4"/>
        <v>317500</v>
      </c>
    </row>
    <row r="21" spans="1:8" ht="15.75" thickBot="1" x14ac:dyDescent="0.3">
      <c r="A21" s="880" t="s">
        <v>326</v>
      </c>
      <c r="B21" s="881"/>
      <c r="C21" s="881"/>
      <c r="D21" s="881"/>
      <c r="E21" s="882"/>
      <c r="F21" s="591">
        <v>200000</v>
      </c>
      <c r="G21" s="591">
        <v>0</v>
      </c>
      <c r="H21" s="591">
        <f t="shared" si="4"/>
        <v>200000</v>
      </c>
    </row>
    <row r="22" spans="1:8" ht="17.25" customHeight="1" thickBot="1" x14ac:dyDescent="0.3">
      <c r="A22" s="913" t="s">
        <v>637</v>
      </c>
      <c r="B22" s="914"/>
      <c r="C22" s="914"/>
      <c r="D22" s="914"/>
      <c r="E22" s="915"/>
      <c r="F22" s="591">
        <v>236220</v>
      </c>
      <c r="G22" s="591">
        <f>F22*27%</f>
        <v>63779.4</v>
      </c>
      <c r="H22" s="591">
        <f t="shared" si="4"/>
        <v>299999.40000000002</v>
      </c>
    </row>
    <row r="23" spans="1:8" ht="15.75" thickBot="1" x14ac:dyDescent="0.3">
      <c r="A23" s="880" t="s">
        <v>786</v>
      </c>
      <c r="B23" s="881"/>
      <c r="C23" s="881"/>
      <c r="D23" s="881"/>
      <c r="E23" s="882"/>
      <c r="F23" s="591">
        <v>100000</v>
      </c>
      <c r="G23" s="591">
        <f>F23*27%</f>
        <v>27000</v>
      </c>
      <c r="H23" s="591">
        <f t="shared" si="4"/>
        <v>127000</v>
      </c>
    </row>
    <row r="24" spans="1:8" ht="15.75" thickBot="1" x14ac:dyDescent="0.3">
      <c r="A24" s="880" t="s">
        <v>787</v>
      </c>
      <c r="B24" s="881"/>
      <c r="C24" s="881"/>
      <c r="D24" s="881"/>
      <c r="E24" s="882"/>
      <c r="F24" s="591">
        <v>100000</v>
      </c>
      <c r="G24" s="591">
        <f t="shared" ref="G24:G26" si="5">F24*27%</f>
        <v>27000</v>
      </c>
      <c r="H24" s="591">
        <f t="shared" si="4"/>
        <v>127000</v>
      </c>
    </row>
    <row r="25" spans="1:8" ht="15.75" thickBot="1" x14ac:dyDescent="0.3">
      <c r="A25" s="880" t="s">
        <v>788</v>
      </c>
      <c r="B25" s="881"/>
      <c r="C25" s="881"/>
      <c r="D25" s="881"/>
      <c r="E25" s="882"/>
      <c r="F25" s="591">
        <v>165000</v>
      </c>
      <c r="G25" s="591">
        <f t="shared" si="5"/>
        <v>44550</v>
      </c>
      <c r="H25" s="591">
        <f t="shared" si="4"/>
        <v>209550</v>
      </c>
    </row>
    <row r="26" spans="1:8" ht="15.75" thickBot="1" x14ac:dyDescent="0.3">
      <c r="A26" s="880" t="s">
        <v>789</v>
      </c>
      <c r="B26" s="881"/>
      <c r="C26" s="881"/>
      <c r="D26" s="881"/>
      <c r="E26" s="882"/>
      <c r="F26" s="591">
        <v>0</v>
      </c>
      <c r="G26" s="591">
        <f t="shared" si="5"/>
        <v>0</v>
      </c>
      <c r="H26" s="591">
        <f t="shared" si="4"/>
        <v>0</v>
      </c>
    </row>
    <row r="27" spans="1:8" ht="15.75" thickBot="1" x14ac:dyDescent="0.3">
      <c r="A27" s="880" t="s">
        <v>790</v>
      </c>
      <c r="B27" s="881"/>
      <c r="C27" s="881"/>
      <c r="D27" s="881"/>
      <c r="E27" s="882"/>
      <c r="F27" s="591">
        <v>120000</v>
      </c>
      <c r="G27" s="591">
        <v>0</v>
      </c>
      <c r="H27" s="591">
        <f t="shared" si="4"/>
        <v>120000</v>
      </c>
    </row>
    <row r="28" spans="1:8" s="584" customFormat="1" ht="15.75" thickBot="1" x14ac:dyDescent="0.3">
      <c r="A28" s="880" t="s">
        <v>791</v>
      </c>
      <c r="B28" s="881"/>
      <c r="C28" s="881"/>
      <c r="D28" s="881"/>
      <c r="E28" s="882"/>
      <c r="F28" s="591">
        <v>10000</v>
      </c>
      <c r="G28" s="591">
        <f>F28*27%</f>
        <v>2700</v>
      </c>
      <c r="H28" s="591">
        <f t="shared" si="4"/>
        <v>12700</v>
      </c>
    </row>
    <row r="29" spans="1:8" s="350" customFormat="1" ht="15.75" thickBot="1" x14ac:dyDescent="0.3">
      <c r="A29" s="901" t="s">
        <v>328</v>
      </c>
      <c r="B29" s="902"/>
      <c r="C29" s="902"/>
      <c r="D29" s="902"/>
      <c r="E29" s="903"/>
      <c r="F29" s="590">
        <f>F18+F19+F21+F22+F23+F20+F24+F25+F26+F27+F28</f>
        <v>1261220</v>
      </c>
      <c r="G29" s="590">
        <f t="shared" ref="G29:H29" si="6">G18+G19+G21+G22+G23+G20+G24+G25+G26+G27+G28</f>
        <v>254129.4</v>
      </c>
      <c r="H29" s="590">
        <f t="shared" si="6"/>
        <v>1515349.4</v>
      </c>
    </row>
    <row r="30" spans="1:8" s="350" customFormat="1" ht="16.5" thickBot="1" x14ac:dyDescent="0.3">
      <c r="A30" s="901" t="s">
        <v>329</v>
      </c>
      <c r="B30" s="902"/>
      <c r="C30" s="902"/>
      <c r="D30" s="902"/>
      <c r="E30" s="903"/>
      <c r="F30" s="587">
        <f>F29+F17</f>
        <v>1647440</v>
      </c>
      <c r="G30" s="587">
        <f t="shared" ref="G30:H30" si="7">G29+G17</f>
        <v>325408.8</v>
      </c>
      <c r="H30" s="587">
        <f t="shared" si="7"/>
        <v>1972848.7999999998</v>
      </c>
    </row>
    <row r="31" spans="1:8" s="350" customFormat="1" ht="15.75" thickBot="1" x14ac:dyDescent="0.3">
      <c r="A31" s="889" t="s">
        <v>330</v>
      </c>
      <c r="B31" s="890"/>
      <c r="C31" s="890"/>
      <c r="D31" s="890"/>
      <c r="E31" s="891"/>
      <c r="F31" s="591">
        <v>103900</v>
      </c>
      <c r="G31" s="591">
        <f>F31*27%</f>
        <v>28053.000000000004</v>
      </c>
      <c r="H31" s="591">
        <f t="shared" si="4"/>
        <v>131953</v>
      </c>
    </row>
    <row r="32" spans="1:8" s="350" customFormat="1" ht="15.75" thickBot="1" x14ac:dyDescent="0.3">
      <c r="A32" s="901" t="s">
        <v>331</v>
      </c>
      <c r="B32" s="902"/>
      <c r="C32" s="902"/>
      <c r="D32" s="902"/>
      <c r="E32" s="903"/>
      <c r="F32" s="590">
        <f t="shared" ref="F32:H32" si="8">F31</f>
        <v>103900</v>
      </c>
      <c r="G32" s="590">
        <f t="shared" si="8"/>
        <v>28053.000000000004</v>
      </c>
      <c r="H32" s="590">
        <f t="shared" si="8"/>
        <v>131953</v>
      </c>
    </row>
    <row r="33" spans="1:8" ht="16.5" thickBot="1" x14ac:dyDescent="0.3">
      <c r="A33" s="889" t="s">
        <v>332</v>
      </c>
      <c r="B33" s="890"/>
      <c r="C33" s="890"/>
      <c r="D33" s="890"/>
      <c r="E33" s="891"/>
      <c r="F33" s="585">
        <v>100000</v>
      </c>
      <c r="G33" s="585">
        <f>F33*27%</f>
        <v>27000</v>
      </c>
      <c r="H33" s="585">
        <f t="shared" si="4"/>
        <v>127000</v>
      </c>
    </row>
    <row r="34" spans="1:8" s="350" customFormat="1" ht="15.75" thickBot="1" x14ac:dyDescent="0.3">
      <c r="A34" s="901" t="s">
        <v>333</v>
      </c>
      <c r="B34" s="902"/>
      <c r="C34" s="902"/>
      <c r="D34" s="902"/>
      <c r="E34" s="903"/>
      <c r="F34" s="590">
        <f>F33</f>
        <v>100000</v>
      </c>
      <c r="G34" s="590">
        <f t="shared" ref="G34:H34" si="9">G33</f>
        <v>27000</v>
      </c>
      <c r="H34" s="590">
        <f t="shared" si="9"/>
        <v>127000</v>
      </c>
    </row>
    <row r="35" spans="1:8" s="350" customFormat="1" ht="15.75" thickBot="1" x14ac:dyDescent="0.3">
      <c r="A35" s="901" t="s">
        <v>334</v>
      </c>
      <c r="B35" s="902"/>
      <c r="C35" s="902"/>
      <c r="D35" s="902"/>
      <c r="E35" s="903"/>
      <c r="F35" s="590">
        <f>F32+F34</f>
        <v>203900</v>
      </c>
      <c r="G35" s="590">
        <f>G32+G34</f>
        <v>55053</v>
      </c>
      <c r="H35" s="590">
        <f>H32+H34</f>
        <v>258953</v>
      </c>
    </row>
    <row r="36" spans="1:8" s="350" customFormat="1" ht="15.75" thickBot="1" x14ac:dyDescent="0.3">
      <c r="A36" s="880" t="s">
        <v>335</v>
      </c>
      <c r="B36" s="881"/>
      <c r="C36" s="881"/>
      <c r="D36" s="881"/>
      <c r="E36" s="882"/>
      <c r="F36" s="591">
        <v>1550000</v>
      </c>
      <c r="G36" s="591">
        <f>F36*27%</f>
        <v>418500</v>
      </c>
      <c r="H36" s="591">
        <f>F36+G36</f>
        <v>1968500</v>
      </c>
    </row>
    <row r="37" spans="1:8" ht="15.75" thickBot="1" x14ac:dyDescent="0.3">
      <c r="A37" s="880" t="s">
        <v>336</v>
      </c>
      <c r="B37" s="881"/>
      <c r="C37" s="881"/>
      <c r="D37" s="881"/>
      <c r="E37" s="882"/>
      <c r="F37" s="591">
        <v>60000</v>
      </c>
      <c r="G37" s="591">
        <f>F37*27%</f>
        <v>16200.000000000002</v>
      </c>
      <c r="H37" s="591">
        <f>F37+G37</f>
        <v>76200</v>
      </c>
    </row>
    <row r="38" spans="1:8" ht="15.75" thickBot="1" x14ac:dyDescent="0.3">
      <c r="A38" s="880" t="s">
        <v>337</v>
      </c>
      <c r="B38" s="881"/>
      <c r="C38" s="881"/>
      <c r="D38" s="881"/>
      <c r="E38" s="882"/>
      <c r="F38" s="590">
        <v>85000</v>
      </c>
      <c r="G38" s="591">
        <f>F38*27%</f>
        <v>22950</v>
      </c>
      <c r="H38" s="591">
        <f>F38+G38</f>
        <v>107950</v>
      </c>
    </row>
    <row r="39" spans="1:8" ht="15.75" thickBot="1" x14ac:dyDescent="0.3">
      <c r="A39" s="880" t="s">
        <v>653</v>
      </c>
      <c r="B39" s="881"/>
      <c r="C39" s="881"/>
      <c r="D39" s="881"/>
      <c r="E39" s="882"/>
      <c r="F39" s="591">
        <v>103100</v>
      </c>
      <c r="G39" s="591">
        <f>F39*27%</f>
        <v>27837.000000000004</v>
      </c>
      <c r="H39" s="591">
        <f>F39+G39</f>
        <v>130937</v>
      </c>
    </row>
    <row r="40" spans="1:8" s="350" customFormat="1" ht="15.75" thickBot="1" x14ac:dyDescent="0.3">
      <c r="A40" s="874" t="s">
        <v>338</v>
      </c>
      <c r="B40" s="875"/>
      <c r="C40" s="875"/>
      <c r="D40" s="875"/>
      <c r="E40" s="876"/>
      <c r="F40" s="590">
        <f>F39+F38</f>
        <v>188100</v>
      </c>
      <c r="G40" s="590">
        <f t="shared" ref="G40:H40" si="10">G39+G38</f>
        <v>50787</v>
      </c>
      <c r="H40" s="590">
        <f t="shared" si="10"/>
        <v>238887</v>
      </c>
    </row>
    <row r="41" spans="1:8" ht="15.75" thickBot="1" x14ac:dyDescent="0.3">
      <c r="A41" s="880" t="s">
        <v>339</v>
      </c>
      <c r="B41" s="881"/>
      <c r="C41" s="881"/>
      <c r="D41" s="881"/>
      <c r="E41" s="882"/>
      <c r="F41" s="590">
        <v>20000</v>
      </c>
      <c r="G41" s="591">
        <f>F41*27%</f>
        <v>5400</v>
      </c>
      <c r="H41" s="591">
        <f>F41+G41</f>
        <v>25400</v>
      </c>
    </row>
    <row r="42" spans="1:8" ht="15.75" thickBot="1" x14ac:dyDescent="0.3">
      <c r="A42" s="880" t="s">
        <v>644</v>
      </c>
      <c r="B42" s="881"/>
      <c r="C42" s="881"/>
      <c r="D42" s="881"/>
      <c r="E42" s="882"/>
      <c r="F42" s="590">
        <v>30000</v>
      </c>
      <c r="G42" s="591">
        <f>F42*27%</f>
        <v>8100.0000000000009</v>
      </c>
      <c r="H42" s="591">
        <f>F42+G42</f>
        <v>38100</v>
      </c>
    </row>
    <row r="43" spans="1:8" ht="15.75" thickBot="1" x14ac:dyDescent="0.3">
      <c r="A43" s="880" t="s">
        <v>654</v>
      </c>
      <c r="B43" s="881"/>
      <c r="C43" s="881"/>
      <c r="D43" s="881"/>
      <c r="E43" s="882"/>
      <c r="F43" s="590">
        <v>60000</v>
      </c>
      <c r="G43" s="591">
        <f>F43*27%</f>
        <v>16200.000000000002</v>
      </c>
      <c r="H43" s="591">
        <f>F43+G43</f>
        <v>76200</v>
      </c>
    </row>
    <row r="44" spans="1:8" ht="15.75" thickBot="1" x14ac:dyDescent="0.3">
      <c r="A44" s="880" t="s">
        <v>792</v>
      </c>
      <c r="B44" s="881"/>
      <c r="C44" s="881"/>
      <c r="D44" s="881"/>
      <c r="E44" s="882"/>
      <c r="F44" s="591">
        <v>100000</v>
      </c>
      <c r="G44" s="591">
        <f>F44*27%</f>
        <v>27000</v>
      </c>
      <c r="H44" s="591">
        <f>F44+G44</f>
        <v>127000</v>
      </c>
    </row>
    <row r="45" spans="1:8" ht="15.75" thickBot="1" x14ac:dyDescent="0.3">
      <c r="A45" s="880" t="s">
        <v>793</v>
      </c>
      <c r="B45" s="881"/>
      <c r="C45" s="881"/>
      <c r="D45" s="881"/>
      <c r="E45" s="882"/>
      <c r="F45" s="591">
        <v>220000</v>
      </c>
      <c r="G45" s="591">
        <v>20000</v>
      </c>
      <c r="H45" s="591">
        <f>F45+G45</f>
        <v>240000</v>
      </c>
    </row>
    <row r="46" spans="1:8" s="350" customFormat="1" ht="15.75" thickBot="1" x14ac:dyDescent="0.3">
      <c r="A46" s="874" t="s">
        <v>344</v>
      </c>
      <c r="B46" s="875"/>
      <c r="C46" s="875"/>
      <c r="D46" s="875"/>
      <c r="E46" s="876"/>
      <c r="F46" s="590">
        <f>F41+F42+F43+F45+F44</f>
        <v>430000</v>
      </c>
      <c r="G46" s="590">
        <f t="shared" ref="G46:H46" si="11">G41+G42+G43+G45+G44</f>
        <v>76700</v>
      </c>
      <c r="H46" s="590">
        <f t="shared" si="11"/>
        <v>506700</v>
      </c>
    </row>
    <row r="47" spans="1:8" s="350" customFormat="1" ht="15.75" thickBot="1" x14ac:dyDescent="0.3">
      <c r="A47" s="874" t="s">
        <v>345</v>
      </c>
      <c r="B47" s="875"/>
      <c r="C47" s="875"/>
      <c r="D47" s="875"/>
      <c r="E47" s="876"/>
      <c r="F47" s="590">
        <f t="shared" ref="F47:H47" si="12">F46+F40+F37+F36</f>
        <v>2228100</v>
      </c>
      <c r="G47" s="590">
        <f>G46+G40+G37+G36</f>
        <v>562187</v>
      </c>
      <c r="H47" s="590">
        <f t="shared" si="12"/>
        <v>2790287</v>
      </c>
    </row>
    <row r="48" spans="1:8" ht="15.75" thickBot="1" x14ac:dyDescent="0.3">
      <c r="A48" s="880" t="s">
        <v>346</v>
      </c>
      <c r="B48" s="881"/>
      <c r="C48" s="881"/>
      <c r="D48" s="881"/>
      <c r="E48" s="882"/>
      <c r="F48" s="591">
        <v>70000</v>
      </c>
      <c r="G48" s="591">
        <v>0</v>
      </c>
      <c r="H48" s="591">
        <f>F48+G48</f>
        <v>70000</v>
      </c>
    </row>
    <row r="49" spans="1:8" s="350" customFormat="1" ht="15.75" thickBot="1" x14ac:dyDescent="0.3">
      <c r="A49" s="874" t="s">
        <v>348</v>
      </c>
      <c r="B49" s="875"/>
      <c r="C49" s="875"/>
      <c r="D49" s="875"/>
      <c r="E49" s="876"/>
      <c r="F49" s="590">
        <f t="shared" ref="F49:H49" si="13">F48</f>
        <v>70000</v>
      </c>
      <c r="G49" s="590">
        <f t="shared" si="13"/>
        <v>0</v>
      </c>
      <c r="H49" s="590">
        <f t="shared" si="13"/>
        <v>70000</v>
      </c>
    </row>
    <row r="50" spans="1:8" ht="15.75" thickBot="1" x14ac:dyDescent="0.3">
      <c r="A50" s="880" t="s">
        <v>349</v>
      </c>
      <c r="B50" s="881"/>
      <c r="C50" s="881"/>
      <c r="D50" s="881"/>
      <c r="E50" s="882"/>
      <c r="F50" s="590">
        <v>0</v>
      </c>
      <c r="G50" s="590">
        <f>G49+G47+G35+G30</f>
        <v>942648.8</v>
      </c>
      <c r="H50" s="590">
        <f>F50+G50</f>
        <v>942648.8</v>
      </c>
    </row>
    <row r="51" spans="1:8" ht="15.75" thickBot="1" x14ac:dyDescent="0.3">
      <c r="A51" s="880" t="s">
        <v>352</v>
      </c>
      <c r="B51" s="881"/>
      <c r="C51" s="881"/>
      <c r="D51" s="881"/>
      <c r="E51" s="882"/>
      <c r="F51" s="590">
        <v>20000</v>
      </c>
      <c r="G51" s="590">
        <v>0</v>
      </c>
      <c r="H51" s="590">
        <f>F51+G51</f>
        <v>20000</v>
      </c>
    </row>
    <row r="52" spans="1:8" s="350" customFormat="1" ht="15.75" thickBot="1" x14ac:dyDescent="0.3">
      <c r="A52" s="874" t="s">
        <v>350</v>
      </c>
      <c r="B52" s="875"/>
      <c r="C52" s="875"/>
      <c r="D52" s="875"/>
      <c r="E52" s="876"/>
      <c r="F52" s="590">
        <f t="shared" ref="F52:H52" si="14">F50+F51</f>
        <v>20000</v>
      </c>
      <c r="G52" s="590">
        <f t="shared" si="14"/>
        <v>942648.8</v>
      </c>
      <c r="H52" s="590">
        <f t="shared" si="14"/>
        <v>962648.8</v>
      </c>
    </row>
    <row r="53" spans="1:8" s="350" customFormat="1" ht="15.75" thickBot="1" x14ac:dyDescent="0.3">
      <c r="A53" s="874" t="s">
        <v>351</v>
      </c>
      <c r="B53" s="875"/>
      <c r="C53" s="875"/>
      <c r="D53" s="875"/>
      <c r="E53" s="876"/>
      <c r="F53" s="590">
        <f>F52+F49+F47+F35+F30</f>
        <v>4169440</v>
      </c>
      <c r="G53" s="590">
        <f t="shared" ref="G53" si="15">G52</f>
        <v>942648.8</v>
      </c>
      <c r="H53" s="590">
        <f>F53+G53</f>
        <v>5112088.8</v>
      </c>
    </row>
    <row r="54" spans="1:8" s="350" customFormat="1" ht="16.5" customHeight="1" thickBot="1" x14ac:dyDescent="0.3">
      <c r="A54" s="874" t="s">
        <v>777</v>
      </c>
      <c r="B54" s="875"/>
      <c r="C54" s="875"/>
      <c r="D54" s="875"/>
      <c r="E54" s="876"/>
      <c r="F54" s="590">
        <v>0</v>
      </c>
      <c r="G54" s="590">
        <v>0</v>
      </c>
      <c r="H54" s="590">
        <f>F54+G54</f>
        <v>0</v>
      </c>
    </row>
    <row r="55" spans="1:8" s="350" customFormat="1" ht="15.75" thickBot="1" x14ac:dyDescent="0.3">
      <c r="A55" s="874" t="s">
        <v>778</v>
      </c>
      <c r="B55" s="875"/>
      <c r="C55" s="875"/>
      <c r="D55" s="875"/>
      <c r="E55" s="876"/>
      <c r="F55" s="590"/>
      <c r="G55" s="590">
        <v>0</v>
      </c>
      <c r="H55" s="590">
        <f>F55+G55</f>
        <v>0</v>
      </c>
    </row>
    <row r="56" spans="1:8" s="350" customFormat="1" ht="15.75" thickBot="1" x14ac:dyDescent="0.3">
      <c r="A56" s="874" t="s">
        <v>779</v>
      </c>
      <c r="B56" s="875"/>
      <c r="C56" s="875"/>
      <c r="D56" s="875"/>
      <c r="E56" s="876"/>
      <c r="F56" s="590">
        <f t="shared" ref="F56:H56" si="16">F54+F55</f>
        <v>0</v>
      </c>
      <c r="G56" s="590">
        <f t="shared" si="16"/>
        <v>0</v>
      </c>
      <c r="H56" s="590">
        <f t="shared" si="16"/>
        <v>0</v>
      </c>
    </row>
    <row r="57" spans="1:8" ht="15.75" thickBot="1" x14ac:dyDescent="0.3">
      <c r="A57" s="880" t="s">
        <v>157</v>
      </c>
      <c r="B57" s="881"/>
      <c r="C57" s="881"/>
      <c r="D57" s="881"/>
      <c r="E57" s="882"/>
      <c r="F57" s="590">
        <v>0</v>
      </c>
      <c r="G57" s="591">
        <v>0</v>
      </c>
      <c r="H57" s="591">
        <f>G57</f>
        <v>0</v>
      </c>
    </row>
    <row r="58" spans="1:8" ht="15.75" thickBot="1" x14ac:dyDescent="0.3">
      <c r="A58" s="880" t="s">
        <v>650</v>
      </c>
      <c r="B58" s="881"/>
      <c r="C58" s="881"/>
      <c r="D58" s="881"/>
      <c r="E58" s="882"/>
      <c r="F58" s="590">
        <v>0</v>
      </c>
      <c r="G58" s="591">
        <v>0</v>
      </c>
      <c r="H58" s="591">
        <f>F58+G58</f>
        <v>0</v>
      </c>
    </row>
    <row r="59" spans="1:8" ht="15.75" thickBot="1" x14ac:dyDescent="0.3">
      <c r="A59" s="880" t="s">
        <v>158</v>
      </c>
      <c r="B59" s="881"/>
      <c r="C59" s="881"/>
      <c r="D59" s="881"/>
      <c r="E59" s="882"/>
      <c r="F59" s="590">
        <v>0</v>
      </c>
      <c r="G59" s="590">
        <v>0</v>
      </c>
      <c r="H59" s="590">
        <f t="shared" ref="H59:H60" si="17">H57+H58</f>
        <v>0</v>
      </c>
    </row>
    <row r="60" spans="1:8" ht="15.75" thickBot="1" x14ac:dyDescent="0.3">
      <c r="A60" s="880" t="s">
        <v>159</v>
      </c>
      <c r="B60" s="881"/>
      <c r="C60" s="881"/>
      <c r="D60" s="881"/>
      <c r="E60" s="882"/>
      <c r="F60" s="590">
        <v>0</v>
      </c>
      <c r="G60" s="590">
        <v>0</v>
      </c>
      <c r="H60" s="590">
        <f t="shared" si="17"/>
        <v>0</v>
      </c>
    </row>
    <row r="61" spans="1:8" s="584" customFormat="1" ht="15.75" thickBot="1" x14ac:dyDescent="0.3">
      <c r="A61" s="880" t="s">
        <v>160</v>
      </c>
      <c r="B61" s="881"/>
      <c r="C61" s="881"/>
      <c r="D61" s="881"/>
      <c r="E61" s="882"/>
      <c r="F61" s="590">
        <v>0</v>
      </c>
      <c r="G61" s="590">
        <f>F61*27%</f>
        <v>0</v>
      </c>
      <c r="H61" s="591">
        <f>F61+G61</f>
        <v>0</v>
      </c>
    </row>
    <row r="62" spans="1:8" ht="15.75" thickBot="1" x14ac:dyDescent="0.3">
      <c r="A62" s="880" t="s">
        <v>794</v>
      </c>
      <c r="B62" s="881"/>
      <c r="C62" s="881"/>
      <c r="D62" s="881"/>
      <c r="E62" s="882"/>
      <c r="F62" s="591">
        <v>100000</v>
      </c>
      <c r="G62" s="591">
        <f t="shared" ref="G62:G71" si="18">F62*27%</f>
        <v>27000</v>
      </c>
      <c r="H62" s="591">
        <f>F62+G62</f>
        <v>127000</v>
      </c>
    </row>
    <row r="63" spans="1:8" ht="15.75" thickBot="1" x14ac:dyDescent="0.3">
      <c r="A63" s="880" t="s">
        <v>161</v>
      </c>
      <c r="B63" s="881"/>
      <c r="C63" s="881"/>
      <c r="D63" s="881"/>
      <c r="E63" s="882"/>
      <c r="F63" s="591">
        <v>0</v>
      </c>
      <c r="G63" s="591">
        <f t="shared" si="18"/>
        <v>0</v>
      </c>
      <c r="H63" s="591">
        <f t="shared" ref="H63:H71" si="19">F63+G63</f>
        <v>0</v>
      </c>
    </row>
    <row r="64" spans="1:8" s="584" customFormat="1" ht="15.75" thickBot="1" x14ac:dyDescent="0.3">
      <c r="A64" s="880" t="s">
        <v>162</v>
      </c>
      <c r="B64" s="881"/>
      <c r="C64" s="881"/>
      <c r="D64" s="881"/>
      <c r="E64" s="882"/>
      <c r="F64" s="591">
        <v>0</v>
      </c>
      <c r="G64" s="591">
        <f t="shared" si="18"/>
        <v>0</v>
      </c>
      <c r="H64" s="591">
        <f t="shared" si="19"/>
        <v>0</v>
      </c>
    </row>
    <row r="65" spans="1:8" s="584" customFormat="1" ht="15.75" thickBot="1" x14ac:dyDescent="0.3">
      <c r="A65" s="880" t="s">
        <v>163</v>
      </c>
      <c r="B65" s="881"/>
      <c r="C65" s="881"/>
      <c r="D65" s="881"/>
      <c r="E65" s="882"/>
      <c r="F65" s="591">
        <v>0</v>
      </c>
      <c r="G65" s="591">
        <f t="shared" si="18"/>
        <v>0</v>
      </c>
      <c r="H65" s="591">
        <f t="shared" si="19"/>
        <v>0</v>
      </c>
    </row>
    <row r="66" spans="1:8" ht="15.75" thickBot="1" x14ac:dyDescent="0.3">
      <c r="A66" s="880" t="s">
        <v>164</v>
      </c>
      <c r="B66" s="881"/>
      <c r="C66" s="881"/>
      <c r="D66" s="881"/>
      <c r="E66" s="882"/>
      <c r="F66" s="591">
        <v>0</v>
      </c>
      <c r="G66" s="591">
        <f t="shared" si="18"/>
        <v>0</v>
      </c>
      <c r="H66" s="591">
        <f t="shared" si="19"/>
        <v>0</v>
      </c>
    </row>
    <row r="67" spans="1:8" s="584" customFormat="1" ht="15.75" thickBot="1" x14ac:dyDescent="0.3">
      <c r="A67" s="880" t="s">
        <v>795</v>
      </c>
      <c r="B67" s="881"/>
      <c r="C67" s="881"/>
      <c r="D67" s="881"/>
      <c r="E67" s="882"/>
      <c r="F67" s="591">
        <v>0</v>
      </c>
      <c r="G67" s="591">
        <f t="shared" si="18"/>
        <v>0</v>
      </c>
      <c r="H67" s="591">
        <f t="shared" si="19"/>
        <v>0</v>
      </c>
    </row>
    <row r="68" spans="1:8" ht="15.75" thickBot="1" x14ac:dyDescent="0.3">
      <c r="A68" s="880" t="s">
        <v>796</v>
      </c>
      <c r="B68" s="881"/>
      <c r="C68" s="881"/>
      <c r="D68" s="881"/>
      <c r="E68" s="882"/>
      <c r="F68" s="591">
        <v>40000</v>
      </c>
      <c r="G68" s="591">
        <f t="shared" si="18"/>
        <v>10800</v>
      </c>
      <c r="H68" s="591">
        <f t="shared" si="19"/>
        <v>50800</v>
      </c>
    </row>
    <row r="69" spans="1:8" s="584" customFormat="1" ht="15.75" thickBot="1" x14ac:dyDescent="0.3">
      <c r="A69" s="880" t="s">
        <v>797</v>
      </c>
      <c r="B69" s="881"/>
      <c r="C69" s="881"/>
      <c r="D69" s="881"/>
      <c r="E69" s="882"/>
      <c r="F69" s="591">
        <v>0</v>
      </c>
      <c r="G69" s="591">
        <f t="shared" si="18"/>
        <v>0</v>
      </c>
      <c r="H69" s="591">
        <f t="shared" si="19"/>
        <v>0</v>
      </c>
    </row>
    <row r="70" spans="1:8" s="584" customFormat="1" ht="15.75" thickBot="1" x14ac:dyDescent="0.3">
      <c r="A70" s="880" t="s">
        <v>798</v>
      </c>
      <c r="B70" s="881"/>
      <c r="C70" s="881"/>
      <c r="D70" s="881"/>
      <c r="E70" s="882"/>
      <c r="F70" s="591">
        <v>20000</v>
      </c>
      <c r="G70" s="591">
        <f t="shared" si="18"/>
        <v>5400</v>
      </c>
      <c r="H70" s="591">
        <f t="shared" si="19"/>
        <v>25400</v>
      </c>
    </row>
    <row r="71" spans="1:8" s="584" customFormat="1" ht="15.75" thickBot="1" x14ac:dyDescent="0.3">
      <c r="A71" s="880" t="s">
        <v>799</v>
      </c>
      <c r="B71" s="881"/>
      <c r="C71" s="881"/>
      <c r="D71" s="881"/>
      <c r="E71" s="882"/>
      <c r="F71" s="591">
        <v>30000</v>
      </c>
      <c r="G71" s="591">
        <f t="shared" si="18"/>
        <v>8100.0000000000009</v>
      </c>
      <c r="H71" s="591">
        <f t="shared" si="19"/>
        <v>38100</v>
      </c>
    </row>
    <row r="72" spans="1:8" s="350" customFormat="1" ht="16.5" thickBot="1" x14ac:dyDescent="0.3">
      <c r="A72" s="874" t="s">
        <v>353</v>
      </c>
      <c r="B72" s="875"/>
      <c r="C72" s="875"/>
      <c r="D72" s="875"/>
      <c r="E72" s="876"/>
      <c r="F72" s="587">
        <f>SUM(F57:F71)</f>
        <v>190000</v>
      </c>
      <c r="G72" s="587">
        <f>SUM(G57:G71)</f>
        <v>51300</v>
      </c>
      <c r="H72" s="587">
        <f>SUM(H57:H71)</f>
        <v>241300</v>
      </c>
    </row>
    <row r="73" spans="1:8" s="350" customFormat="1" ht="16.5" thickBot="1" x14ac:dyDescent="0.3">
      <c r="A73" s="874" t="s">
        <v>354</v>
      </c>
      <c r="B73" s="875"/>
      <c r="C73" s="875"/>
      <c r="D73" s="875"/>
      <c r="E73" s="876"/>
      <c r="F73" s="587"/>
      <c r="G73" s="587">
        <f>G72+G55</f>
        <v>51300</v>
      </c>
      <c r="H73" s="587">
        <f>F73+G73</f>
        <v>51300</v>
      </c>
    </row>
    <row r="74" spans="1:8" s="350" customFormat="1" ht="15.75" thickBot="1" x14ac:dyDescent="0.3">
      <c r="A74" s="874" t="s">
        <v>800</v>
      </c>
      <c r="B74" s="875"/>
      <c r="C74" s="875"/>
      <c r="D74" s="875"/>
      <c r="E74" s="876"/>
      <c r="F74" s="590">
        <f t="shared" ref="F74:H74" si="20">F72+F56</f>
        <v>190000</v>
      </c>
      <c r="G74" s="590">
        <f t="shared" si="20"/>
        <v>51300</v>
      </c>
      <c r="H74" s="590">
        <f t="shared" si="20"/>
        <v>241300</v>
      </c>
    </row>
    <row r="75" spans="1:8" s="357" customFormat="1" ht="19.5" thickBot="1" x14ac:dyDescent="0.35">
      <c r="A75" s="877" t="s">
        <v>355</v>
      </c>
      <c r="B75" s="878"/>
      <c r="C75" s="878"/>
      <c r="D75" s="878"/>
      <c r="E75" s="879"/>
      <c r="F75" s="590">
        <f>F74+F53+F14</f>
        <v>32307948</v>
      </c>
      <c r="G75" s="590">
        <f>G72+G50</f>
        <v>993948.8</v>
      </c>
      <c r="H75" s="590">
        <f>F75+G75</f>
        <v>33301896.800000001</v>
      </c>
    </row>
  </sheetData>
  <mergeCells count="72">
    <mergeCell ref="A60:E60"/>
    <mergeCell ref="A57:E57"/>
    <mergeCell ref="A58:E58"/>
    <mergeCell ref="A59:E59"/>
    <mergeCell ref="A51:E51"/>
    <mergeCell ref="A52:E52"/>
    <mergeCell ref="A53:E53"/>
    <mergeCell ref="A54:E54"/>
    <mergeCell ref="A55:E55"/>
    <mergeCell ref="A56:E56"/>
    <mergeCell ref="A50:E50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25:E25"/>
    <mergeCell ref="A38:E38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20:E20"/>
    <mergeCell ref="A21:E21"/>
    <mergeCell ref="A22:E22"/>
    <mergeCell ref="A23:E23"/>
    <mergeCell ref="A24:E24"/>
    <mergeCell ref="A15:E15"/>
    <mergeCell ref="A16:E16"/>
    <mergeCell ref="A17:E17"/>
    <mergeCell ref="A18:E18"/>
    <mergeCell ref="A19:E19"/>
    <mergeCell ref="F4:H4"/>
    <mergeCell ref="A61:E61"/>
    <mergeCell ref="A62:E62"/>
    <mergeCell ref="A63:E63"/>
    <mergeCell ref="A64:E64"/>
    <mergeCell ref="A14:E1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26:E26"/>
    <mergeCell ref="A65:E65"/>
    <mergeCell ref="A66:E66"/>
    <mergeCell ref="A67:E67"/>
    <mergeCell ref="A68:E68"/>
    <mergeCell ref="A69:E69"/>
    <mergeCell ref="A75:E75"/>
    <mergeCell ref="A70:E70"/>
    <mergeCell ref="A71:E71"/>
    <mergeCell ref="A72:E72"/>
    <mergeCell ref="A73:E73"/>
    <mergeCell ref="A74:E7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97"/>
  <sheetViews>
    <sheetView workbookViewId="0">
      <selection activeCell="H8" sqref="H8"/>
    </sheetView>
  </sheetViews>
  <sheetFormatPr defaultRowHeight="15.75" x14ac:dyDescent="0.25"/>
  <cols>
    <col min="1" max="4" width="9.140625" style="586"/>
    <col min="5" max="5" width="19.85546875" style="586" customWidth="1"/>
    <col min="6" max="6" width="13.85546875" style="597" customWidth="1"/>
    <col min="7" max="7" width="11.85546875" style="597" customWidth="1"/>
    <col min="8" max="8" width="13.140625" style="597" customWidth="1"/>
    <col min="9" max="255" width="9.140625" style="586"/>
    <col min="256" max="256" width="16.5703125" style="586" customWidth="1"/>
    <col min="257" max="257" width="14.42578125" style="586" customWidth="1"/>
    <col min="258" max="258" width="10.42578125" style="586" bestFit="1" customWidth="1"/>
    <col min="259" max="259" width="15.85546875" style="586" bestFit="1" customWidth="1"/>
    <col min="260" max="260" width="14" style="586" bestFit="1" customWidth="1"/>
    <col min="261" max="511" width="9.140625" style="586"/>
    <col min="512" max="512" width="16.5703125" style="586" customWidth="1"/>
    <col min="513" max="513" width="14.42578125" style="586" customWidth="1"/>
    <col min="514" max="514" width="10.42578125" style="586" bestFit="1" customWidth="1"/>
    <col min="515" max="515" width="15.85546875" style="586" bestFit="1" customWidth="1"/>
    <col min="516" max="516" width="14" style="586" bestFit="1" customWidth="1"/>
    <col min="517" max="767" width="9.140625" style="586"/>
    <col min="768" max="768" width="16.5703125" style="586" customWidth="1"/>
    <col min="769" max="769" width="14.42578125" style="586" customWidth="1"/>
    <col min="770" max="770" width="10.42578125" style="586" bestFit="1" customWidth="1"/>
    <col min="771" max="771" width="15.85546875" style="586" bestFit="1" customWidth="1"/>
    <col min="772" max="772" width="14" style="586" bestFit="1" customWidth="1"/>
    <col min="773" max="1023" width="9.140625" style="586"/>
    <col min="1024" max="1024" width="16.5703125" style="586" customWidth="1"/>
    <col min="1025" max="1025" width="14.42578125" style="586" customWidth="1"/>
    <col min="1026" max="1026" width="10.42578125" style="586" bestFit="1" customWidth="1"/>
    <col min="1027" max="1027" width="15.85546875" style="586" bestFit="1" customWidth="1"/>
    <col min="1028" max="1028" width="14" style="586" bestFit="1" customWidth="1"/>
    <col min="1029" max="1279" width="9.140625" style="586"/>
    <col min="1280" max="1280" width="16.5703125" style="586" customWidth="1"/>
    <col min="1281" max="1281" width="14.42578125" style="586" customWidth="1"/>
    <col min="1282" max="1282" width="10.42578125" style="586" bestFit="1" customWidth="1"/>
    <col min="1283" max="1283" width="15.85546875" style="586" bestFit="1" customWidth="1"/>
    <col min="1284" max="1284" width="14" style="586" bestFit="1" customWidth="1"/>
    <col min="1285" max="1535" width="9.140625" style="586"/>
    <col min="1536" max="1536" width="16.5703125" style="586" customWidth="1"/>
    <col min="1537" max="1537" width="14.42578125" style="586" customWidth="1"/>
    <col min="1538" max="1538" width="10.42578125" style="586" bestFit="1" customWidth="1"/>
    <col min="1539" max="1539" width="15.85546875" style="586" bestFit="1" customWidth="1"/>
    <col min="1540" max="1540" width="14" style="586" bestFit="1" customWidth="1"/>
    <col min="1541" max="1791" width="9.140625" style="586"/>
    <col min="1792" max="1792" width="16.5703125" style="586" customWidth="1"/>
    <col min="1793" max="1793" width="14.42578125" style="586" customWidth="1"/>
    <col min="1794" max="1794" width="10.42578125" style="586" bestFit="1" customWidth="1"/>
    <col min="1795" max="1795" width="15.85546875" style="586" bestFit="1" customWidth="1"/>
    <col min="1796" max="1796" width="14" style="586" bestFit="1" customWidth="1"/>
    <col min="1797" max="2047" width="9.140625" style="586"/>
    <col min="2048" max="2048" width="16.5703125" style="586" customWidth="1"/>
    <col min="2049" max="2049" width="14.42578125" style="586" customWidth="1"/>
    <col min="2050" max="2050" width="10.42578125" style="586" bestFit="1" customWidth="1"/>
    <col min="2051" max="2051" width="15.85546875" style="586" bestFit="1" customWidth="1"/>
    <col min="2052" max="2052" width="14" style="586" bestFit="1" customWidth="1"/>
    <col min="2053" max="2303" width="9.140625" style="586"/>
    <col min="2304" max="2304" width="16.5703125" style="586" customWidth="1"/>
    <col min="2305" max="2305" width="14.42578125" style="586" customWidth="1"/>
    <col min="2306" max="2306" width="10.42578125" style="586" bestFit="1" customWidth="1"/>
    <col min="2307" max="2307" width="15.85546875" style="586" bestFit="1" customWidth="1"/>
    <col min="2308" max="2308" width="14" style="586" bestFit="1" customWidth="1"/>
    <col min="2309" max="2559" width="9.140625" style="586"/>
    <col min="2560" max="2560" width="16.5703125" style="586" customWidth="1"/>
    <col min="2561" max="2561" width="14.42578125" style="586" customWidth="1"/>
    <col min="2562" max="2562" width="10.42578125" style="586" bestFit="1" customWidth="1"/>
    <col min="2563" max="2563" width="15.85546875" style="586" bestFit="1" customWidth="1"/>
    <col min="2564" max="2564" width="14" style="586" bestFit="1" customWidth="1"/>
    <col min="2565" max="2815" width="9.140625" style="586"/>
    <col min="2816" max="2816" width="16.5703125" style="586" customWidth="1"/>
    <col min="2817" max="2817" width="14.42578125" style="586" customWidth="1"/>
    <col min="2818" max="2818" width="10.42578125" style="586" bestFit="1" customWidth="1"/>
    <col min="2819" max="2819" width="15.85546875" style="586" bestFit="1" customWidth="1"/>
    <col min="2820" max="2820" width="14" style="586" bestFit="1" customWidth="1"/>
    <col min="2821" max="3071" width="9.140625" style="586"/>
    <col min="3072" max="3072" width="16.5703125" style="586" customWidth="1"/>
    <col min="3073" max="3073" width="14.42578125" style="586" customWidth="1"/>
    <col min="3074" max="3074" width="10.42578125" style="586" bestFit="1" customWidth="1"/>
    <col min="3075" max="3075" width="15.85546875" style="586" bestFit="1" customWidth="1"/>
    <col min="3076" max="3076" width="14" style="586" bestFit="1" customWidth="1"/>
    <col min="3077" max="3327" width="9.140625" style="586"/>
    <col min="3328" max="3328" width="16.5703125" style="586" customWidth="1"/>
    <col min="3329" max="3329" width="14.42578125" style="586" customWidth="1"/>
    <col min="3330" max="3330" width="10.42578125" style="586" bestFit="1" customWidth="1"/>
    <col min="3331" max="3331" width="15.85546875" style="586" bestFit="1" customWidth="1"/>
    <col min="3332" max="3332" width="14" style="586" bestFit="1" customWidth="1"/>
    <col min="3333" max="3583" width="9.140625" style="586"/>
    <col min="3584" max="3584" width="16.5703125" style="586" customWidth="1"/>
    <col min="3585" max="3585" width="14.42578125" style="586" customWidth="1"/>
    <col min="3586" max="3586" width="10.42578125" style="586" bestFit="1" customWidth="1"/>
    <col min="3587" max="3587" width="15.85546875" style="586" bestFit="1" customWidth="1"/>
    <col min="3588" max="3588" width="14" style="586" bestFit="1" customWidth="1"/>
    <col min="3589" max="3839" width="9.140625" style="586"/>
    <col min="3840" max="3840" width="16.5703125" style="586" customWidth="1"/>
    <col min="3841" max="3841" width="14.42578125" style="586" customWidth="1"/>
    <col min="3842" max="3842" width="10.42578125" style="586" bestFit="1" customWidth="1"/>
    <col min="3843" max="3843" width="15.85546875" style="586" bestFit="1" customWidth="1"/>
    <col min="3844" max="3844" width="14" style="586" bestFit="1" customWidth="1"/>
    <col min="3845" max="4095" width="9.140625" style="586"/>
    <col min="4096" max="4096" width="16.5703125" style="586" customWidth="1"/>
    <col min="4097" max="4097" width="14.42578125" style="586" customWidth="1"/>
    <col min="4098" max="4098" width="10.42578125" style="586" bestFit="1" customWidth="1"/>
    <col min="4099" max="4099" width="15.85546875" style="586" bestFit="1" customWidth="1"/>
    <col min="4100" max="4100" width="14" style="586" bestFit="1" customWidth="1"/>
    <col min="4101" max="4351" width="9.140625" style="586"/>
    <col min="4352" max="4352" width="16.5703125" style="586" customWidth="1"/>
    <col min="4353" max="4353" width="14.42578125" style="586" customWidth="1"/>
    <col min="4354" max="4354" width="10.42578125" style="586" bestFit="1" customWidth="1"/>
    <col min="4355" max="4355" width="15.85546875" style="586" bestFit="1" customWidth="1"/>
    <col min="4356" max="4356" width="14" style="586" bestFit="1" customWidth="1"/>
    <col min="4357" max="4607" width="9.140625" style="586"/>
    <col min="4608" max="4608" width="16.5703125" style="586" customWidth="1"/>
    <col min="4609" max="4609" width="14.42578125" style="586" customWidth="1"/>
    <col min="4610" max="4610" width="10.42578125" style="586" bestFit="1" customWidth="1"/>
    <col min="4611" max="4611" width="15.85546875" style="586" bestFit="1" customWidth="1"/>
    <col min="4612" max="4612" width="14" style="586" bestFit="1" customWidth="1"/>
    <col min="4613" max="4863" width="9.140625" style="586"/>
    <col min="4864" max="4864" width="16.5703125" style="586" customWidth="1"/>
    <col min="4865" max="4865" width="14.42578125" style="586" customWidth="1"/>
    <col min="4866" max="4866" width="10.42578125" style="586" bestFit="1" customWidth="1"/>
    <col min="4867" max="4867" width="15.85546875" style="586" bestFit="1" customWidth="1"/>
    <col min="4868" max="4868" width="14" style="586" bestFit="1" customWidth="1"/>
    <col min="4869" max="5119" width="9.140625" style="586"/>
    <col min="5120" max="5120" width="16.5703125" style="586" customWidth="1"/>
    <col min="5121" max="5121" width="14.42578125" style="586" customWidth="1"/>
    <col min="5122" max="5122" width="10.42578125" style="586" bestFit="1" customWidth="1"/>
    <col min="5123" max="5123" width="15.85546875" style="586" bestFit="1" customWidth="1"/>
    <col min="5124" max="5124" width="14" style="586" bestFit="1" customWidth="1"/>
    <col min="5125" max="5375" width="9.140625" style="586"/>
    <col min="5376" max="5376" width="16.5703125" style="586" customWidth="1"/>
    <col min="5377" max="5377" width="14.42578125" style="586" customWidth="1"/>
    <col min="5378" max="5378" width="10.42578125" style="586" bestFit="1" customWidth="1"/>
    <col min="5379" max="5379" width="15.85546875" style="586" bestFit="1" customWidth="1"/>
    <col min="5380" max="5380" width="14" style="586" bestFit="1" customWidth="1"/>
    <col min="5381" max="5631" width="9.140625" style="586"/>
    <col min="5632" max="5632" width="16.5703125" style="586" customWidth="1"/>
    <col min="5633" max="5633" width="14.42578125" style="586" customWidth="1"/>
    <col min="5634" max="5634" width="10.42578125" style="586" bestFit="1" customWidth="1"/>
    <col min="5635" max="5635" width="15.85546875" style="586" bestFit="1" customWidth="1"/>
    <col min="5636" max="5636" width="14" style="586" bestFit="1" customWidth="1"/>
    <col min="5637" max="5887" width="9.140625" style="586"/>
    <col min="5888" max="5888" width="16.5703125" style="586" customWidth="1"/>
    <col min="5889" max="5889" width="14.42578125" style="586" customWidth="1"/>
    <col min="5890" max="5890" width="10.42578125" style="586" bestFit="1" customWidth="1"/>
    <col min="5891" max="5891" width="15.85546875" style="586" bestFit="1" customWidth="1"/>
    <col min="5892" max="5892" width="14" style="586" bestFit="1" customWidth="1"/>
    <col min="5893" max="6143" width="9.140625" style="586"/>
    <col min="6144" max="6144" width="16.5703125" style="586" customWidth="1"/>
    <col min="6145" max="6145" width="14.42578125" style="586" customWidth="1"/>
    <col min="6146" max="6146" width="10.42578125" style="586" bestFit="1" customWidth="1"/>
    <col min="6147" max="6147" width="15.85546875" style="586" bestFit="1" customWidth="1"/>
    <col min="6148" max="6148" width="14" style="586" bestFit="1" customWidth="1"/>
    <col min="6149" max="6399" width="9.140625" style="586"/>
    <col min="6400" max="6400" width="16.5703125" style="586" customWidth="1"/>
    <col min="6401" max="6401" width="14.42578125" style="586" customWidth="1"/>
    <col min="6402" max="6402" width="10.42578125" style="586" bestFit="1" customWidth="1"/>
    <col min="6403" max="6403" width="15.85546875" style="586" bestFit="1" customWidth="1"/>
    <col min="6404" max="6404" width="14" style="586" bestFit="1" customWidth="1"/>
    <col min="6405" max="6655" width="9.140625" style="586"/>
    <col min="6656" max="6656" width="16.5703125" style="586" customWidth="1"/>
    <col min="6657" max="6657" width="14.42578125" style="586" customWidth="1"/>
    <col min="6658" max="6658" width="10.42578125" style="586" bestFit="1" customWidth="1"/>
    <col min="6659" max="6659" width="15.85546875" style="586" bestFit="1" customWidth="1"/>
    <col min="6660" max="6660" width="14" style="586" bestFit="1" customWidth="1"/>
    <col min="6661" max="6911" width="9.140625" style="586"/>
    <col min="6912" max="6912" width="16.5703125" style="586" customWidth="1"/>
    <col min="6913" max="6913" width="14.42578125" style="586" customWidth="1"/>
    <col min="6914" max="6914" width="10.42578125" style="586" bestFit="1" customWidth="1"/>
    <col min="6915" max="6915" width="15.85546875" style="586" bestFit="1" customWidth="1"/>
    <col min="6916" max="6916" width="14" style="586" bestFit="1" customWidth="1"/>
    <col min="6917" max="7167" width="9.140625" style="586"/>
    <col min="7168" max="7168" width="16.5703125" style="586" customWidth="1"/>
    <col min="7169" max="7169" width="14.42578125" style="586" customWidth="1"/>
    <col min="7170" max="7170" width="10.42578125" style="586" bestFit="1" customWidth="1"/>
    <col min="7171" max="7171" width="15.85546875" style="586" bestFit="1" customWidth="1"/>
    <col min="7172" max="7172" width="14" style="586" bestFit="1" customWidth="1"/>
    <col min="7173" max="7423" width="9.140625" style="586"/>
    <col min="7424" max="7424" width="16.5703125" style="586" customWidth="1"/>
    <col min="7425" max="7425" width="14.42578125" style="586" customWidth="1"/>
    <col min="7426" max="7426" width="10.42578125" style="586" bestFit="1" customWidth="1"/>
    <col min="7427" max="7427" width="15.85546875" style="586" bestFit="1" customWidth="1"/>
    <col min="7428" max="7428" width="14" style="586" bestFit="1" customWidth="1"/>
    <col min="7429" max="7679" width="9.140625" style="586"/>
    <col min="7680" max="7680" width="16.5703125" style="586" customWidth="1"/>
    <col min="7681" max="7681" width="14.42578125" style="586" customWidth="1"/>
    <col min="7682" max="7682" width="10.42578125" style="586" bestFit="1" customWidth="1"/>
    <col min="7683" max="7683" width="15.85546875" style="586" bestFit="1" customWidth="1"/>
    <col min="7684" max="7684" width="14" style="586" bestFit="1" customWidth="1"/>
    <col min="7685" max="7935" width="9.140625" style="586"/>
    <col min="7936" max="7936" width="16.5703125" style="586" customWidth="1"/>
    <col min="7937" max="7937" width="14.42578125" style="586" customWidth="1"/>
    <col min="7938" max="7938" width="10.42578125" style="586" bestFit="1" customWidth="1"/>
    <col min="7939" max="7939" width="15.85546875" style="586" bestFit="1" customWidth="1"/>
    <col min="7940" max="7940" width="14" style="586" bestFit="1" customWidth="1"/>
    <col min="7941" max="8191" width="9.140625" style="586"/>
    <col min="8192" max="8192" width="16.5703125" style="586" customWidth="1"/>
    <col min="8193" max="8193" width="14.42578125" style="586" customWidth="1"/>
    <col min="8194" max="8194" width="10.42578125" style="586" bestFit="1" customWidth="1"/>
    <col min="8195" max="8195" width="15.85546875" style="586" bestFit="1" customWidth="1"/>
    <col min="8196" max="8196" width="14" style="586" bestFit="1" customWidth="1"/>
    <col min="8197" max="8447" width="9.140625" style="586"/>
    <col min="8448" max="8448" width="16.5703125" style="586" customWidth="1"/>
    <col min="8449" max="8449" width="14.42578125" style="586" customWidth="1"/>
    <col min="8450" max="8450" width="10.42578125" style="586" bestFit="1" customWidth="1"/>
    <col min="8451" max="8451" width="15.85546875" style="586" bestFit="1" customWidth="1"/>
    <col min="8452" max="8452" width="14" style="586" bestFit="1" customWidth="1"/>
    <col min="8453" max="8703" width="9.140625" style="586"/>
    <col min="8704" max="8704" width="16.5703125" style="586" customWidth="1"/>
    <col min="8705" max="8705" width="14.42578125" style="586" customWidth="1"/>
    <col min="8706" max="8706" width="10.42578125" style="586" bestFit="1" customWidth="1"/>
    <col min="8707" max="8707" width="15.85546875" style="586" bestFit="1" customWidth="1"/>
    <col min="8708" max="8708" width="14" style="586" bestFit="1" customWidth="1"/>
    <col min="8709" max="8959" width="9.140625" style="586"/>
    <col min="8960" max="8960" width="16.5703125" style="586" customWidth="1"/>
    <col min="8961" max="8961" width="14.42578125" style="586" customWidth="1"/>
    <col min="8962" max="8962" width="10.42578125" style="586" bestFit="1" customWidth="1"/>
    <col min="8963" max="8963" width="15.85546875" style="586" bestFit="1" customWidth="1"/>
    <col min="8964" max="8964" width="14" style="586" bestFit="1" customWidth="1"/>
    <col min="8965" max="9215" width="9.140625" style="586"/>
    <col min="9216" max="9216" width="16.5703125" style="586" customWidth="1"/>
    <col min="9217" max="9217" width="14.42578125" style="586" customWidth="1"/>
    <col min="9218" max="9218" width="10.42578125" style="586" bestFit="1" customWidth="1"/>
    <col min="9219" max="9219" width="15.85546875" style="586" bestFit="1" customWidth="1"/>
    <col min="9220" max="9220" width="14" style="586" bestFit="1" customWidth="1"/>
    <col min="9221" max="9471" width="9.140625" style="586"/>
    <col min="9472" max="9472" width="16.5703125" style="586" customWidth="1"/>
    <col min="9473" max="9473" width="14.42578125" style="586" customWidth="1"/>
    <col min="9474" max="9474" width="10.42578125" style="586" bestFit="1" customWidth="1"/>
    <col min="9475" max="9475" width="15.85546875" style="586" bestFit="1" customWidth="1"/>
    <col min="9476" max="9476" width="14" style="586" bestFit="1" customWidth="1"/>
    <col min="9477" max="9727" width="9.140625" style="586"/>
    <col min="9728" max="9728" width="16.5703125" style="586" customWidth="1"/>
    <col min="9729" max="9729" width="14.42578125" style="586" customWidth="1"/>
    <col min="9730" max="9730" width="10.42578125" style="586" bestFit="1" customWidth="1"/>
    <col min="9731" max="9731" width="15.85546875" style="586" bestFit="1" customWidth="1"/>
    <col min="9732" max="9732" width="14" style="586" bestFit="1" customWidth="1"/>
    <col min="9733" max="9983" width="9.140625" style="586"/>
    <col min="9984" max="9984" width="16.5703125" style="586" customWidth="1"/>
    <col min="9985" max="9985" width="14.42578125" style="586" customWidth="1"/>
    <col min="9986" max="9986" width="10.42578125" style="586" bestFit="1" customWidth="1"/>
    <col min="9987" max="9987" width="15.85546875" style="586" bestFit="1" customWidth="1"/>
    <col min="9988" max="9988" width="14" style="586" bestFit="1" customWidth="1"/>
    <col min="9989" max="10239" width="9.140625" style="586"/>
    <col min="10240" max="10240" width="16.5703125" style="586" customWidth="1"/>
    <col min="10241" max="10241" width="14.42578125" style="586" customWidth="1"/>
    <col min="10242" max="10242" width="10.42578125" style="586" bestFit="1" customWidth="1"/>
    <col min="10243" max="10243" width="15.85546875" style="586" bestFit="1" customWidth="1"/>
    <col min="10244" max="10244" width="14" style="586" bestFit="1" customWidth="1"/>
    <col min="10245" max="10495" width="9.140625" style="586"/>
    <col min="10496" max="10496" width="16.5703125" style="586" customWidth="1"/>
    <col min="10497" max="10497" width="14.42578125" style="586" customWidth="1"/>
    <col min="10498" max="10498" width="10.42578125" style="586" bestFit="1" customWidth="1"/>
    <col min="10499" max="10499" width="15.85546875" style="586" bestFit="1" customWidth="1"/>
    <col min="10500" max="10500" width="14" style="586" bestFit="1" customWidth="1"/>
    <col min="10501" max="10751" width="9.140625" style="586"/>
    <col min="10752" max="10752" width="16.5703125" style="586" customWidth="1"/>
    <col min="10753" max="10753" width="14.42578125" style="586" customWidth="1"/>
    <col min="10754" max="10754" width="10.42578125" style="586" bestFit="1" customWidth="1"/>
    <col min="10755" max="10755" width="15.85546875" style="586" bestFit="1" customWidth="1"/>
    <col min="10756" max="10756" width="14" style="586" bestFit="1" customWidth="1"/>
    <col min="10757" max="11007" width="9.140625" style="586"/>
    <col min="11008" max="11008" width="16.5703125" style="586" customWidth="1"/>
    <col min="11009" max="11009" width="14.42578125" style="586" customWidth="1"/>
    <col min="11010" max="11010" width="10.42578125" style="586" bestFit="1" customWidth="1"/>
    <col min="11011" max="11011" width="15.85546875" style="586" bestFit="1" customWidth="1"/>
    <col min="11012" max="11012" width="14" style="586" bestFit="1" customWidth="1"/>
    <col min="11013" max="11263" width="9.140625" style="586"/>
    <col min="11264" max="11264" width="16.5703125" style="586" customWidth="1"/>
    <col min="11265" max="11265" width="14.42578125" style="586" customWidth="1"/>
    <col min="11266" max="11266" width="10.42578125" style="586" bestFit="1" customWidth="1"/>
    <col min="11267" max="11267" width="15.85546875" style="586" bestFit="1" customWidth="1"/>
    <col min="11268" max="11268" width="14" style="586" bestFit="1" customWidth="1"/>
    <col min="11269" max="11519" width="9.140625" style="586"/>
    <col min="11520" max="11520" width="16.5703125" style="586" customWidth="1"/>
    <col min="11521" max="11521" width="14.42578125" style="586" customWidth="1"/>
    <col min="11522" max="11522" width="10.42578125" style="586" bestFit="1" customWidth="1"/>
    <col min="11523" max="11523" width="15.85546875" style="586" bestFit="1" customWidth="1"/>
    <col min="11524" max="11524" width="14" style="586" bestFit="1" customWidth="1"/>
    <col min="11525" max="11775" width="9.140625" style="586"/>
    <col min="11776" max="11776" width="16.5703125" style="586" customWidth="1"/>
    <col min="11777" max="11777" width="14.42578125" style="586" customWidth="1"/>
    <col min="11778" max="11778" width="10.42578125" style="586" bestFit="1" customWidth="1"/>
    <col min="11779" max="11779" width="15.85546875" style="586" bestFit="1" customWidth="1"/>
    <col min="11780" max="11780" width="14" style="586" bestFit="1" customWidth="1"/>
    <col min="11781" max="12031" width="9.140625" style="586"/>
    <col min="12032" max="12032" width="16.5703125" style="586" customWidth="1"/>
    <col min="12033" max="12033" width="14.42578125" style="586" customWidth="1"/>
    <col min="12034" max="12034" width="10.42578125" style="586" bestFit="1" customWidth="1"/>
    <col min="12035" max="12035" width="15.85546875" style="586" bestFit="1" customWidth="1"/>
    <col min="12036" max="12036" width="14" style="586" bestFit="1" customWidth="1"/>
    <col min="12037" max="12287" width="9.140625" style="586"/>
    <col min="12288" max="12288" width="16.5703125" style="586" customWidth="1"/>
    <col min="12289" max="12289" width="14.42578125" style="586" customWidth="1"/>
    <col min="12290" max="12290" width="10.42578125" style="586" bestFit="1" customWidth="1"/>
    <col min="12291" max="12291" width="15.85546875" style="586" bestFit="1" customWidth="1"/>
    <col min="12292" max="12292" width="14" style="586" bestFit="1" customWidth="1"/>
    <col min="12293" max="12543" width="9.140625" style="586"/>
    <col min="12544" max="12544" width="16.5703125" style="586" customWidth="1"/>
    <col min="12545" max="12545" width="14.42578125" style="586" customWidth="1"/>
    <col min="12546" max="12546" width="10.42578125" style="586" bestFit="1" customWidth="1"/>
    <col min="12547" max="12547" width="15.85546875" style="586" bestFit="1" customWidth="1"/>
    <col min="12548" max="12548" width="14" style="586" bestFit="1" customWidth="1"/>
    <col min="12549" max="12799" width="9.140625" style="586"/>
    <col min="12800" max="12800" width="16.5703125" style="586" customWidth="1"/>
    <col min="12801" max="12801" width="14.42578125" style="586" customWidth="1"/>
    <col min="12802" max="12802" width="10.42578125" style="586" bestFit="1" customWidth="1"/>
    <col min="12803" max="12803" width="15.85546875" style="586" bestFit="1" customWidth="1"/>
    <col min="12804" max="12804" width="14" style="586" bestFit="1" customWidth="1"/>
    <col min="12805" max="13055" width="9.140625" style="586"/>
    <col min="13056" max="13056" width="16.5703125" style="586" customWidth="1"/>
    <col min="13057" max="13057" width="14.42578125" style="586" customWidth="1"/>
    <col min="13058" max="13058" width="10.42578125" style="586" bestFit="1" customWidth="1"/>
    <col min="13059" max="13059" width="15.85546875" style="586" bestFit="1" customWidth="1"/>
    <col min="13060" max="13060" width="14" style="586" bestFit="1" customWidth="1"/>
    <col min="13061" max="13311" width="9.140625" style="586"/>
    <col min="13312" max="13312" width="16.5703125" style="586" customWidth="1"/>
    <col min="13313" max="13313" width="14.42578125" style="586" customWidth="1"/>
    <col min="13314" max="13314" width="10.42578125" style="586" bestFit="1" customWidth="1"/>
    <col min="13315" max="13315" width="15.85546875" style="586" bestFit="1" customWidth="1"/>
    <col min="13316" max="13316" width="14" style="586" bestFit="1" customWidth="1"/>
    <col min="13317" max="13567" width="9.140625" style="586"/>
    <col min="13568" max="13568" width="16.5703125" style="586" customWidth="1"/>
    <col min="13569" max="13569" width="14.42578125" style="586" customWidth="1"/>
    <col min="13570" max="13570" width="10.42578125" style="586" bestFit="1" customWidth="1"/>
    <col min="13571" max="13571" width="15.85546875" style="586" bestFit="1" customWidth="1"/>
    <col min="13572" max="13572" width="14" style="586" bestFit="1" customWidth="1"/>
    <col min="13573" max="13823" width="9.140625" style="586"/>
    <col min="13824" max="13824" width="16.5703125" style="586" customWidth="1"/>
    <col min="13825" max="13825" width="14.42578125" style="586" customWidth="1"/>
    <col min="13826" max="13826" width="10.42578125" style="586" bestFit="1" customWidth="1"/>
    <col min="13827" max="13827" width="15.85546875" style="586" bestFit="1" customWidth="1"/>
    <col min="13828" max="13828" width="14" style="586" bestFit="1" customWidth="1"/>
    <col min="13829" max="14079" width="9.140625" style="586"/>
    <col min="14080" max="14080" width="16.5703125" style="586" customWidth="1"/>
    <col min="14081" max="14081" width="14.42578125" style="586" customWidth="1"/>
    <col min="14082" max="14082" width="10.42578125" style="586" bestFit="1" customWidth="1"/>
    <col min="14083" max="14083" width="15.85546875" style="586" bestFit="1" customWidth="1"/>
    <col min="14084" max="14084" width="14" style="586" bestFit="1" customWidth="1"/>
    <col min="14085" max="14335" width="9.140625" style="586"/>
    <col min="14336" max="14336" width="16.5703125" style="586" customWidth="1"/>
    <col min="14337" max="14337" width="14.42578125" style="586" customWidth="1"/>
    <col min="14338" max="14338" width="10.42578125" style="586" bestFit="1" customWidth="1"/>
    <col min="14339" max="14339" width="15.85546875" style="586" bestFit="1" customWidth="1"/>
    <col min="14340" max="14340" width="14" style="586" bestFit="1" customWidth="1"/>
    <col min="14341" max="14591" width="9.140625" style="586"/>
    <col min="14592" max="14592" width="16.5703125" style="586" customWidth="1"/>
    <col min="14593" max="14593" width="14.42578125" style="586" customWidth="1"/>
    <col min="14594" max="14594" width="10.42578125" style="586" bestFit="1" customWidth="1"/>
    <col min="14595" max="14595" width="15.85546875" style="586" bestFit="1" customWidth="1"/>
    <col min="14596" max="14596" width="14" style="586" bestFit="1" customWidth="1"/>
    <col min="14597" max="14847" width="9.140625" style="586"/>
    <col min="14848" max="14848" width="16.5703125" style="586" customWidth="1"/>
    <col min="14849" max="14849" width="14.42578125" style="586" customWidth="1"/>
    <col min="14850" max="14850" width="10.42578125" style="586" bestFit="1" customWidth="1"/>
    <col min="14851" max="14851" width="15.85546875" style="586" bestFit="1" customWidth="1"/>
    <col min="14852" max="14852" width="14" style="586" bestFit="1" customWidth="1"/>
    <col min="14853" max="15103" width="9.140625" style="586"/>
    <col min="15104" max="15104" width="16.5703125" style="586" customWidth="1"/>
    <col min="15105" max="15105" width="14.42578125" style="586" customWidth="1"/>
    <col min="15106" max="15106" width="10.42578125" style="586" bestFit="1" customWidth="1"/>
    <col min="15107" max="15107" width="15.85546875" style="586" bestFit="1" customWidth="1"/>
    <col min="15108" max="15108" width="14" style="586" bestFit="1" customWidth="1"/>
    <col min="15109" max="15359" width="9.140625" style="586"/>
    <col min="15360" max="15360" width="16.5703125" style="586" customWidth="1"/>
    <col min="15361" max="15361" width="14.42578125" style="586" customWidth="1"/>
    <col min="15362" max="15362" width="10.42578125" style="586" bestFit="1" customWidth="1"/>
    <col min="15363" max="15363" width="15.85546875" style="586" bestFit="1" customWidth="1"/>
    <col min="15364" max="15364" width="14" style="586" bestFit="1" customWidth="1"/>
    <col min="15365" max="15615" width="9.140625" style="586"/>
    <col min="15616" max="15616" width="16.5703125" style="586" customWidth="1"/>
    <col min="15617" max="15617" width="14.42578125" style="586" customWidth="1"/>
    <col min="15618" max="15618" width="10.42578125" style="586" bestFit="1" customWidth="1"/>
    <col min="15619" max="15619" width="15.85546875" style="586" bestFit="1" customWidth="1"/>
    <col min="15620" max="15620" width="14" style="586" bestFit="1" customWidth="1"/>
    <col min="15621" max="15871" width="9.140625" style="586"/>
    <col min="15872" max="15872" width="16.5703125" style="586" customWidth="1"/>
    <col min="15873" max="15873" width="14.42578125" style="586" customWidth="1"/>
    <col min="15874" max="15874" width="10.42578125" style="586" bestFit="1" customWidth="1"/>
    <col min="15875" max="15875" width="15.85546875" style="586" bestFit="1" customWidth="1"/>
    <col min="15876" max="15876" width="14" style="586" bestFit="1" customWidth="1"/>
    <col min="15877" max="16127" width="9.140625" style="586"/>
    <col min="16128" max="16128" width="16.5703125" style="586" customWidth="1"/>
    <col min="16129" max="16129" width="14.42578125" style="586" customWidth="1"/>
    <col min="16130" max="16130" width="10.42578125" style="586" bestFit="1" customWidth="1"/>
    <col min="16131" max="16131" width="15.85546875" style="586" bestFit="1" customWidth="1"/>
    <col min="16132" max="16132" width="14" style="586" bestFit="1" customWidth="1"/>
    <col min="16133" max="16384" width="9.140625" style="586"/>
  </cols>
  <sheetData>
    <row r="1" spans="1:8" x14ac:dyDescent="0.25">
      <c r="H1" s="598" t="s">
        <v>837</v>
      </c>
    </row>
    <row r="2" spans="1:8" ht="18.75" x14ac:dyDescent="0.3">
      <c r="B2" s="592" t="s">
        <v>803</v>
      </c>
      <c r="C2" s="592"/>
      <c r="D2" s="592"/>
      <c r="E2" s="592"/>
    </row>
    <row r="3" spans="1:8" ht="19.5" thickBot="1" x14ac:dyDescent="0.35">
      <c r="D3" s="588"/>
      <c r="E3" s="588"/>
    </row>
    <row r="4" spans="1:8" ht="16.5" thickBot="1" x14ac:dyDescent="0.3">
      <c r="A4" s="498"/>
      <c r="B4" s="498"/>
      <c r="C4" s="498"/>
      <c r="D4" s="498"/>
      <c r="E4" s="498"/>
      <c r="F4" s="931" t="s">
        <v>925</v>
      </c>
      <c r="G4" s="932"/>
      <c r="H4" s="933"/>
    </row>
    <row r="5" spans="1:8" thickBot="1" x14ac:dyDescent="0.3">
      <c r="A5" s="919" t="s">
        <v>7</v>
      </c>
      <c r="B5" s="920"/>
      <c r="C5" s="920"/>
      <c r="D5" s="920"/>
      <c r="E5" s="921"/>
      <c r="F5" s="599" t="s">
        <v>309</v>
      </c>
      <c r="G5" s="599" t="s">
        <v>310</v>
      </c>
      <c r="H5" s="600" t="s">
        <v>184</v>
      </c>
    </row>
    <row r="6" spans="1:8" thickBot="1" x14ac:dyDescent="0.3">
      <c r="A6" s="916" t="s">
        <v>311</v>
      </c>
      <c r="B6" s="917"/>
      <c r="C6" s="917"/>
      <c r="D6" s="917"/>
      <c r="E6" s="918"/>
      <c r="F6" s="595">
        <v>2677600</v>
      </c>
      <c r="G6" s="595">
        <v>0</v>
      </c>
      <c r="H6" s="595">
        <f>G6+F6</f>
        <v>2677600</v>
      </c>
    </row>
    <row r="7" spans="1:8" thickBot="1" x14ac:dyDescent="0.3">
      <c r="A7" s="916" t="s">
        <v>312</v>
      </c>
      <c r="B7" s="917"/>
      <c r="C7" s="917"/>
      <c r="D7" s="917"/>
      <c r="E7" s="918"/>
      <c r="F7" s="595">
        <v>100000</v>
      </c>
      <c r="G7" s="595">
        <v>0</v>
      </c>
      <c r="H7" s="595">
        <f>G7+F7</f>
        <v>100000</v>
      </c>
    </row>
    <row r="8" spans="1:8" thickBot="1" x14ac:dyDescent="0.3">
      <c r="A8" s="916" t="s">
        <v>313</v>
      </c>
      <c r="B8" s="917"/>
      <c r="C8" s="917"/>
      <c r="D8" s="917"/>
      <c r="E8" s="918"/>
      <c r="F8" s="595">
        <v>96000</v>
      </c>
      <c r="G8" s="595">
        <v>0</v>
      </c>
      <c r="H8" s="595">
        <f>G8+F8</f>
        <v>96000</v>
      </c>
    </row>
    <row r="9" spans="1:8" thickBot="1" x14ac:dyDescent="0.3">
      <c r="A9" s="916" t="s">
        <v>625</v>
      </c>
      <c r="B9" s="917"/>
      <c r="C9" s="917"/>
      <c r="D9" s="917"/>
      <c r="E9" s="918"/>
      <c r="F9" s="595">
        <v>50000</v>
      </c>
      <c r="G9" s="595">
        <v>0</v>
      </c>
      <c r="H9" s="595">
        <f t="shared" ref="H9:H14" si="0">F9+G9</f>
        <v>50000</v>
      </c>
    </row>
    <row r="10" spans="1:8" thickBot="1" x14ac:dyDescent="0.3">
      <c r="A10" s="797" t="s">
        <v>626</v>
      </c>
      <c r="B10" s="798"/>
      <c r="C10" s="798"/>
      <c r="D10" s="798"/>
      <c r="E10" s="799"/>
      <c r="F10" s="595">
        <v>0</v>
      </c>
      <c r="G10" s="595"/>
      <c r="H10" s="595">
        <f t="shared" si="0"/>
        <v>0</v>
      </c>
    </row>
    <row r="11" spans="1:8" thickBot="1" x14ac:dyDescent="0.3">
      <c r="A11" s="797" t="s">
        <v>316</v>
      </c>
      <c r="B11" s="798"/>
      <c r="C11" s="798"/>
      <c r="D11" s="798"/>
      <c r="E11" s="799"/>
      <c r="F11" s="595">
        <v>80000</v>
      </c>
      <c r="G11" s="595">
        <v>0</v>
      </c>
      <c r="H11" s="595">
        <f t="shared" si="0"/>
        <v>80000</v>
      </c>
    </row>
    <row r="12" spans="1:8" thickBot="1" x14ac:dyDescent="0.3">
      <c r="A12" s="797" t="s">
        <v>317</v>
      </c>
      <c r="B12" s="798"/>
      <c r="C12" s="798"/>
      <c r="D12" s="798"/>
      <c r="E12" s="799"/>
      <c r="F12" s="595">
        <v>60000</v>
      </c>
      <c r="G12" s="595">
        <v>0</v>
      </c>
      <c r="H12" s="595">
        <f t="shared" si="0"/>
        <v>60000</v>
      </c>
    </row>
    <row r="13" spans="1:8" thickBot="1" x14ac:dyDescent="0.3">
      <c r="A13" s="797" t="s">
        <v>804</v>
      </c>
      <c r="B13" s="798"/>
      <c r="C13" s="798"/>
      <c r="D13" s="798"/>
      <c r="E13" s="799"/>
      <c r="F13" s="595">
        <v>60000</v>
      </c>
      <c r="G13" s="595">
        <v>0</v>
      </c>
      <c r="H13" s="595">
        <f t="shared" si="0"/>
        <v>60000</v>
      </c>
    </row>
    <row r="14" spans="1:8" thickBot="1" x14ac:dyDescent="0.3">
      <c r="A14" s="797" t="s">
        <v>497</v>
      </c>
      <c r="B14" s="798"/>
      <c r="C14" s="798"/>
      <c r="D14" s="798"/>
      <c r="E14" s="799"/>
      <c r="F14" s="595">
        <v>755000</v>
      </c>
      <c r="G14" s="595">
        <v>0</v>
      </c>
      <c r="H14" s="595">
        <f t="shared" si="0"/>
        <v>755000</v>
      </c>
    </row>
    <row r="15" spans="1:8" s="593" customFormat="1" thickBot="1" x14ac:dyDescent="0.3">
      <c r="A15" s="919" t="s">
        <v>318</v>
      </c>
      <c r="B15" s="920"/>
      <c r="C15" s="920"/>
      <c r="D15" s="920"/>
      <c r="E15" s="921"/>
      <c r="F15" s="516">
        <f t="shared" ref="F15:H15" si="1">F10+F11+F12+F13+F14</f>
        <v>955000</v>
      </c>
      <c r="G15" s="516">
        <f t="shared" si="1"/>
        <v>0</v>
      </c>
      <c r="H15" s="516">
        <f t="shared" si="1"/>
        <v>955000</v>
      </c>
    </row>
    <row r="16" spans="1:8" s="601" customFormat="1" ht="16.5" thickBot="1" x14ac:dyDescent="0.3">
      <c r="A16" s="922" t="s">
        <v>319</v>
      </c>
      <c r="B16" s="923"/>
      <c r="C16" s="923"/>
      <c r="D16" s="923"/>
      <c r="E16" s="924"/>
      <c r="F16" s="516">
        <f t="shared" ref="F16:H16" si="2">F15+F6+F7+F8+F9</f>
        <v>3878600</v>
      </c>
      <c r="G16" s="516">
        <f t="shared" si="2"/>
        <v>0</v>
      </c>
      <c r="H16" s="516">
        <f t="shared" si="2"/>
        <v>3878600</v>
      </c>
    </row>
    <row r="17" spans="1:8" s="601" customFormat="1" ht="30" customHeight="1" thickBot="1" x14ac:dyDescent="0.3">
      <c r="A17" s="925" t="s">
        <v>320</v>
      </c>
      <c r="B17" s="926"/>
      <c r="C17" s="926"/>
      <c r="D17" s="926"/>
      <c r="E17" s="927"/>
      <c r="F17" s="516">
        <f>811766+202650</f>
        <v>1014416</v>
      </c>
      <c r="G17" s="516">
        <v>0</v>
      </c>
      <c r="H17" s="516">
        <f>811766+202650</f>
        <v>1014416</v>
      </c>
    </row>
    <row r="18" spans="1:8" s="601" customFormat="1" ht="42.75" customHeight="1" thickBot="1" x14ac:dyDescent="0.3">
      <c r="A18" s="925" t="s">
        <v>627</v>
      </c>
      <c r="B18" s="926"/>
      <c r="C18" s="926"/>
      <c r="D18" s="926"/>
      <c r="E18" s="927"/>
      <c r="F18" s="516">
        <f t="shared" ref="F18:H18" si="3">F16+F17</f>
        <v>4893016</v>
      </c>
      <c r="G18" s="516">
        <f t="shared" si="3"/>
        <v>0</v>
      </c>
      <c r="H18" s="516">
        <f t="shared" si="3"/>
        <v>4893016</v>
      </c>
    </row>
    <row r="19" spans="1:8" thickBot="1" x14ac:dyDescent="0.3">
      <c r="A19" s="916" t="s">
        <v>356</v>
      </c>
      <c r="B19" s="917"/>
      <c r="C19" s="917"/>
      <c r="D19" s="917"/>
      <c r="E19" s="918"/>
      <c r="F19" s="595">
        <v>500000</v>
      </c>
      <c r="G19" s="595">
        <f>F19*5%</f>
        <v>25000</v>
      </c>
      <c r="H19" s="595">
        <f>F19+G19</f>
        <v>525000</v>
      </c>
    </row>
    <row r="20" spans="1:8" thickBot="1" x14ac:dyDescent="0.3">
      <c r="A20" s="916" t="s">
        <v>805</v>
      </c>
      <c r="B20" s="917"/>
      <c r="C20" s="917"/>
      <c r="D20" s="917"/>
      <c r="E20" s="918"/>
      <c r="F20" s="595">
        <v>20000</v>
      </c>
      <c r="G20" s="595">
        <f>F20*27%</f>
        <v>5400</v>
      </c>
      <c r="H20" s="595">
        <f>F20+G20</f>
        <v>25400</v>
      </c>
    </row>
    <row r="21" spans="1:8" thickBot="1" x14ac:dyDescent="0.3">
      <c r="A21" s="922" t="s">
        <v>323</v>
      </c>
      <c r="B21" s="923"/>
      <c r="C21" s="923"/>
      <c r="D21" s="923"/>
      <c r="E21" s="924"/>
      <c r="F21" s="516">
        <f t="shared" ref="F21:H21" si="4">F19+F20</f>
        <v>520000</v>
      </c>
      <c r="G21" s="516">
        <f t="shared" si="4"/>
        <v>30400</v>
      </c>
      <c r="H21" s="516">
        <f t="shared" si="4"/>
        <v>550400</v>
      </c>
    </row>
    <row r="22" spans="1:8" thickBot="1" x14ac:dyDescent="0.3">
      <c r="A22" s="916" t="s">
        <v>806</v>
      </c>
      <c r="B22" s="917"/>
      <c r="C22" s="917"/>
      <c r="D22" s="917"/>
      <c r="E22" s="918"/>
      <c r="F22" s="516">
        <v>130000</v>
      </c>
      <c r="G22" s="595">
        <f>F22*27%</f>
        <v>35100</v>
      </c>
      <c r="H22" s="516">
        <f>F22+G22</f>
        <v>165100</v>
      </c>
    </row>
    <row r="23" spans="1:8" thickBot="1" x14ac:dyDescent="0.3">
      <c r="A23" s="916" t="s">
        <v>629</v>
      </c>
      <c r="B23" s="917"/>
      <c r="C23" s="917"/>
      <c r="D23" s="917"/>
      <c r="E23" s="918"/>
      <c r="F23" s="595">
        <v>150000</v>
      </c>
      <c r="G23" s="595">
        <f t="shared" ref="G23:G34" si="5">F23*27%</f>
        <v>40500</v>
      </c>
      <c r="H23" s="595">
        <f t="shared" ref="H23:H33" si="6">F23+G23</f>
        <v>190500</v>
      </c>
    </row>
    <row r="24" spans="1:8" thickBot="1" x14ac:dyDescent="0.3">
      <c r="A24" s="916" t="s">
        <v>630</v>
      </c>
      <c r="B24" s="917"/>
      <c r="C24" s="917"/>
      <c r="D24" s="917"/>
      <c r="E24" s="918"/>
      <c r="F24" s="595">
        <v>80000</v>
      </c>
      <c r="G24" s="595">
        <f t="shared" si="5"/>
        <v>21600</v>
      </c>
      <c r="H24" s="595">
        <f t="shared" si="6"/>
        <v>101600</v>
      </c>
    </row>
    <row r="25" spans="1:8" thickBot="1" x14ac:dyDescent="0.3">
      <c r="A25" s="797" t="s">
        <v>631</v>
      </c>
      <c r="B25" s="798"/>
      <c r="C25" s="798"/>
      <c r="D25" s="798"/>
      <c r="E25" s="799"/>
      <c r="F25" s="595">
        <v>250000</v>
      </c>
      <c r="G25" s="595">
        <f t="shared" si="5"/>
        <v>67500</v>
      </c>
      <c r="H25" s="595">
        <f t="shared" si="6"/>
        <v>317500</v>
      </c>
    </row>
    <row r="26" spans="1:8" thickBot="1" x14ac:dyDescent="0.3">
      <c r="A26" s="797" t="s">
        <v>327</v>
      </c>
      <c r="B26" s="798"/>
      <c r="C26" s="798"/>
      <c r="D26" s="798"/>
      <c r="E26" s="799"/>
      <c r="F26" s="595">
        <v>0</v>
      </c>
      <c r="G26" s="595">
        <f t="shared" si="5"/>
        <v>0</v>
      </c>
      <c r="H26" s="595">
        <f t="shared" si="6"/>
        <v>0</v>
      </c>
    </row>
    <row r="27" spans="1:8" thickBot="1" x14ac:dyDescent="0.3">
      <c r="A27" s="797" t="s">
        <v>655</v>
      </c>
      <c r="B27" s="798"/>
      <c r="C27" s="798"/>
      <c r="D27" s="798"/>
      <c r="E27" s="799"/>
      <c r="F27" s="595">
        <v>0</v>
      </c>
      <c r="G27" s="595">
        <f t="shared" si="5"/>
        <v>0</v>
      </c>
      <c r="H27" s="595">
        <f t="shared" si="6"/>
        <v>0</v>
      </c>
    </row>
    <row r="28" spans="1:8" thickBot="1" x14ac:dyDescent="0.3">
      <c r="A28" s="797" t="s">
        <v>633</v>
      </c>
      <c r="B28" s="798"/>
      <c r="C28" s="798"/>
      <c r="D28" s="798"/>
      <c r="E28" s="799"/>
      <c r="F28" s="595">
        <v>25000</v>
      </c>
      <c r="G28" s="595">
        <f t="shared" si="5"/>
        <v>6750</v>
      </c>
      <c r="H28" s="595">
        <f t="shared" si="6"/>
        <v>31750</v>
      </c>
    </row>
    <row r="29" spans="1:8" thickBot="1" x14ac:dyDescent="0.3">
      <c r="A29" s="797" t="s">
        <v>634</v>
      </c>
      <c r="B29" s="798"/>
      <c r="C29" s="798"/>
      <c r="D29" s="798"/>
      <c r="E29" s="799"/>
      <c r="F29" s="595">
        <v>10000</v>
      </c>
      <c r="G29" s="595">
        <f t="shared" si="5"/>
        <v>2700</v>
      </c>
      <c r="H29" s="595">
        <f t="shared" si="6"/>
        <v>12700</v>
      </c>
    </row>
    <row r="30" spans="1:8" thickBot="1" x14ac:dyDescent="0.3">
      <c r="A30" s="797" t="s">
        <v>635</v>
      </c>
      <c r="B30" s="798"/>
      <c r="C30" s="798"/>
      <c r="D30" s="798"/>
      <c r="E30" s="799"/>
      <c r="F30" s="595">
        <v>30000</v>
      </c>
      <c r="G30" s="595">
        <f t="shared" si="5"/>
        <v>8100.0000000000009</v>
      </c>
      <c r="H30" s="595">
        <f t="shared" si="6"/>
        <v>38100</v>
      </c>
    </row>
    <row r="31" spans="1:8" thickBot="1" x14ac:dyDescent="0.3">
      <c r="A31" s="797" t="s">
        <v>807</v>
      </c>
      <c r="B31" s="798"/>
      <c r="C31" s="798"/>
      <c r="D31" s="798"/>
      <c r="E31" s="799"/>
      <c r="F31" s="595">
        <v>50000</v>
      </c>
      <c r="G31" s="595">
        <f t="shared" si="5"/>
        <v>13500</v>
      </c>
      <c r="H31" s="595">
        <f t="shared" si="6"/>
        <v>63500</v>
      </c>
    </row>
    <row r="32" spans="1:8" thickBot="1" x14ac:dyDescent="0.3">
      <c r="A32" s="797" t="s">
        <v>808</v>
      </c>
      <c r="B32" s="798"/>
      <c r="C32" s="798"/>
      <c r="D32" s="798"/>
      <c r="E32" s="799"/>
      <c r="F32" s="595">
        <v>120000</v>
      </c>
      <c r="G32" s="595">
        <f t="shared" si="5"/>
        <v>32400.000000000004</v>
      </c>
      <c r="H32" s="595">
        <f t="shared" si="6"/>
        <v>152400</v>
      </c>
    </row>
    <row r="33" spans="1:8" thickBot="1" x14ac:dyDescent="0.3">
      <c r="A33" s="797" t="s">
        <v>809</v>
      </c>
      <c r="B33" s="798"/>
      <c r="C33" s="798"/>
      <c r="D33" s="798"/>
      <c r="E33" s="799"/>
      <c r="F33" s="595">
        <v>40000</v>
      </c>
      <c r="G33" s="595">
        <f t="shared" si="5"/>
        <v>10800</v>
      </c>
      <c r="H33" s="595">
        <f t="shared" si="6"/>
        <v>50800</v>
      </c>
    </row>
    <row r="34" spans="1:8" ht="62.25" customHeight="1" thickBot="1" x14ac:dyDescent="0.3">
      <c r="A34" s="928" t="s">
        <v>636</v>
      </c>
      <c r="B34" s="929"/>
      <c r="C34" s="929"/>
      <c r="D34" s="929"/>
      <c r="E34" s="930"/>
      <c r="F34" s="595">
        <f>15000+10000+20000+40000+50000+15000+15000+15000+10000+15000+20000+20000+15000+30000</f>
        <v>290000</v>
      </c>
      <c r="G34" s="595">
        <f t="shared" si="5"/>
        <v>78300</v>
      </c>
      <c r="H34" s="595">
        <f>F34+G34</f>
        <v>368300</v>
      </c>
    </row>
    <row r="35" spans="1:8" s="596" customFormat="1" ht="31.5" customHeight="1" thickBot="1" x14ac:dyDescent="0.3">
      <c r="A35" s="928" t="s">
        <v>810</v>
      </c>
      <c r="B35" s="929"/>
      <c r="C35" s="929"/>
      <c r="D35" s="929"/>
      <c r="E35" s="930"/>
      <c r="F35" s="595">
        <v>0</v>
      </c>
      <c r="G35" s="595">
        <v>0</v>
      </c>
      <c r="H35" s="595">
        <f>F35+G35</f>
        <v>0</v>
      </c>
    </row>
    <row r="36" spans="1:8" s="596" customFormat="1" ht="31.5" customHeight="1" thickBot="1" x14ac:dyDescent="0.3">
      <c r="A36" s="928" t="s">
        <v>811</v>
      </c>
      <c r="B36" s="929"/>
      <c r="C36" s="929"/>
      <c r="D36" s="929"/>
      <c r="E36" s="930"/>
      <c r="F36" s="595">
        <v>0</v>
      </c>
      <c r="G36" s="595">
        <v>0</v>
      </c>
      <c r="H36" s="595">
        <f>F36+G36</f>
        <v>0</v>
      </c>
    </row>
    <row r="37" spans="1:8" s="596" customFormat="1" ht="41.25" customHeight="1" thickBot="1" x14ac:dyDescent="0.3">
      <c r="A37" s="928" t="s">
        <v>812</v>
      </c>
      <c r="B37" s="929"/>
      <c r="C37" s="929"/>
      <c r="D37" s="929"/>
      <c r="E37" s="930"/>
      <c r="F37" s="595">
        <v>0</v>
      </c>
      <c r="G37" s="595">
        <v>0</v>
      </c>
      <c r="H37" s="595">
        <f>F37+G37</f>
        <v>0</v>
      </c>
    </row>
    <row r="38" spans="1:8" thickBot="1" x14ac:dyDescent="0.3">
      <c r="A38" s="922" t="s">
        <v>328</v>
      </c>
      <c r="B38" s="923"/>
      <c r="C38" s="923"/>
      <c r="D38" s="923"/>
      <c r="E38" s="924"/>
      <c r="F38" s="516">
        <f t="shared" ref="F38:H38" si="7">SUM(F22:F37)</f>
        <v>1175000</v>
      </c>
      <c r="G38" s="516">
        <f t="shared" si="7"/>
        <v>317250</v>
      </c>
      <c r="H38" s="516">
        <f t="shared" si="7"/>
        <v>1492250</v>
      </c>
    </row>
    <row r="39" spans="1:8" thickBot="1" x14ac:dyDescent="0.3">
      <c r="A39" s="922" t="s">
        <v>329</v>
      </c>
      <c r="B39" s="923"/>
      <c r="C39" s="923"/>
      <c r="D39" s="923"/>
      <c r="E39" s="924"/>
      <c r="F39" s="516">
        <f t="shared" ref="F39:H39" si="8">F21+F38</f>
        <v>1695000</v>
      </c>
      <c r="G39" s="516">
        <f t="shared" si="8"/>
        <v>347650</v>
      </c>
      <c r="H39" s="516">
        <f t="shared" si="8"/>
        <v>2042650</v>
      </c>
    </row>
    <row r="40" spans="1:8" thickBot="1" x14ac:dyDescent="0.3">
      <c r="A40" s="916" t="s">
        <v>330</v>
      </c>
      <c r="B40" s="917"/>
      <c r="C40" s="917"/>
      <c r="D40" s="917"/>
      <c r="E40" s="918"/>
      <c r="F40" s="595">
        <v>70000</v>
      </c>
      <c r="G40" s="595">
        <f>F40*5%</f>
        <v>3500</v>
      </c>
      <c r="H40" s="595">
        <f>F40+G40</f>
        <v>73500</v>
      </c>
    </row>
    <row r="41" spans="1:8" s="593" customFormat="1" thickBot="1" x14ac:dyDescent="0.3">
      <c r="A41" s="922" t="s">
        <v>331</v>
      </c>
      <c r="B41" s="923"/>
      <c r="C41" s="923"/>
      <c r="D41" s="923"/>
      <c r="E41" s="924"/>
      <c r="F41" s="516">
        <f t="shared" ref="F41:H41" si="9">F40</f>
        <v>70000</v>
      </c>
      <c r="G41" s="516">
        <f t="shared" si="9"/>
        <v>3500</v>
      </c>
      <c r="H41" s="516">
        <f t="shared" si="9"/>
        <v>73500</v>
      </c>
    </row>
    <row r="42" spans="1:8" thickBot="1" x14ac:dyDescent="0.3">
      <c r="A42" s="916" t="s">
        <v>332</v>
      </c>
      <c r="B42" s="917"/>
      <c r="C42" s="917"/>
      <c r="D42" s="917"/>
      <c r="E42" s="918"/>
      <c r="F42" s="595">
        <v>150000</v>
      </c>
      <c r="G42" s="595">
        <f>F42*27%</f>
        <v>40500</v>
      </c>
      <c r="H42" s="595">
        <f>F42+G42</f>
        <v>190500</v>
      </c>
    </row>
    <row r="43" spans="1:8" thickBot="1" x14ac:dyDescent="0.3">
      <c r="A43" s="797" t="s">
        <v>813</v>
      </c>
      <c r="B43" s="798"/>
      <c r="C43" s="798"/>
      <c r="D43" s="798"/>
      <c r="E43" s="799"/>
      <c r="F43" s="595">
        <v>250000</v>
      </c>
      <c r="G43" s="595">
        <v>0</v>
      </c>
      <c r="H43" s="595">
        <f>F43+G43</f>
        <v>250000</v>
      </c>
    </row>
    <row r="44" spans="1:8" s="593" customFormat="1" thickBot="1" x14ac:dyDescent="0.3">
      <c r="A44" s="922" t="s">
        <v>333</v>
      </c>
      <c r="B44" s="923"/>
      <c r="C44" s="923"/>
      <c r="D44" s="923"/>
      <c r="E44" s="924"/>
      <c r="F44" s="516">
        <f>F42+F43</f>
        <v>400000</v>
      </c>
      <c r="G44" s="516">
        <f>G42+G43</f>
        <v>40500</v>
      </c>
      <c r="H44" s="516">
        <f>H42+H43</f>
        <v>440500</v>
      </c>
    </row>
    <row r="45" spans="1:8" s="593" customFormat="1" thickBot="1" x14ac:dyDescent="0.3">
      <c r="A45" s="922" t="s">
        <v>334</v>
      </c>
      <c r="B45" s="923"/>
      <c r="C45" s="923"/>
      <c r="D45" s="923"/>
      <c r="E45" s="924"/>
      <c r="F45" s="516">
        <f t="shared" ref="F45:H45" si="10">F41+F42+F43</f>
        <v>470000</v>
      </c>
      <c r="G45" s="516">
        <f t="shared" si="10"/>
        <v>44000</v>
      </c>
      <c r="H45" s="516">
        <f t="shared" si="10"/>
        <v>514000</v>
      </c>
    </row>
    <row r="46" spans="1:8" thickBot="1" x14ac:dyDescent="0.3">
      <c r="A46" s="797" t="s">
        <v>638</v>
      </c>
      <c r="B46" s="798"/>
      <c r="C46" s="798"/>
      <c r="D46" s="798"/>
      <c r="E46" s="799"/>
      <c r="F46" s="595">
        <v>580000</v>
      </c>
      <c r="G46" s="595">
        <f>F46*27%</f>
        <v>156600</v>
      </c>
      <c r="H46" s="595">
        <f>F46+G46</f>
        <v>736600</v>
      </c>
    </row>
    <row r="47" spans="1:8" s="593" customFormat="1" thickBot="1" x14ac:dyDescent="0.3">
      <c r="A47" s="919" t="s">
        <v>335</v>
      </c>
      <c r="B47" s="920"/>
      <c r="C47" s="920"/>
      <c r="D47" s="920"/>
      <c r="E47" s="921"/>
      <c r="F47" s="516">
        <f t="shared" ref="F47:H47" si="11">F46</f>
        <v>580000</v>
      </c>
      <c r="G47" s="516">
        <f t="shared" si="11"/>
        <v>156600</v>
      </c>
      <c r="H47" s="516">
        <f t="shared" si="11"/>
        <v>736600</v>
      </c>
    </row>
    <row r="48" spans="1:8" s="593" customFormat="1" thickBot="1" x14ac:dyDescent="0.3">
      <c r="A48" s="797" t="s">
        <v>814</v>
      </c>
      <c r="B48" s="798"/>
      <c r="C48" s="798"/>
      <c r="D48" s="798"/>
      <c r="E48" s="799"/>
      <c r="F48" s="516">
        <v>200000</v>
      </c>
      <c r="G48" s="516">
        <f>F48*27%</f>
        <v>54000</v>
      </c>
      <c r="H48" s="516">
        <f>F48+G48</f>
        <v>254000</v>
      </c>
    </row>
    <row r="49" spans="1:8" thickBot="1" x14ac:dyDescent="0.3">
      <c r="A49" s="797" t="s">
        <v>336</v>
      </c>
      <c r="B49" s="798"/>
      <c r="C49" s="798"/>
      <c r="D49" s="798"/>
      <c r="E49" s="799"/>
      <c r="F49" s="595">
        <v>50000</v>
      </c>
      <c r="G49" s="595">
        <f>F49*27%</f>
        <v>13500</v>
      </c>
      <c r="H49" s="595">
        <f>F49+G49</f>
        <v>63500</v>
      </c>
    </row>
    <row r="50" spans="1:8" thickBot="1" x14ac:dyDescent="0.3">
      <c r="A50" s="797" t="s">
        <v>639</v>
      </c>
      <c r="B50" s="798"/>
      <c r="C50" s="798"/>
      <c r="D50" s="798"/>
      <c r="E50" s="799"/>
      <c r="F50" s="595">
        <v>19200</v>
      </c>
      <c r="G50" s="595">
        <v>0</v>
      </c>
      <c r="H50" s="595">
        <f>F50+G50</f>
        <v>19200</v>
      </c>
    </row>
    <row r="51" spans="1:8" s="593" customFormat="1" thickBot="1" x14ac:dyDescent="0.3">
      <c r="A51" s="919" t="s">
        <v>338</v>
      </c>
      <c r="B51" s="920"/>
      <c r="C51" s="920"/>
      <c r="D51" s="920"/>
      <c r="E51" s="921"/>
      <c r="F51" s="516">
        <f t="shared" ref="F51:H51" si="12">F50</f>
        <v>19200</v>
      </c>
      <c r="G51" s="516">
        <f t="shared" si="12"/>
        <v>0</v>
      </c>
      <c r="H51" s="516">
        <f t="shared" si="12"/>
        <v>19200</v>
      </c>
    </row>
    <row r="52" spans="1:8" thickBot="1" x14ac:dyDescent="0.3">
      <c r="A52" s="797" t="s">
        <v>340</v>
      </c>
      <c r="B52" s="798"/>
      <c r="C52" s="798"/>
      <c r="D52" s="798"/>
      <c r="E52" s="799"/>
      <c r="F52" s="595">
        <v>0</v>
      </c>
      <c r="G52" s="595">
        <f>F52*27%</f>
        <v>0</v>
      </c>
      <c r="H52" s="595">
        <f t="shared" ref="H52:H60" si="13">F52+G52</f>
        <v>0</v>
      </c>
    </row>
    <row r="53" spans="1:8" thickBot="1" x14ac:dyDescent="0.3">
      <c r="A53" s="797" t="s">
        <v>341</v>
      </c>
      <c r="B53" s="798"/>
      <c r="C53" s="798"/>
      <c r="D53" s="798"/>
      <c r="E53" s="799"/>
      <c r="F53" s="595">
        <v>0</v>
      </c>
      <c r="G53" s="595">
        <f>F53*27%</f>
        <v>0</v>
      </c>
      <c r="H53" s="595">
        <f t="shared" si="13"/>
        <v>0</v>
      </c>
    </row>
    <row r="54" spans="1:8" thickBot="1" x14ac:dyDescent="0.3">
      <c r="A54" s="797" t="s">
        <v>342</v>
      </c>
      <c r="B54" s="798"/>
      <c r="C54" s="798"/>
      <c r="D54" s="798"/>
      <c r="E54" s="799"/>
      <c r="F54" s="595">
        <v>0</v>
      </c>
      <c r="G54" s="595">
        <f>F54*27%</f>
        <v>0</v>
      </c>
      <c r="H54" s="595">
        <f t="shared" si="13"/>
        <v>0</v>
      </c>
    </row>
    <row r="55" spans="1:8" thickBot="1" x14ac:dyDescent="0.3">
      <c r="A55" s="797" t="s">
        <v>343</v>
      </c>
      <c r="B55" s="798"/>
      <c r="C55" s="798"/>
      <c r="D55" s="798"/>
      <c r="E55" s="799"/>
      <c r="F55" s="595">
        <f>37*1500</f>
        <v>55500</v>
      </c>
      <c r="G55" s="595">
        <v>0</v>
      </c>
      <c r="H55" s="595">
        <f t="shared" si="13"/>
        <v>55500</v>
      </c>
    </row>
    <row r="56" spans="1:8" thickBot="1" x14ac:dyDescent="0.3">
      <c r="A56" s="797" t="s">
        <v>640</v>
      </c>
      <c r="B56" s="798"/>
      <c r="C56" s="798"/>
      <c r="D56" s="798"/>
      <c r="E56" s="799"/>
      <c r="F56" s="595">
        <v>1180000</v>
      </c>
      <c r="G56" s="595">
        <v>0</v>
      </c>
      <c r="H56" s="595">
        <f t="shared" si="13"/>
        <v>1180000</v>
      </c>
    </row>
    <row r="57" spans="1:8" thickBot="1" x14ac:dyDescent="0.3">
      <c r="A57" s="797" t="s">
        <v>815</v>
      </c>
      <c r="B57" s="798"/>
      <c r="C57" s="798"/>
      <c r="D57" s="798"/>
      <c r="E57" s="799"/>
      <c r="F57" s="595">
        <v>100000</v>
      </c>
      <c r="G57" s="595">
        <v>0</v>
      </c>
      <c r="H57" s="595">
        <f t="shared" si="13"/>
        <v>100000</v>
      </c>
    </row>
    <row r="58" spans="1:8" thickBot="1" x14ac:dyDescent="0.3">
      <c r="A58" s="797" t="s">
        <v>641</v>
      </c>
      <c r="B58" s="798"/>
      <c r="C58" s="798"/>
      <c r="D58" s="798"/>
      <c r="E58" s="799"/>
      <c r="F58" s="595">
        <v>0</v>
      </c>
      <c r="G58" s="595">
        <v>0</v>
      </c>
      <c r="H58" s="595">
        <f t="shared" si="13"/>
        <v>0</v>
      </c>
    </row>
    <row r="59" spans="1:8" s="603" customFormat="1" thickBot="1" x14ac:dyDescent="0.3">
      <c r="A59" s="934" t="s">
        <v>816</v>
      </c>
      <c r="B59" s="935"/>
      <c r="C59" s="935"/>
      <c r="D59" s="935"/>
      <c r="E59" s="936"/>
      <c r="F59" s="602">
        <v>20000</v>
      </c>
      <c r="G59" s="602">
        <v>0</v>
      </c>
      <c r="H59" s="602">
        <f t="shared" si="13"/>
        <v>20000</v>
      </c>
    </row>
    <row r="60" spans="1:8" thickBot="1" x14ac:dyDescent="0.3">
      <c r="A60" s="797" t="s">
        <v>817</v>
      </c>
      <c r="B60" s="798"/>
      <c r="C60" s="798"/>
      <c r="D60" s="798"/>
      <c r="E60" s="799"/>
      <c r="F60" s="595">
        <v>590000</v>
      </c>
      <c r="G60" s="595">
        <v>0</v>
      </c>
      <c r="H60" s="595">
        <f t="shared" si="13"/>
        <v>590000</v>
      </c>
    </row>
    <row r="61" spans="1:8" ht="36" customHeight="1" thickBot="1" x14ac:dyDescent="0.3">
      <c r="A61" s="928" t="s">
        <v>818</v>
      </c>
      <c r="B61" s="929"/>
      <c r="C61" s="929"/>
      <c r="D61" s="929"/>
      <c r="E61" s="930"/>
      <c r="F61" s="595">
        <v>0</v>
      </c>
      <c r="G61" s="595">
        <v>0</v>
      </c>
      <c r="H61" s="595">
        <v>0</v>
      </c>
    </row>
    <row r="62" spans="1:8" ht="49.5" customHeight="1" thickBot="1" x14ac:dyDescent="0.3">
      <c r="A62" s="928" t="s">
        <v>642</v>
      </c>
      <c r="B62" s="929"/>
      <c r="C62" s="929"/>
      <c r="D62" s="929"/>
      <c r="E62" s="930"/>
      <c r="F62" s="595">
        <f>92000+100000+130000+50000+700000+50000+50000+100000+100000+200000+200000+130000</f>
        <v>1902000</v>
      </c>
      <c r="G62" s="595">
        <v>270000</v>
      </c>
      <c r="H62" s="595">
        <f t="shared" ref="H62:H68" si="14">F62+G62</f>
        <v>2172000</v>
      </c>
    </row>
    <row r="63" spans="1:8" ht="45.75" customHeight="1" thickBot="1" x14ac:dyDescent="0.3">
      <c r="A63" s="928" t="s">
        <v>819</v>
      </c>
      <c r="B63" s="929"/>
      <c r="C63" s="929"/>
      <c r="D63" s="929"/>
      <c r="E63" s="930"/>
      <c r="F63" s="595">
        <v>150000</v>
      </c>
      <c r="G63" s="595">
        <v>0</v>
      </c>
      <c r="H63" s="595">
        <f t="shared" si="14"/>
        <v>150000</v>
      </c>
    </row>
    <row r="64" spans="1:8" ht="45.75" customHeight="1" thickBot="1" x14ac:dyDescent="0.3">
      <c r="A64" s="928" t="s">
        <v>820</v>
      </c>
      <c r="B64" s="929"/>
      <c r="C64" s="929"/>
      <c r="D64" s="929"/>
      <c r="E64" s="930"/>
      <c r="F64" s="595">
        <v>150000</v>
      </c>
      <c r="G64" s="595">
        <v>0</v>
      </c>
      <c r="H64" s="595">
        <f t="shared" si="14"/>
        <v>150000</v>
      </c>
    </row>
    <row r="65" spans="1:11" ht="45.75" customHeight="1" thickBot="1" x14ac:dyDescent="0.3">
      <c r="A65" s="928" t="s">
        <v>821</v>
      </c>
      <c r="B65" s="929"/>
      <c r="C65" s="929"/>
      <c r="D65" s="929"/>
      <c r="E65" s="930"/>
      <c r="F65" s="595">
        <v>210000</v>
      </c>
      <c r="G65" s="595">
        <v>0</v>
      </c>
      <c r="H65" s="595">
        <f t="shared" si="14"/>
        <v>210000</v>
      </c>
    </row>
    <row r="66" spans="1:11" s="596" customFormat="1" ht="45.75" customHeight="1" thickBot="1" x14ac:dyDescent="0.3">
      <c r="A66" s="928" t="s">
        <v>822</v>
      </c>
      <c r="B66" s="929"/>
      <c r="C66" s="929"/>
      <c r="D66" s="929"/>
      <c r="E66" s="930"/>
      <c r="F66" s="595">
        <v>0</v>
      </c>
      <c r="G66" s="595">
        <v>0</v>
      </c>
      <c r="H66" s="595">
        <f t="shared" si="14"/>
        <v>0</v>
      </c>
    </row>
    <row r="67" spans="1:11" s="596" customFormat="1" ht="45.75" customHeight="1" thickBot="1" x14ac:dyDescent="0.3">
      <c r="A67" s="928" t="s">
        <v>823</v>
      </c>
      <c r="B67" s="929"/>
      <c r="C67" s="929"/>
      <c r="D67" s="929"/>
      <c r="E67" s="930"/>
      <c r="F67" s="595">
        <v>0</v>
      </c>
      <c r="G67" s="595">
        <v>0</v>
      </c>
      <c r="H67" s="595">
        <f t="shared" si="14"/>
        <v>0</v>
      </c>
    </row>
    <row r="68" spans="1:11" s="596" customFormat="1" ht="45.75" customHeight="1" thickBot="1" x14ac:dyDescent="0.3">
      <c r="A68" s="928" t="s">
        <v>824</v>
      </c>
      <c r="B68" s="929"/>
      <c r="C68" s="929"/>
      <c r="D68" s="929"/>
      <c r="E68" s="930"/>
      <c r="F68" s="595">
        <v>80000</v>
      </c>
      <c r="G68" s="595">
        <f>F68*27%</f>
        <v>21600</v>
      </c>
      <c r="H68" s="595">
        <f t="shared" si="14"/>
        <v>101600</v>
      </c>
    </row>
    <row r="69" spans="1:11" s="593" customFormat="1" thickBot="1" x14ac:dyDescent="0.3">
      <c r="A69" s="919" t="s">
        <v>344</v>
      </c>
      <c r="B69" s="920"/>
      <c r="C69" s="920"/>
      <c r="D69" s="920"/>
      <c r="E69" s="921"/>
      <c r="F69" s="516">
        <f t="shared" ref="F69:H69" si="15">SUM(F52:F68)</f>
        <v>4437500</v>
      </c>
      <c r="G69" s="516">
        <f t="shared" si="15"/>
        <v>291600</v>
      </c>
      <c r="H69" s="516">
        <f t="shared" si="15"/>
        <v>4729100</v>
      </c>
    </row>
    <row r="70" spans="1:11" s="593" customFormat="1" thickBot="1" x14ac:dyDescent="0.3">
      <c r="A70" s="919" t="s">
        <v>345</v>
      </c>
      <c r="B70" s="920"/>
      <c r="C70" s="920"/>
      <c r="D70" s="920"/>
      <c r="E70" s="921"/>
      <c r="F70" s="516">
        <f t="shared" ref="F70:H70" si="16">F69+F51+F49+F48+F47</f>
        <v>5286700</v>
      </c>
      <c r="G70" s="516">
        <f t="shared" si="16"/>
        <v>515700</v>
      </c>
      <c r="H70" s="516">
        <f t="shared" si="16"/>
        <v>5802400</v>
      </c>
    </row>
    <row r="71" spans="1:11" thickBot="1" x14ac:dyDescent="0.3">
      <c r="A71" s="797" t="s">
        <v>346</v>
      </c>
      <c r="B71" s="798"/>
      <c r="C71" s="798"/>
      <c r="D71" s="798"/>
      <c r="E71" s="799"/>
      <c r="F71" s="595">
        <v>70000</v>
      </c>
      <c r="G71" s="595">
        <v>0</v>
      </c>
      <c r="H71" s="595">
        <f>F71+G71</f>
        <v>70000</v>
      </c>
    </row>
    <row r="72" spans="1:11" thickBot="1" x14ac:dyDescent="0.3">
      <c r="A72" s="797" t="s">
        <v>347</v>
      </c>
      <c r="B72" s="798"/>
      <c r="C72" s="798"/>
      <c r="D72" s="798"/>
      <c r="E72" s="799"/>
      <c r="F72" s="595">
        <v>0</v>
      </c>
      <c r="G72" s="595">
        <v>0</v>
      </c>
      <c r="H72" s="595">
        <f>F72+G72</f>
        <v>0</v>
      </c>
    </row>
    <row r="73" spans="1:11" s="593" customFormat="1" thickBot="1" x14ac:dyDescent="0.3">
      <c r="A73" s="919" t="s">
        <v>348</v>
      </c>
      <c r="B73" s="920"/>
      <c r="C73" s="920"/>
      <c r="D73" s="920"/>
      <c r="E73" s="921"/>
      <c r="F73" s="516">
        <f t="shared" ref="F73:H73" si="17">F71+F72</f>
        <v>70000</v>
      </c>
      <c r="G73" s="516">
        <f t="shared" si="17"/>
        <v>0</v>
      </c>
      <c r="H73" s="516">
        <f t="shared" si="17"/>
        <v>70000</v>
      </c>
    </row>
    <row r="74" spans="1:11" thickBot="1" x14ac:dyDescent="0.3">
      <c r="A74" s="797" t="s">
        <v>349</v>
      </c>
      <c r="B74" s="798"/>
      <c r="C74" s="798"/>
      <c r="D74" s="798"/>
      <c r="E74" s="799"/>
      <c r="F74" s="595">
        <v>0</v>
      </c>
      <c r="G74" s="595">
        <f>G70+G45+G39</f>
        <v>907350</v>
      </c>
      <c r="H74" s="595">
        <f>G74</f>
        <v>907350</v>
      </c>
    </row>
    <row r="75" spans="1:11" thickBot="1" x14ac:dyDescent="0.3">
      <c r="A75" s="797" t="s">
        <v>352</v>
      </c>
      <c r="B75" s="798"/>
      <c r="C75" s="798"/>
      <c r="D75" s="798"/>
      <c r="E75" s="799"/>
      <c r="F75" s="595">
        <v>30000</v>
      </c>
      <c r="G75" s="595">
        <v>0</v>
      </c>
      <c r="H75" s="595">
        <f>F75+G75</f>
        <v>30000</v>
      </c>
    </row>
    <row r="76" spans="1:11" s="593" customFormat="1" thickBot="1" x14ac:dyDescent="0.3">
      <c r="A76" s="919" t="s">
        <v>350</v>
      </c>
      <c r="B76" s="920"/>
      <c r="C76" s="920"/>
      <c r="D76" s="920"/>
      <c r="E76" s="921"/>
      <c r="F76" s="516">
        <f t="shared" ref="F76:H76" si="18">F74+F75</f>
        <v>30000</v>
      </c>
      <c r="G76" s="516">
        <f t="shared" si="18"/>
        <v>907350</v>
      </c>
      <c r="H76" s="516">
        <f t="shared" si="18"/>
        <v>937350</v>
      </c>
    </row>
    <row r="77" spans="1:11" s="593" customFormat="1" thickBot="1" x14ac:dyDescent="0.3">
      <c r="A77" s="919" t="s">
        <v>351</v>
      </c>
      <c r="B77" s="920"/>
      <c r="C77" s="920"/>
      <c r="D77" s="920"/>
      <c r="E77" s="921"/>
      <c r="F77" s="516">
        <f>F76+F73+F70+F45+F39</f>
        <v>7551700</v>
      </c>
      <c r="G77" s="516">
        <f>G76</f>
        <v>907350</v>
      </c>
      <c r="H77" s="516">
        <f>H76+H73+H70+H45+H39</f>
        <v>9366400</v>
      </c>
    </row>
    <row r="78" spans="1:11" s="593" customFormat="1" thickBot="1" x14ac:dyDescent="0.3">
      <c r="A78" s="797" t="s">
        <v>170</v>
      </c>
      <c r="B78" s="798"/>
      <c r="C78" s="798"/>
      <c r="D78" s="798"/>
      <c r="E78" s="799"/>
      <c r="F78" s="595">
        <v>0</v>
      </c>
      <c r="G78" s="595">
        <f t="shared" ref="G78:G84" si="19">F78*27%</f>
        <v>0</v>
      </c>
      <c r="H78" s="595">
        <f t="shared" ref="H78:H94" si="20">F78+G78</f>
        <v>0</v>
      </c>
    </row>
    <row r="79" spans="1:11" s="593" customFormat="1" thickBot="1" x14ac:dyDescent="0.3">
      <c r="A79" s="797" t="s">
        <v>646</v>
      </c>
      <c r="B79" s="798"/>
      <c r="C79" s="798"/>
      <c r="D79" s="798"/>
      <c r="E79" s="799"/>
      <c r="F79" s="595">
        <v>0</v>
      </c>
      <c r="G79" s="595">
        <f t="shared" si="19"/>
        <v>0</v>
      </c>
      <c r="H79" s="595">
        <f t="shared" si="20"/>
        <v>0</v>
      </c>
      <c r="I79" s="604"/>
      <c r="J79" s="604"/>
      <c r="K79" s="604"/>
    </row>
    <row r="80" spans="1:11" s="593" customFormat="1" thickBot="1" x14ac:dyDescent="0.3">
      <c r="A80" s="797" t="s">
        <v>647</v>
      </c>
      <c r="B80" s="798"/>
      <c r="C80" s="798"/>
      <c r="D80" s="798"/>
      <c r="E80" s="799"/>
      <c r="F80" s="595">
        <v>0</v>
      </c>
      <c r="G80" s="595">
        <f t="shared" si="19"/>
        <v>0</v>
      </c>
      <c r="H80" s="595">
        <f t="shared" si="20"/>
        <v>0</v>
      </c>
      <c r="I80" s="604"/>
      <c r="J80" s="604"/>
      <c r="K80" s="604"/>
    </row>
    <row r="81" spans="1:11" thickBot="1" x14ac:dyDescent="0.3">
      <c r="A81" s="797" t="s">
        <v>648</v>
      </c>
      <c r="B81" s="798"/>
      <c r="C81" s="798"/>
      <c r="D81" s="798"/>
      <c r="E81" s="799"/>
      <c r="F81" s="595">
        <v>0</v>
      </c>
      <c r="G81" s="595">
        <f t="shared" si="19"/>
        <v>0</v>
      </c>
      <c r="H81" s="595">
        <f t="shared" si="20"/>
        <v>0</v>
      </c>
      <c r="K81" s="605"/>
    </row>
    <row r="82" spans="1:11" thickBot="1" x14ac:dyDescent="0.3">
      <c r="A82" s="797" t="s">
        <v>825</v>
      </c>
      <c r="B82" s="798"/>
      <c r="C82" s="798"/>
      <c r="D82" s="798"/>
      <c r="E82" s="799"/>
      <c r="F82" s="595">
        <v>0</v>
      </c>
      <c r="G82" s="595">
        <f t="shared" si="19"/>
        <v>0</v>
      </c>
      <c r="H82" s="595">
        <f t="shared" si="20"/>
        <v>0</v>
      </c>
    </row>
    <row r="83" spans="1:11" thickBot="1" x14ac:dyDescent="0.3">
      <c r="A83" s="797" t="s">
        <v>826</v>
      </c>
      <c r="B83" s="798"/>
      <c r="C83" s="798"/>
      <c r="D83" s="798"/>
      <c r="E83" s="799"/>
      <c r="F83" s="595">
        <v>0</v>
      </c>
      <c r="G83" s="595">
        <f t="shared" si="19"/>
        <v>0</v>
      </c>
      <c r="H83" s="595">
        <f t="shared" si="20"/>
        <v>0</v>
      </c>
    </row>
    <row r="84" spans="1:11" thickBot="1" x14ac:dyDescent="0.3">
      <c r="A84" s="797" t="s">
        <v>827</v>
      </c>
      <c r="B84" s="798"/>
      <c r="C84" s="798"/>
      <c r="D84" s="798"/>
      <c r="E84" s="799"/>
      <c r="F84" s="595">
        <v>0</v>
      </c>
      <c r="G84" s="595">
        <f t="shared" si="19"/>
        <v>0</v>
      </c>
      <c r="H84" s="595">
        <f t="shared" si="20"/>
        <v>0</v>
      </c>
    </row>
    <row r="85" spans="1:11" s="596" customFormat="1" ht="16.5" thickBot="1" x14ac:dyDescent="0.3">
      <c r="A85" s="797" t="s">
        <v>615</v>
      </c>
      <c r="B85" s="798"/>
      <c r="C85" s="798"/>
      <c r="D85" s="798"/>
      <c r="E85" s="799"/>
      <c r="F85" s="595">
        <v>0</v>
      </c>
      <c r="G85" s="595">
        <v>0</v>
      </c>
      <c r="H85" s="595">
        <f t="shared" si="20"/>
        <v>0</v>
      </c>
    </row>
    <row r="86" spans="1:11" s="596" customFormat="1" ht="16.5" thickBot="1" x14ac:dyDescent="0.3">
      <c r="A86" s="797" t="s">
        <v>828</v>
      </c>
      <c r="B86" s="798"/>
      <c r="C86" s="798"/>
      <c r="D86" s="798"/>
      <c r="E86" s="799"/>
      <c r="F86" s="595">
        <v>0</v>
      </c>
      <c r="G86" s="595">
        <f>F86*27%</f>
        <v>0</v>
      </c>
      <c r="H86" s="595">
        <f t="shared" si="20"/>
        <v>0</v>
      </c>
    </row>
    <row r="87" spans="1:11" s="596" customFormat="1" ht="16.5" thickBot="1" x14ac:dyDescent="0.3">
      <c r="A87" s="797" t="s">
        <v>829</v>
      </c>
      <c r="B87" s="798"/>
      <c r="C87" s="798"/>
      <c r="D87" s="798"/>
      <c r="E87" s="799"/>
      <c r="F87" s="595">
        <v>250000</v>
      </c>
      <c r="G87" s="595">
        <f>F87*27%-1</f>
        <v>67499</v>
      </c>
      <c r="H87" s="595">
        <f t="shared" si="20"/>
        <v>317499</v>
      </c>
    </row>
    <row r="88" spans="1:11" s="596" customFormat="1" ht="16.5" thickBot="1" x14ac:dyDescent="0.3">
      <c r="A88" s="797" t="s">
        <v>830</v>
      </c>
      <c r="B88" s="798"/>
      <c r="C88" s="798"/>
      <c r="D88" s="798"/>
      <c r="E88" s="799"/>
      <c r="F88" s="595">
        <v>20000</v>
      </c>
      <c r="G88" s="595">
        <f>F88*27%</f>
        <v>5400</v>
      </c>
      <c r="H88" s="595">
        <f t="shared" si="20"/>
        <v>25400</v>
      </c>
    </row>
    <row r="89" spans="1:11" s="596" customFormat="1" ht="16.5" thickBot="1" x14ac:dyDescent="0.3">
      <c r="A89" s="797" t="s">
        <v>831</v>
      </c>
      <c r="B89" s="798"/>
      <c r="C89" s="798"/>
      <c r="D89" s="798"/>
      <c r="E89" s="799"/>
      <c r="F89" s="595">
        <v>20000</v>
      </c>
      <c r="G89" s="595">
        <f>F89*27%</f>
        <v>5400</v>
      </c>
      <c r="H89" s="595">
        <f t="shared" si="20"/>
        <v>25400</v>
      </c>
    </row>
    <row r="90" spans="1:11" s="596" customFormat="1" ht="16.5" thickBot="1" x14ac:dyDescent="0.3">
      <c r="A90" s="797" t="s">
        <v>832</v>
      </c>
      <c r="B90" s="798"/>
      <c r="C90" s="798"/>
      <c r="D90" s="798"/>
      <c r="E90" s="799"/>
      <c r="F90" s="595">
        <v>0</v>
      </c>
      <c r="G90" s="595">
        <f>F90*27%</f>
        <v>0</v>
      </c>
      <c r="H90" s="595">
        <f t="shared" si="20"/>
        <v>0</v>
      </c>
    </row>
    <row r="91" spans="1:11" s="596" customFormat="1" ht="16.5" thickBot="1" x14ac:dyDescent="0.3">
      <c r="A91" s="797" t="s">
        <v>833</v>
      </c>
      <c r="B91" s="798"/>
      <c r="C91" s="798"/>
      <c r="D91" s="798"/>
      <c r="E91" s="799"/>
      <c r="F91" s="595">
        <v>20000</v>
      </c>
      <c r="G91" s="595">
        <f>F91*27%</f>
        <v>5400</v>
      </c>
      <c r="H91" s="595">
        <f t="shared" si="20"/>
        <v>25400</v>
      </c>
    </row>
    <row r="92" spans="1:11" s="596" customFormat="1" ht="16.5" thickBot="1" x14ac:dyDescent="0.3">
      <c r="A92" s="797" t="s">
        <v>834</v>
      </c>
      <c r="B92" s="798"/>
      <c r="C92" s="798"/>
      <c r="D92" s="798"/>
      <c r="E92" s="799"/>
      <c r="F92" s="595">
        <v>7079</v>
      </c>
      <c r="G92" s="595">
        <f>F92*27%</f>
        <v>1911.3300000000002</v>
      </c>
      <c r="H92" s="595">
        <f t="shared" si="20"/>
        <v>8990.33</v>
      </c>
    </row>
    <row r="93" spans="1:11" s="593" customFormat="1" thickBot="1" x14ac:dyDescent="0.3">
      <c r="A93" s="919" t="s">
        <v>353</v>
      </c>
      <c r="B93" s="920"/>
      <c r="C93" s="920"/>
      <c r="D93" s="920"/>
      <c r="E93" s="921"/>
      <c r="F93" s="516">
        <f>SUM(F78:F92)</f>
        <v>317079</v>
      </c>
      <c r="G93" s="516">
        <f>SUM(G78:G92)</f>
        <v>85610.33</v>
      </c>
      <c r="H93" s="516">
        <f>SUM(H78:H92)</f>
        <v>402689.33</v>
      </c>
    </row>
    <row r="94" spans="1:11" s="596" customFormat="1" ht="32.25" customHeight="1" thickBot="1" x14ac:dyDescent="0.3">
      <c r="A94" s="928" t="s">
        <v>835</v>
      </c>
      <c r="B94" s="929"/>
      <c r="C94" s="929"/>
      <c r="D94" s="929"/>
      <c r="E94" s="930"/>
      <c r="F94" s="595">
        <v>0</v>
      </c>
      <c r="G94" s="595">
        <v>0</v>
      </c>
      <c r="H94" s="595">
        <f t="shared" si="20"/>
        <v>0</v>
      </c>
    </row>
    <row r="95" spans="1:11" s="593" customFormat="1" thickBot="1" x14ac:dyDescent="0.3">
      <c r="A95" s="919" t="s">
        <v>836</v>
      </c>
      <c r="B95" s="920"/>
      <c r="C95" s="920"/>
      <c r="D95" s="920"/>
      <c r="E95" s="921"/>
      <c r="F95" s="516">
        <f t="shared" ref="F95:H95" si="21">F86+F94</f>
        <v>0</v>
      </c>
      <c r="G95" s="516">
        <f t="shared" si="21"/>
        <v>0</v>
      </c>
      <c r="H95" s="516">
        <f t="shared" si="21"/>
        <v>0</v>
      </c>
    </row>
    <row r="96" spans="1:11" s="593" customFormat="1" thickBot="1" x14ac:dyDescent="0.3">
      <c r="A96" s="919" t="s">
        <v>354</v>
      </c>
      <c r="B96" s="920"/>
      <c r="C96" s="920"/>
      <c r="D96" s="920"/>
      <c r="E96" s="921"/>
      <c r="F96" s="516"/>
      <c r="G96" s="516">
        <f>G93</f>
        <v>85610.33</v>
      </c>
      <c r="H96" s="516">
        <f>F96+G96</f>
        <v>85610.33</v>
      </c>
    </row>
    <row r="97" spans="1:8" s="606" customFormat="1" ht="19.5" thickBot="1" x14ac:dyDescent="0.35">
      <c r="A97" s="919" t="s">
        <v>355</v>
      </c>
      <c r="B97" s="920"/>
      <c r="C97" s="920"/>
      <c r="D97" s="920"/>
      <c r="E97" s="921"/>
      <c r="F97" s="516">
        <f>F95+F93+F77+F18</f>
        <v>12761795</v>
      </c>
      <c r="G97" s="516">
        <f>G96+G74</f>
        <v>992960.33</v>
      </c>
      <c r="H97" s="516">
        <f>H95+H93+H77+H18-G77</f>
        <v>13754755.33</v>
      </c>
    </row>
  </sheetData>
  <mergeCells count="94">
    <mergeCell ref="A94:E94"/>
    <mergeCell ref="A95:E95"/>
    <mergeCell ref="A96:E96"/>
    <mergeCell ref="A97:E97"/>
    <mergeCell ref="A89:E89"/>
    <mergeCell ref="A90:E90"/>
    <mergeCell ref="A91:E91"/>
    <mergeCell ref="A92:E92"/>
    <mergeCell ref="A93:E93"/>
    <mergeCell ref="A84:E84"/>
    <mergeCell ref="A85:E85"/>
    <mergeCell ref="A86:E86"/>
    <mergeCell ref="A87:E87"/>
    <mergeCell ref="A88:E88"/>
    <mergeCell ref="A79:E79"/>
    <mergeCell ref="A80:E80"/>
    <mergeCell ref="A81:E81"/>
    <mergeCell ref="A82:E82"/>
    <mergeCell ref="A83:E83"/>
    <mergeCell ref="A74:E74"/>
    <mergeCell ref="A75:E75"/>
    <mergeCell ref="A76:E76"/>
    <mergeCell ref="A77:E77"/>
    <mergeCell ref="A78:E78"/>
    <mergeCell ref="F4:H4"/>
    <mergeCell ref="A70:E70"/>
    <mergeCell ref="A71:E71"/>
    <mergeCell ref="A72:E72"/>
    <mergeCell ref="A73:E73"/>
    <mergeCell ref="A69:E69"/>
    <mergeCell ref="A64:E64"/>
    <mergeCell ref="A65:E65"/>
    <mergeCell ref="A66:E66"/>
    <mergeCell ref="A67:E67"/>
    <mergeCell ref="A68:E68"/>
    <mergeCell ref="A63:E63"/>
    <mergeCell ref="A57:E57"/>
    <mergeCell ref="A58:E58"/>
    <mergeCell ref="A59:E59"/>
    <mergeCell ref="A60:E60"/>
    <mergeCell ref="A61:E61"/>
    <mergeCell ref="A62:E62"/>
    <mergeCell ref="A56:E56"/>
    <mergeCell ref="A45:E45"/>
    <mergeCell ref="A46:E46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44:E44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32:E32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8:E8"/>
    <mergeCell ref="A5:E5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40"/>
  <sheetViews>
    <sheetView workbookViewId="0">
      <selection activeCell="P11" sqref="P11"/>
    </sheetView>
  </sheetViews>
  <sheetFormatPr defaultRowHeight="15" x14ac:dyDescent="0.25"/>
  <cols>
    <col min="2" max="2" width="12.42578125" bestFit="1" customWidth="1"/>
    <col min="7" max="7" width="4.5703125" customWidth="1"/>
    <col min="8" max="8" width="10.28515625" hidden="1" customWidth="1"/>
    <col min="9" max="9" width="3.140625" hidden="1" customWidth="1"/>
    <col min="10" max="10" width="3.7109375" hidden="1" customWidth="1"/>
    <col min="11" max="11" width="0.5703125" hidden="1" customWidth="1"/>
    <col min="12" max="12" width="17" style="349" bestFit="1" customWidth="1"/>
    <col min="13" max="13" width="15.42578125" bestFit="1" customWidth="1"/>
    <col min="14" max="14" width="14.85546875" bestFit="1" customWidth="1"/>
    <col min="15" max="15" width="16.85546875" bestFit="1" customWidth="1"/>
    <col min="16" max="16" width="15.42578125" bestFit="1" customWidth="1"/>
    <col min="17" max="17" width="17.28515625" bestFit="1" customWidth="1"/>
    <col min="255" max="255" width="12.42578125" bestFit="1" customWidth="1"/>
    <col min="265" max="265" width="17" bestFit="1" customWidth="1"/>
    <col min="266" max="266" width="15.42578125" bestFit="1" customWidth="1"/>
    <col min="267" max="267" width="14.85546875" bestFit="1" customWidth="1"/>
    <col min="511" max="511" width="12.42578125" bestFit="1" customWidth="1"/>
    <col min="521" max="521" width="17" bestFit="1" customWidth="1"/>
    <col min="522" max="522" width="15.42578125" bestFit="1" customWidth="1"/>
    <col min="523" max="523" width="14.85546875" bestFit="1" customWidth="1"/>
    <col min="767" max="767" width="12.42578125" bestFit="1" customWidth="1"/>
    <col min="777" max="777" width="17" bestFit="1" customWidth="1"/>
    <col min="778" max="778" width="15.42578125" bestFit="1" customWidth="1"/>
    <col min="779" max="779" width="14.85546875" bestFit="1" customWidth="1"/>
    <col min="1023" max="1023" width="12.42578125" bestFit="1" customWidth="1"/>
    <col min="1033" max="1033" width="17" bestFit="1" customWidth="1"/>
    <col min="1034" max="1034" width="15.42578125" bestFit="1" customWidth="1"/>
    <col min="1035" max="1035" width="14.85546875" bestFit="1" customWidth="1"/>
    <col min="1279" max="1279" width="12.42578125" bestFit="1" customWidth="1"/>
    <col min="1289" max="1289" width="17" bestFit="1" customWidth="1"/>
    <col min="1290" max="1290" width="15.42578125" bestFit="1" customWidth="1"/>
    <col min="1291" max="1291" width="14.85546875" bestFit="1" customWidth="1"/>
    <col min="1535" max="1535" width="12.42578125" bestFit="1" customWidth="1"/>
    <col min="1545" max="1545" width="17" bestFit="1" customWidth="1"/>
    <col min="1546" max="1546" width="15.42578125" bestFit="1" customWidth="1"/>
    <col min="1547" max="1547" width="14.85546875" bestFit="1" customWidth="1"/>
    <col min="1791" max="1791" width="12.42578125" bestFit="1" customWidth="1"/>
    <col min="1801" max="1801" width="17" bestFit="1" customWidth="1"/>
    <col min="1802" max="1802" width="15.42578125" bestFit="1" customWidth="1"/>
    <col min="1803" max="1803" width="14.85546875" bestFit="1" customWidth="1"/>
    <col min="2047" max="2047" width="12.42578125" bestFit="1" customWidth="1"/>
    <col min="2057" max="2057" width="17" bestFit="1" customWidth="1"/>
    <col min="2058" max="2058" width="15.42578125" bestFit="1" customWidth="1"/>
    <col min="2059" max="2059" width="14.85546875" bestFit="1" customWidth="1"/>
    <col min="2303" max="2303" width="12.42578125" bestFit="1" customWidth="1"/>
    <col min="2313" max="2313" width="17" bestFit="1" customWidth="1"/>
    <col min="2314" max="2314" width="15.42578125" bestFit="1" customWidth="1"/>
    <col min="2315" max="2315" width="14.85546875" bestFit="1" customWidth="1"/>
    <col min="2559" max="2559" width="12.42578125" bestFit="1" customWidth="1"/>
    <col min="2569" max="2569" width="17" bestFit="1" customWidth="1"/>
    <col min="2570" max="2570" width="15.42578125" bestFit="1" customWidth="1"/>
    <col min="2571" max="2571" width="14.85546875" bestFit="1" customWidth="1"/>
    <col min="2815" max="2815" width="12.42578125" bestFit="1" customWidth="1"/>
    <col min="2825" max="2825" width="17" bestFit="1" customWidth="1"/>
    <col min="2826" max="2826" width="15.42578125" bestFit="1" customWidth="1"/>
    <col min="2827" max="2827" width="14.85546875" bestFit="1" customWidth="1"/>
    <col min="3071" max="3071" width="12.42578125" bestFit="1" customWidth="1"/>
    <col min="3081" max="3081" width="17" bestFit="1" customWidth="1"/>
    <col min="3082" max="3082" width="15.42578125" bestFit="1" customWidth="1"/>
    <col min="3083" max="3083" width="14.85546875" bestFit="1" customWidth="1"/>
    <col min="3327" max="3327" width="12.42578125" bestFit="1" customWidth="1"/>
    <col min="3337" max="3337" width="17" bestFit="1" customWidth="1"/>
    <col min="3338" max="3338" width="15.42578125" bestFit="1" customWidth="1"/>
    <col min="3339" max="3339" width="14.85546875" bestFit="1" customWidth="1"/>
    <col min="3583" max="3583" width="12.42578125" bestFit="1" customWidth="1"/>
    <col min="3593" max="3593" width="17" bestFit="1" customWidth="1"/>
    <col min="3594" max="3594" width="15.42578125" bestFit="1" customWidth="1"/>
    <col min="3595" max="3595" width="14.85546875" bestFit="1" customWidth="1"/>
    <col min="3839" max="3839" width="12.42578125" bestFit="1" customWidth="1"/>
    <col min="3849" max="3849" width="17" bestFit="1" customWidth="1"/>
    <col min="3850" max="3850" width="15.42578125" bestFit="1" customWidth="1"/>
    <col min="3851" max="3851" width="14.85546875" bestFit="1" customWidth="1"/>
    <col min="4095" max="4095" width="12.42578125" bestFit="1" customWidth="1"/>
    <col min="4105" max="4105" width="17" bestFit="1" customWidth="1"/>
    <col min="4106" max="4106" width="15.42578125" bestFit="1" customWidth="1"/>
    <col min="4107" max="4107" width="14.85546875" bestFit="1" customWidth="1"/>
    <col min="4351" max="4351" width="12.42578125" bestFit="1" customWidth="1"/>
    <col min="4361" max="4361" width="17" bestFit="1" customWidth="1"/>
    <col min="4362" max="4362" width="15.42578125" bestFit="1" customWidth="1"/>
    <col min="4363" max="4363" width="14.85546875" bestFit="1" customWidth="1"/>
    <col min="4607" max="4607" width="12.42578125" bestFit="1" customWidth="1"/>
    <col min="4617" max="4617" width="17" bestFit="1" customWidth="1"/>
    <col min="4618" max="4618" width="15.42578125" bestFit="1" customWidth="1"/>
    <col min="4619" max="4619" width="14.85546875" bestFit="1" customWidth="1"/>
    <col min="4863" max="4863" width="12.42578125" bestFit="1" customWidth="1"/>
    <col min="4873" max="4873" width="17" bestFit="1" customWidth="1"/>
    <col min="4874" max="4874" width="15.42578125" bestFit="1" customWidth="1"/>
    <col min="4875" max="4875" width="14.85546875" bestFit="1" customWidth="1"/>
    <col min="5119" max="5119" width="12.42578125" bestFit="1" customWidth="1"/>
    <col min="5129" max="5129" width="17" bestFit="1" customWidth="1"/>
    <col min="5130" max="5130" width="15.42578125" bestFit="1" customWidth="1"/>
    <col min="5131" max="5131" width="14.85546875" bestFit="1" customWidth="1"/>
    <col min="5375" max="5375" width="12.42578125" bestFit="1" customWidth="1"/>
    <col min="5385" max="5385" width="17" bestFit="1" customWidth="1"/>
    <col min="5386" max="5386" width="15.42578125" bestFit="1" customWidth="1"/>
    <col min="5387" max="5387" width="14.85546875" bestFit="1" customWidth="1"/>
    <col min="5631" max="5631" width="12.42578125" bestFit="1" customWidth="1"/>
    <col min="5641" max="5641" width="17" bestFit="1" customWidth="1"/>
    <col min="5642" max="5642" width="15.42578125" bestFit="1" customWidth="1"/>
    <col min="5643" max="5643" width="14.85546875" bestFit="1" customWidth="1"/>
    <col min="5887" max="5887" width="12.42578125" bestFit="1" customWidth="1"/>
    <col min="5897" max="5897" width="17" bestFit="1" customWidth="1"/>
    <col min="5898" max="5898" width="15.42578125" bestFit="1" customWidth="1"/>
    <col min="5899" max="5899" width="14.85546875" bestFit="1" customWidth="1"/>
    <col min="6143" max="6143" width="12.42578125" bestFit="1" customWidth="1"/>
    <col min="6153" max="6153" width="17" bestFit="1" customWidth="1"/>
    <col min="6154" max="6154" width="15.42578125" bestFit="1" customWidth="1"/>
    <col min="6155" max="6155" width="14.85546875" bestFit="1" customWidth="1"/>
    <col min="6399" max="6399" width="12.42578125" bestFit="1" customWidth="1"/>
    <col min="6409" max="6409" width="17" bestFit="1" customWidth="1"/>
    <col min="6410" max="6410" width="15.42578125" bestFit="1" customWidth="1"/>
    <col min="6411" max="6411" width="14.85546875" bestFit="1" customWidth="1"/>
    <col min="6655" max="6655" width="12.42578125" bestFit="1" customWidth="1"/>
    <col min="6665" max="6665" width="17" bestFit="1" customWidth="1"/>
    <col min="6666" max="6666" width="15.42578125" bestFit="1" customWidth="1"/>
    <col min="6667" max="6667" width="14.85546875" bestFit="1" customWidth="1"/>
    <col min="6911" max="6911" width="12.42578125" bestFit="1" customWidth="1"/>
    <col min="6921" max="6921" width="17" bestFit="1" customWidth="1"/>
    <col min="6922" max="6922" width="15.42578125" bestFit="1" customWidth="1"/>
    <col min="6923" max="6923" width="14.85546875" bestFit="1" customWidth="1"/>
    <col min="7167" max="7167" width="12.42578125" bestFit="1" customWidth="1"/>
    <col min="7177" max="7177" width="17" bestFit="1" customWidth="1"/>
    <col min="7178" max="7178" width="15.42578125" bestFit="1" customWidth="1"/>
    <col min="7179" max="7179" width="14.85546875" bestFit="1" customWidth="1"/>
    <col min="7423" max="7423" width="12.42578125" bestFit="1" customWidth="1"/>
    <col min="7433" max="7433" width="17" bestFit="1" customWidth="1"/>
    <col min="7434" max="7434" width="15.42578125" bestFit="1" customWidth="1"/>
    <col min="7435" max="7435" width="14.85546875" bestFit="1" customWidth="1"/>
    <col min="7679" max="7679" width="12.42578125" bestFit="1" customWidth="1"/>
    <col min="7689" max="7689" width="17" bestFit="1" customWidth="1"/>
    <col min="7690" max="7690" width="15.42578125" bestFit="1" customWidth="1"/>
    <col min="7691" max="7691" width="14.85546875" bestFit="1" customWidth="1"/>
    <col min="7935" max="7935" width="12.42578125" bestFit="1" customWidth="1"/>
    <col min="7945" max="7945" width="17" bestFit="1" customWidth="1"/>
    <col min="7946" max="7946" width="15.42578125" bestFit="1" customWidth="1"/>
    <col min="7947" max="7947" width="14.85546875" bestFit="1" customWidth="1"/>
    <col min="8191" max="8191" width="12.42578125" bestFit="1" customWidth="1"/>
    <col min="8201" max="8201" width="17" bestFit="1" customWidth="1"/>
    <col min="8202" max="8202" width="15.42578125" bestFit="1" customWidth="1"/>
    <col min="8203" max="8203" width="14.85546875" bestFit="1" customWidth="1"/>
    <col min="8447" max="8447" width="12.42578125" bestFit="1" customWidth="1"/>
    <col min="8457" max="8457" width="17" bestFit="1" customWidth="1"/>
    <col min="8458" max="8458" width="15.42578125" bestFit="1" customWidth="1"/>
    <col min="8459" max="8459" width="14.85546875" bestFit="1" customWidth="1"/>
    <col min="8703" max="8703" width="12.42578125" bestFit="1" customWidth="1"/>
    <col min="8713" max="8713" width="17" bestFit="1" customWidth="1"/>
    <col min="8714" max="8714" width="15.42578125" bestFit="1" customWidth="1"/>
    <col min="8715" max="8715" width="14.85546875" bestFit="1" customWidth="1"/>
    <col min="8959" max="8959" width="12.42578125" bestFit="1" customWidth="1"/>
    <col min="8969" max="8969" width="17" bestFit="1" customWidth="1"/>
    <col min="8970" max="8970" width="15.42578125" bestFit="1" customWidth="1"/>
    <col min="8971" max="8971" width="14.85546875" bestFit="1" customWidth="1"/>
    <col min="9215" max="9215" width="12.42578125" bestFit="1" customWidth="1"/>
    <col min="9225" max="9225" width="17" bestFit="1" customWidth="1"/>
    <col min="9226" max="9226" width="15.42578125" bestFit="1" customWidth="1"/>
    <col min="9227" max="9227" width="14.85546875" bestFit="1" customWidth="1"/>
    <col min="9471" max="9471" width="12.42578125" bestFit="1" customWidth="1"/>
    <col min="9481" max="9481" width="17" bestFit="1" customWidth="1"/>
    <col min="9482" max="9482" width="15.42578125" bestFit="1" customWidth="1"/>
    <col min="9483" max="9483" width="14.85546875" bestFit="1" customWidth="1"/>
    <col min="9727" max="9727" width="12.42578125" bestFit="1" customWidth="1"/>
    <col min="9737" max="9737" width="17" bestFit="1" customWidth="1"/>
    <col min="9738" max="9738" width="15.42578125" bestFit="1" customWidth="1"/>
    <col min="9739" max="9739" width="14.85546875" bestFit="1" customWidth="1"/>
    <col min="9983" max="9983" width="12.42578125" bestFit="1" customWidth="1"/>
    <col min="9993" max="9993" width="17" bestFit="1" customWidth="1"/>
    <col min="9994" max="9994" width="15.42578125" bestFit="1" customWidth="1"/>
    <col min="9995" max="9995" width="14.85546875" bestFit="1" customWidth="1"/>
    <col min="10239" max="10239" width="12.42578125" bestFit="1" customWidth="1"/>
    <col min="10249" max="10249" width="17" bestFit="1" customWidth="1"/>
    <col min="10250" max="10250" width="15.42578125" bestFit="1" customWidth="1"/>
    <col min="10251" max="10251" width="14.85546875" bestFit="1" customWidth="1"/>
    <col min="10495" max="10495" width="12.42578125" bestFit="1" customWidth="1"/>
    <col min="10505" max="10505" width="17" bestFit="1" customWidth="1"/>
    <col min="10506" max="10506" width="15.42578125" bestFit="1" customWidth="1"/>
    <col min="10507" max="10507" width="14.85546875" bestFit="1" customWidth="1"/>
    <col min="10751" max="10751" width="12.42578125" bestFit="1" customWidth="1"/>
    <col min="10761" max="10761" width="17" bestFit="1" customWidth="1"/>
    <col min="10762" max="10762" width="15.42578125" bestFit="1" customWidth="1"/>
    <col min="10763" max="10763" width="14.85546875" bestFit="1" customWidth="1"/>
    <col min="11007" max="11007" width="12.42578125" bestFit="1" customWidth="1"/>
    <col min="11017" max="11017" width="17" bestFit="1" customWidth="1"/>
    <col min="11018" max="11018" width="15.42578125" bestFit="1" customWidth="1"/>
    <col min="11019" max="11019" width="14.85546875" bestFit="1" customWidth="1"/>
    <col min="11263" max="11263" width="12.42578125" bestFit="1" customWidth="1"/>
    <col min="11273" max="11273" width="17" bestFit="1" customWidth="1"/>
    <col min="11274" max="11274" width="15.42578125" bestFit="1" customWidth="1"/>
    <col min="11275" max="11275" width="14.85546875" bestFit="1" customWidth="1"/>
    <col min="11519" max="11519" width="12.42578125" bestFit="1" customWidth="1"/>
    <col min="11529" max="11529" width="17" bestFit="1" customWidth="1"/>
    <col min="11530" max="11530" width="15.42578125" bestFit="1" customWidth="1"/>
    <col min="11531" max="11531" width="14.85546875" bestFit="1" customWidth="1"/>
    <col min="11775" max="11775" width="12.42578125" bestFit="1" customWidth="1"/>
    <col min="11785" max="11785" width="17" bestFit="1" customWidth="1"/>
    <col min="11786" max="11786" width="15.42578125" bestFit="1" customWidth="1"/>
    <col min="11787" max="11787" width="14.85546875" bestFit="1" customWidth="1"/>
    <col min="12031" max="12031" width="12.42578125" bestFit="1" customWidth="1"/>
    <col min="12041" max="12041" width="17" bestFit="1" customWidth="1"/>
    <col min="12042" max="12042" width="15.42578125" bestFit="1" customWidth="1"/>
    <col min="12043" max="12043" width="14.85546875" bestFit="1" customWidth="1"/>
    <col min="12287" max="12287" width="12.42578125" bestFit="1" customWidth="1"/>
    <col min="12297" max="12297" width="17" bestFit="1" customWidth="1"/>
    <col min="12298" max="12298" width="15.42578125" bestFit="1" customWidth="1"/>
    <col min="12299" max="12299" width="14.85546875" bestFit="1" customWidth="1"/>
    <col min="12543" max="12543" width="12.42578125" bestFit="1" customWidth="1"/>
    <col min="12553" max="12553" width="17" bestFit="1" customWidth="1"/>
    <col min="12554" max="12554" width="15.42578125" bestFit="1" customWidth="1"/>
    <col min="12555" max="12555" width="14.85546875" bestFit="1" customWidth="1"/>
    <col min="12799" max="12799" width="12.42578125" bestFit="1" customWidth="1"/>
    <col min="12809" max="12809" width="17" bestFit="1" customWidth="1"/>
    <col min="12810" max="12810" width="15.42578125" bestFit="1" customWidth="1"/>
    <col min="12811" max="12811" width="14.85546875" bestFit="1" customWidth="1"/>
    <col min="13055" max="13055" width="12.42578125" bestFit="1" customWidth="1"/>
    <col min="13065" max="13065" width="17" bestFit="1" customWidth="1"/>
    <col min="13066" max="13066" width="15.42578125" bestFit="1" customWidth="1"/>
    <col min="13067" max="13067" width="14.85546875" bestFit="1" customWidth="1"/>
    <col min="13311" max="13311" width="12.42578125" bestFit="1" customWidth="1"/>
    <col min="13321" max="13321" width="17" bestFit="1" customWidth="1"/>
    <col min="13322" max="13322" width="15.42578125" bestFit="1" customWidth="1"/>
    <col min="13323" max="13323" width="14.85546875" bestFit="1" customWidth="1"/>
    <col min="13567" max="13567" width="12.42578125" bestFit="1" customWidth="1"/>
    <col min="13577" max="13577" width="17" bestFit="1" customWidth="1"/>
    <col min="13578" max="13578" width="15.42578125" bestFit="1" customWidth="1"/>
    <col min="13579" max="13579" width="14.85546875" bestFit="1" customWidth="1"/>
    <col min="13823" max="13823" width="12.42578125" bestFit="1" customWidth="1"/>
    <col min="13833" max="13833" width="17" bestFit="1" customWidth="1"/>
    <col min="13834" max="13834" width="15.42578125" bestFit="1" customWidth="1"/>
    <col min="13835" max="13835" width="14.85546875" bestFit="1" customWidth="1"/>
    <col min="14079" max="14079" width="12.42578125" bestFit="1" customWidth="1"/>
    <col min="14089" max="14089" width="17" bestFit="1" customWidth="1"/>
    <col min="14090" max="14090" width="15.42578125" bestFit="1" customWidth="1"/>
    <col min="14091" max="14091" width="14.85546875" bestFit="1" customWidth="1"/>
    <col min="14335" max="14335" width="12.42578125" bestFit="1" customWidth="1"/>
    <col min="14345" max="14345" width="17" bestFit="1" customWidth="1"/>
    <col min="14346" max="14346" width="15.42578125" bestFit="1" customWidth="1"/>
    <col min="14347" max="14347" width="14.85546875" bestFit="1" customWidth="1"/>
    <col min="14591" max="14591" width="12.42578125" bestFit="1" customWidth="1"/>
    <col min="14601" max="14601" width="17" bestFit="1" customWidth="1"/>
    <col min="14602" max="14602" width="15.42578125" bestFit="1" customWidth="1"/>
    <col min="14603" max="14603" width="14.85546875" bestFit="1" customWidth="1"/>
    <col min="14847" max="14847" width="12.42578125" bestFit="1" customWidth="1"/>
    <col min="14857" max="14857" width="17" bestFit="1" customWidth="1"/>
    <col min="14858" max="14858" width="15.42578125" bestFit="1" customWidth="1"/>
    <col min="14859" max="14859" width="14.85546875" bestFit="1" customWidth="1"/>
    <col min="15103" max="15103" width="12.42578125" bestFit="1" customWidth="1"/>
    <col min="15113" max="15113" width="17" bestFit="1" customWidth="1"/>
    <col min="15114" max="15114" width="15.42578125" bestFit="1" customWidth="1"/>
    <col min="15115" max="15115" width="14.85546875" bestFit="1" customWidth="1"/>
    <col min="15359" max="15359" width="12.42578125" bestFit="1" customWidth="1"/>
    <col min="15369" max="15369" width="17" bestFit="1" customWidth="1"/>
    <col min="15370" max="15370" width="15.42578125" bestFit="1" customWidth="1"/>
    <col min="15371" max="15371" width="14.85546875" bestFit="1" customWidth="1"/>
    <col min="15615" max="15615" width="12.42578125" bestFit="1" customWidth="1"/>
    <col min="15625" max="15625" width="17" bestFit="1" customWidth="1"/>
    <col min="15626" max="15626" width="15.42578125" bestFit="1" customWidth="1"/>
    <col min="15627" max="15627" width="14.85546875" bestFit="1" customWidth="1"/>
    <col min="15871" max="15871" width="12.42578125" bestFit="1" customWidth="1"/>
    <col min="15881" max="15881" width="17" bestFit="1" customWidth="1"/>
    <col min="15882" max="15882" width="15.42578125" bestFit="1" customWidth="1"/>
    <col min="15883" max="15883" width="14.85546875" bestFit="1" customWidth="1"/>
    <col min="16127" max="16127" width="12.42578125" bestFit="1" customWidth="1"/>
    <col min="16137" max="16137" width="17" bestFit="1" customWidth="1"/>
    <col min="16138" max="16138" width="15.42578125" bestFit="1" customWidth="1"/>
    <col min="16139" max="16139" width="14.85546875" bestFit="1" customWidth="1"/>
  </cols>
  <sheetData>
    <row r="1" spans="1:17" s="355" customFormat="1" ht="15.75" x14ac:dyDescent="0.25">
      <c r="B1" s="960" t="s">
        <v>838</v>
      </c>
      <c r="C1" s="960"/>
      <c r="D1" s="960"/>
      <c r="E1" s="960"/>
      <c r="F1" s="960"/>
      <c r="G1" s="960"/>
      <c r="H1" s="960"/>
      <c r="I1" s="960"/>
      <c r="J1" s="960"/>
      <c r="K1" s="960"/>
      <c r="L1" s="960"/>
      <c r="M1" s="960"/>
      <c r="N1" s="960"/>
      <c r="O1" s="960"/>
      <c r="P1" s="960"/>
    </row>
    <row r="2" spans="1:17" ht="15.75" thickBot="1" x14ac:dyDescent="0.3">
      <c r="Q2" s="455" t="s">
        <v>919</v>
      </c>
    </row>
    <row r="3" spans="1:17" ht="15.75" thickBot="1" x14ac:dyDescent="0.3">
      <c r="L3" s="940"/>
      <c r="M3" s="941"/>
      <c r="N3" s="942"/>
      <c r="O3" s="940"/>
      <c r="P3" s="941"/>
      <c r="Q3" s="942"/>
    </row>
    <row r="4" spans="1:17" ht="15.75" thickBot="1" x14ac:dyDescent="0.3">
      <c r="L4" s="961" t="s">
        <v>656</v>
      </c>
      <c r="M4" s="962"/>
      <c r="N4" s="963"/>
      <c r="O4" s="961" t="s">
        <v>923</v>
      </c>
      <c r="P4" s="962"/>
      <c r="Q4" s="963"/>
    </row>
    <row r="5" spans="1:17" ht="15.75" thickBot="1" x14ac:dyDescent="0.3">
      <c r="A5" s="940"/>
      <c r="B5" s="941"/>
      <c r="C5" s="941"/>
      <c r="D5" s="941"/>
      <c r="E5" s="941"/>
      <c r="F5" s="941"/>
      <c r="G5" s="941"/>
      <c r="H5" s="941"/>
      <c r="I5" s="941"/>
      <c r="J5" s="941"/>
      <c r="K5" s="942"/>
      <c r="L5" s="351" t="s">
        <v>590</v>
      </c>
      <c r="M5" s="456" t="s">
        <v>591</v>
      </c>
      <c r="N5" s="456" t="s">
        <v>592</v>
      </c>
      <c r="O5" s="351" t="s">
        <v>590</v>
      </c>
      <c r="P5" s="456" t="s">
        <v>591</v>
      </c>
      <c r="Q5" s="456" t="s">
        <v>592</v>
      </c>
    </row>
    <row r="6" spans="1:17" ht="16.5" thickBot="1" x14ac:dyDescent="0.3">
      <c r="A6" s="951" t="s">
        <v>593</v>
      </c>
      <c r="B6" s="952"/>
      <c r="C6" s="952"/>
      <c r="D6" s="952"/>
      <c r="E6" s="952"/>
      <c r="F6" s="952"/>
      <c r="G6" s="952"/>
      <c r="H6" s="952"/>
      <c r="I6" s="952"/>
      <c r="J6" s="952"/>
      <c r="K6" s="953"/>
      <c r="L6" s="353"/>
      <c r="M6" s="457"/>
      <c r="N6" s="458"/>
      <c r="O6" s="353"/>
      <c r="P6" s="457"/>
      <c r="Q6" s="458"/>
    </row>
    <row r="7" spans="1:17" ht="15.75" thickBot="1" x14ac:dyDescent="0.3">
      <c r="A7" s="940"/>
      <c r="B7" s="941"/>
      <c r="C7" s="941"/>
      <c r="D7" s="941"/>
      <c r="E7" s="941"/>
      <c r="F7" s="941"/>
      <c r="G7" s="941"/>
      <c r="H7" s="941"/>
      <c r="I7" s="941"/>
      <c r="J7" s="941"/>
      <c r="K7" s="942"/>
      <c r="L7" s="353">
        <v>27934980</v>
      </c>
      <c r="M7" s="457"/>
      <c r="N7" s="458"/>
      <c r="O7" s="353">
        <v>28705670</v>
      </c>
      <c r="P7" s="457"/>
      <c r="Q7" s="458"/>
    </row>
    <row r="8" spans="1:17" ht="15.75" thickBot="1" x14ac:dyDescent="0.3">
      <c r="A8" s="940"/>
      <c r="B8" s="941"/>
      <c r="C8" s="941"/>
      <c r="D8" s="941"/>
      <c r="E8" s="941"/>
      <c r="F8" s="941"/>
      <c r="G8" s="941"/>
      <c r="H8" s="941"/>
      <c r="I8" s="941"/>
      <c r="J8" s="941"/>
      <c r="K8" s="942"/>
      <c r="L8" s="353">
        <v>1190100</v>
      </c>
      <c r="M8" s="457"/>
      <c r="N8" s="458"/>
      <c r="O8" s="353"/>
      <c r="P8" s="457"/>
      <c r="Q8" s="458"/>
    </row>
    <row r="9" spans="1:17" ht="15.75" thickBot="1" x14ac:dyDescent="0.3">
      <c r="A9" s="940"/>
      <c r="B9" s="941"/>
      <c r="C9" s="941"/>
      <c r="D9" s="941"/>
      <c r="E9" s="941"/>
      <c r="F9" s="941"/>
      <c r="G9" s="941"/>
      <c r="H9" s="941"/>
      <c r="I9" s="941"/>
      <c r="J9" s="941"/>
      <c r="K9" s="942"/>
      <c r="L9" s="353"/>
      <c r="M9" s="457"/>
      <c r="N9" s="458"/>
      <c r="O9" s="353"/>
      <c r="P9" s="457"/>
      <c r="Q9" s="458"/>
    </row>
    <row r="10" spans="1:17" ht="15.75" thickBot="1" x14ac:dyDescent="0.3">
      <c r="A10" s="940"/>
      <c r="B10" s="941"/>
      <c r="C10" s="941"/>
      <c r="D10" s="941"/>
      <c r="E10" s="941"/>
      <c r="F10" s="941"/>
      <c r="G10" s="941"/>
      <c r="H10" s="941"/>
      <c r="I10" s="941"/>
      <c r="J10" s="941"/>
      <c r="K10" s="942"/>
      <c r="L10" s="353"/>
      <c r="M10" s="457"/>
      <c r="N10" s="458"/>
      <c r="O10" s="353"/>
      <c r="P10" s="457"/>
      <c r="Q10" s="458"/>
    </row>
    <row r="11" spans="1:17" ht="15.75" thickBot="1" x14ac:dyDescent="0.3">
      <c r="A11" s="940"/>
      <c r="B11" s="941"/>
      <c r="C11" s="941"/>
      <c r="D11" s="941"/>
      <c r="E11" s="941"/>
      <c r="F11" s="941"/>
      <c r="G11" s="941"/>
      <c r="H11" s="941"/>
      <c r="I11" s="941"/>
      <c r="J11" s="941"/>
      <c r="K11" s="942"/>
      <c r="L11" s="353"/>
      <c r="M11" s="457"/>
      <c r="N11" s="458"/>
      <c r="O11" s="353"/>
      <c r="P11" s="457"/>
      <c r="Q11" s="458"/>
    </row>
    <row r="12" spans="1:17" ht="15.75" thickBot="1" x14ac:dyDescent="0.3">
      <c r="A12" s="940"/>
      <c r="B12" s="941"/>
      <c r="C12" s="941"/>
      <c r="D12" s="941"/>
      <c r="E12" s="941"/>
      <c r="F12" s="941"/>
      <c r="G12" s="941"/>
      <c r="H12" s="941"/>
      <c r="I12" s="941"/>
      <c r="J12" s="941"/>
      <c r="K12" s="942"/>
      <c r="L12" s="353"/>
      <c r="M12" s="457"/>
      <c r="N12" s="458"/>
      <c r="O12" s="353"/>
      <c r="P12" s="457"/>
      <c r="Q12" s="458"/>
    </row>
    <row r="13" spans="1:17" ht="15.75" thickBot="1" x14ac:dyDescent="0.3">
      <c r="A13" s="940"/>
      <c r="B13" s="941"/>
      <c r="C13" s="941"/>
      <c r="D13" s="941"/>
      <c r="E13" s="941"/>
      <c r="F13" s="941"/>
      <c r="G13" s="941"/>
      <c r="H13" s="941"/>
      <c r="I13" s="941"/>
      <c r="J13" s="941"/>
      <c r="K13" s="942"/>
      <c r="L13" s="353"/>
      <c r="M13" s="457"/>
      <c r="N13" s="458"/>
      <c r="O13" s="353"/>
      <c r="P13" s="457"/>
      <c r="Q13" s="458"/>
    </row>
    <row r="14" spans="1:17" s="350" customFormat="1" ht="19.5" thickBot="1" x14ac:dyDescent="0.35">
      <c r="A14" s="957" t="s">
        <v>594</v>
      </c>
      <c r="B14" s="958"/>
      <c r="C14" s="958"/>
      <c r="D14" s="958"/>
      <c r="E14" s="958"/>
      <c r="F14" s="958"/>
      <c r="G14" s="958"/>
      <c r="H14" s="958"/>
      <c r="I14" s="958"/>
      <c r="J14" s="958"/>
      <c r="K14" s="959"/>
      <c r="L14" s="356">
        <f>L7+L8+L9+L10+L11+L12+L13</f>
        <v>29125080</v>
      </c>
      <c r="M14" s="459">
        <v>28313228</v>
      </c>
      <c r="N14" s="356">
        <f>L14-M14</f>
        <v>811852</v>
      </c>
      <c r="O14" s="356">
        <f>O7+O8+O9+O10+O11+O12+O13</f>
        <v>28705670</v>
      </c>
      <c r="P14" s="459">
        <v>33301897</v>
      </c>
      <c r="Q14" s="356">
        <f>O14-P14</f>
        <v>-4596227</v>
      </c>
    </row>
    <row r="15" spans="1:17" ht="15.75" thickBot="1" x14ac:dyDescent="0.3">
      <c r="A15" s="940"/>
      <c r="B15" s="941"/>
      <c r="C15" s="941"/>
      <c r="D15" s="941"/>
      <c r="E15" s="941"/>
      <c r="F15" s="941"/>
      <c r="G15" s="941"/>
      <c r="H15" s="941"/>
      <c r="I15" s="941"/>
      <c r="J15" s="941"/>
      <c r="K15" s="942"/>
      <c r="L15" s="353"/>
      <c r="M15" s="460"/>
      <c r="N15" s="352"/>
      <c r="O15" s="353"/>
      <c r="P15" s="460"/>
      <c r="Q15" s="352"/>
    </row>
    <row r="16" spans="1:17" ht="16.5" thickBot="1" x14ac:dyDescent="0.3">
      <c r="A16" s="951" t="s">
        <v>292</v>
      </c>
      <c r="B16" s="952"/>
      <c r="C16" s="952"/>
      <c r="D16" s="952"/>
      <c r="E16" s="952"/>
      <c r="F16" s="952"/>
      <c r="G16" s="952"/>
      <c r="H16" s="952"/>
      <c r="I16" s="952"/>
      <c r="J16" s="952"/>
      <c r="K16" s="953"/>
      <c r="L16" s="353"/>
      <c r="M16" s="460"/>
      <c r="N16" s="352"/>
      <c r="O16" s="353"/>
      <c r="P16" s="460"/>
      <c r="Q16" s="352"/>
    </row>
    <row r="17" spans="1:17" ht="15.75" thickBot="1" x14ac:dyDescent="0.3">
      <c r="A17" s="940"/>
      <c r="B17" s="941"/>
      <c r="C17" s="941"/>
      <c r="D17" s="941"/>
      <c r="E17" s="941"/>
      <c r="F17" s="941"/>
      <c r="G17" s="941"/>
      <c r="H17" s="941"/>
      <c r="I17" s="941"/>
      <c r="J17" s="941"/>
      <c r="K17" s="942"/>
      <c r="L17" s="353">
        <v>8979000</v>
      </c>
      <c r="M17" s="460"/>
      <c r="N17" s="352"/>
      <c r="O17" s="353">
        <v>8979000</v>
      </c>
      <c r="P17" s="460"/>
      <c r="Q17" s="352"/>
    </row>
    <row r="18" spans="1:17" ht="15.75" thickBot="1" x14ac:dyDescent="0.3">
      <c r="A18" s="940"/>
      <c r="B18" s="941"/>
      <c r="C18" s="941"/>
      <c r="D18" s="941"/>
      <c r="E18" s="941"/>
      <c r="F18" s="941"/>
      <c r="G18" s="941"/>
      <c r="H18" s="941"/>
      <c r="I18" s="941"/>
      <c r="J18" s="941"/>
      <c r="K18" s="942"/>
      <c r="L18" s="353">
        <f>3629000-15000</f>
        <v>3614000</v>
      </c>
      <c r="M18" s="460"/>
      <c r="N18" s="352"/>
      <c r="O18" s="353">
        <v>3676000</v>
      </c>
      <c r="P18" s="460"/>
      <c r="Q18" s="352"/>
    </row>
    <row r="19" spans="1:17" s="350" customFormat="1" ht="19.5" thickBot="1" x14ac:dyDescent="0.35">
      <c r="A19" s="957" t="s">
        <v>595</v>
      </c>
      <c r="B19" s="958"/>
      <c r="C19" s="958"/>
      <c r="D19" s="958"/>
      <c r="E19" s="958"/>
      <c r="F19" s="958"/>
      <c r="G19" s="958"/>
      <c r="H19" s="958"/>
      <c r="I19" s="958"/>
      <c r="J19" s="958"/>
      <c r="K19" s="959"/>
      <c r="L19" s="356">
        <f>L17+L18</f>
        <v>12593000</v>
      </c>
      <c r="M19" s="459">
        <v>13781173</v>
      </c>
      <c r="N19" s="356">
        <f>L19-M19</f>
        <v>-1188173</v>
      </c>
      <c r="O19" s="356">
        <f>O17+O18</f>
        <v>12655000</v>
      </c>
      <c r="P19" s="459">
        <v>14756514</v>
      </c>
      <c r="Q19" s="356">
        <f>O19-P19</f>
        <v>-2101514</v>
      </c>
    </row>
    <row r="20" spans="1:17" s="350" customFormat="1" ht="21.75" thickBot="1" x14ac:dyDescent="0.4">
      <c r="A20" s="951" t="s">
        <v>596</v>
      </c>
      <c r="B20" s="952"/>
      <c r="C20" s="952"/>
      <c r="D20" s="952"/>
      <c r="E20" s="952"/>
      <c r="F20" s="952"/>
      <c r="G20" s="952"/>
      <c r="H20" s="952"/>
      <c r="I20" s="952"/>
      <c r="J20" s="952"/>
      <c r="K20" s="953"/>
      <c r="L20" s="461">
        <f>L14+L19</f>
        <v>41718080</v>
      </c>
      <c r="M20" s="461">
        <f>M19+M14</f>
        <v>42094401</v>
      </c>
      <c r="N20" s="461">
        <f>L20-M20</f>
        <v>-376321</v>
      </c>
      <c r="O20" s="461">
        <f>O14+O19</f>
        <v>41360670</v>
      </c>
      <c r="P20" s="461">
        <f>P19+P14</f>
        <v>48058411</v>
      </c>
      <c r="Q20" s="461">
        <f>O20-P20</f>
        <v>-6697741</v>
      </c>
    </row>
    <row r="21" spans="1:17" s="462" customFormat="1" ht="21.75" thickBot="1" x14ac:dyDescent="0.4">
      <c r="A21" s="954"/>
      <c r="B21" s="955"/>
      <c r="C21" s="955"/>
      <c r="D21" s="955"/>
      <c r="E21" s="955"/>
      <c r="F21" s="955"/>
      <c r="G21" s="955"/>
      <c r="H21" s="955"/>
      <c r="I21" s="955"/>
      <c r="J21" s="955"/>
      <c r="K21" s="956"/>
      <c r="L21" s="461"/>
      <c r="M21" s="513"/>
      <c r="N21" s="513"/>
      <c r="O21" s="461"/>
      <c r="P21" s="513"/>
      <c r="Q21" s="513"/>
    </row>
    <row r="22" spans="1:17" ht="16.5" thickBot="1" x14ac:dyDescent="0.3">
      <c r="A22" s="940" t="s">
        <v>515</v>
      </c>
      <c r="B22" s="941"/>
      <c r="C22" s="941"/>
      <c r="D22" s="941"/>
      <c r="E22" s="941"/>
      <c r="F22" s="941"/>
      <c r="G22" s="941"/>
      <c r="H22" s="941"/>
      <c r="I22" s="941"/>
      <c r="J22" s="941"/>
      <c r="K22" s="942"/>
      <c r="L22" s="607">
        <v>2228820</v>
      </c>
      <c r="M22" s="463"/>
      <c r="N22" s="463"/>
      <c r="O22" s="607">
        <v>2305593</v>
      </c>
      <c r="P22" s="466">
        <v>13754755</v>
      </c>
      <c r="Q22" s="608">
        <f>O22-P22</f>
        <v>-11449162</v>
      </c>
    </row>
    <row r="23" spans="1:17" ht="15.75" thickBot="1" x14ac:dyDescent="0.3">
      <c r="A23" s="948" t="s">
        <v>597</v>
      </c>
      <c r="B23" s="949"/>
      <c r="C23" s="949"/>
      <c r="D23" s="949"/>
      <c r="E23" s="949"/>
      <c r="F23" s="949"/>
      <c r="G23" s="949"/>
      <c r="H23" s="949"/>
      <c r="I23" s="949"/>
      <c r="J23" s="949"/>
      <c r="K23" s="950"/>
      <c r="L23" s="464">
        <v>136400</v>
      </c>
      <c r="M23" s="465"/>
      <c r="N23" s="465"/>
      <c r="O23" s="464"/>
      <c r="P23" s="465"/>
      <c r="Q23" s="465"/>
    </row>
    <row r="24" spans="1:17" ht="19.5" customHeight="1" thickBot="1" x14ac:dyDescent="0.35">
      <c r="A24" s="943" t="s">
        <v>839</v>
      </c>
      <c r="B24" s="944"/>
      <c r="C24" s="944"/>
      <c r="D24" s="944"/>
      <c r="E24" s="944"/>
      <c r="F24" s="944"/>
      <c r="G24" s="944"/>
      <c r="H24" s="609"/>
      <c r="I24" s="609"/>
      <c r="J24" s="573"/>
      <c r="K24" s="574"/>
      <c r="L24" s="356"/>
      <c r="M24" s="465"/>
      <c r="N24" s="465"/>
      <c r="O24" s="356"/>
      <c r="P24" s="465"/>
      <c r="Q24" s="465"/>
    </row>
    <row r="25" spans="1:17" ht="21.75" customHeight="1" thickBot="1" x14ac:dyDescent="0.4">
      <c r="A25" s="943" t="s">
        <v>840</v>
      </c>
      <c r="B25" s="944"/>
      <c r="C25" s="944"/>
      <c r="D25" s="944"/>
      <c r="E25" s="944"/>
      <c r="F25" s="944"/>
      <c r="G25" s="944"/>
      <c r="H25" s="944"/>
      <c r="I25" s="944"/>
      <c r="J25" s="578"/>
      <c r="K25" s="580"/>
      <c r="L25" s="356">
        <v>932100</v>
      </c>
      <c r="M25" s="465"/>
      <c r="N25" s="465"/>
      <c r="O25" s="356"/>
      <c r="P25" s="465"/>
      <c r="Q25" s="465"/>
    </row>
    <row r="26" spans="1:17" s="350" customFormat="1" ht="19.5" thickBot="1" x14ac:dyDescent="0.35">
      <c r="A26" s="951" t="s">
        <v>598</v>
      </c>
      <c r="B26" s="952"/>
      <c r="C26" s="952"/>
      <c r="D26" s="952"/>
      <c r="E26" s="952"/>
      <c r="F26" s="952"/>
      <c r="G26" s="952"/>
      <c r="H26" s="952"/>
      <c r="I26" s="952"/>
      <c r="J26" s="952"/>
      <c r="K26" s="953"/>
      <c r="L26" s="356">
        <f>L22+L23+L25</f>
        <v>3297320</v>
      </c>
      <c r="M26" s="356">
        <f>[2]közművelődés!H83</f>
        <v>13403366</v>
      </c>
      <c r="N26" s="356">
        <f>L26-M26</f>
        <v>-10106046</v>
      </c>
      <c r="O26" s="356">
        <f>O22+O23+O25</f>
        <v>2305593</v>
      </c>
      <c r="P26" s="356">
        <v>13754755</v>
      </c>
      <c r="Q26" s="356">
        <f>O26-P26</f>
        <v>-11449162</v>
      </c>
    </row>
    <row r="27" spans="1:17" s="350" customFormat="1" ht="21.75" thickBot="1" x14ac:dyDescent="0.4">
      <c r="A27" s="951" t="s">
        <v>657</v>
      </c>
      <c r="B27" s="952"/>
      <c r="C27" s="952"/>
      <c r="D27" s="952"/>
      <c r="E27" s="952"/>
      <c r="F27" s="952"/>
      <c r="G27" s="952"/>
      <c r="H27" s="952"/>
      <c r="I27" s="952"/>
      <c r="J27" s="578"/>
      <c r="K27" s="580"/>
      <c r="L27" s="356">
        <f>L28+L29</f>
        <v>1361500</v>
      </c>
      <c r="O27" s="356">
        <f>O28+O29+O30+O31</f>
        <v>1350000</v>
      </c>
    </row>
    <row r="28" spans="1:17" ht="15.75" thickBot="1" x14ac:dyDescent="0.3">
      <c r="A28" s="940" t="s">
        <v>599</v>
      </c>
      <c r="B28" s="941"/>
      <c r="C28" s="941"/>
      <c r="D28" s="941"/>
      <c r="E28" s="941"/>
      <c r="F28" s="941"/>
      <c r="G28" s="941"/>
      <c r="H28" s="941"/>
      <c r="I28" s="941"/>
      <c r="J28" s="941"/>
      <c r="K28" s="942"/>
      <c r="L28" s="353">
        <v>1200000</v>
      </c>
      <c r="O28" s="353">
        <v>1200000</v>
      </c>
    </row>
    <row r="29" spans="1:17" ht="15.75" thickBot="1" x14ac:dyDescent="0.3">
      <c r="A29" s="945" t="s">
        <v>600</v>
      </c>
      <c r="B29" s="946"/>
      <c r="C29" s="946"/>
      <c r="D29" s="946"/>
      <c r="E29" s="946"/>
      <c r="F29" s="946"/>
      <c r="G29" s="946"/>
      <c r="H29" s="946"/>
      <c r="I29" s="946"/>
      <c r="J29" s="946"/>
      <c r="K29" s="947"/>
      <c r="L29" s="514">
        <v>161500</v>
      </c>
      <c r="O29" s="514">
        <v>150000</v>
      </c>
    </row>
    <row r="30" spans="1:17" ht="15.75" thickBot="1" x14ac:dyDescent="0.3">
      <c r="A30" s="940" t="s">
        <v>841</v>
      </c>
      <c r="B30" s="941"/>
      <c r="C30" s="941"/>
      <c r="D30" s="941"/>
      <c r="E30" s="941"/>
      <c r="F30" s="941"/>
      <c r="G30" s="941"/>
      <c r="H30" s="577"/>
      <c r="I30" s="577"/>
      <c r="J30" s="577"/>
      <c r="K30" s="577"/>
      <c r="L30" s="514">
        <v>976264</v>
      </c>
      <c r="O30" s="514">
        <v>0</v>
      </c>
    </row>
    <row r="31" spans="1:17" ht="15.75" thickBot="1" x14ac:dyDescent="0.3">
      <c r="A31" s="940" t="s">
        <v>842</v>
      </c>
      <c r="B31" s="941"/>
      <c r="C31" s="941"/>
      <c r="D31" s="941"/>
      <c r="E31" s="941"/>
      <c r="F31" s="941"/>
      <c r="G31" s="941"/>
      <c r="H31" s="577"/>
      <c r="I31" s="577"/>
      <c r="J31" s="577"/>
      <c r="K31" s="577"/>
      <c r="L31" s="514">
        <v>213</v>
      </c>
      <c r="O31" s="514">
        <v>0</v>
      </c>
    </row>
    <row r="32" spans="1:17" s="547" customFormat="1" ht="16.5" thickBot="1" x14ac:dyDescent="0.3">
      <c r="A32" s="964" t="s">
        <v>658</v>
      </c>
      <c r="B32" s="965"/>
      <c r="C32" s="965"/>
      <c r="D32" s="965"/>
      <c r="E32" s="965"/>
      <c r="F32" s="965"/>
      <c r="G32" s="965"/>
      <c r="H32" s="965"/>
      <c r="I32" s="965"/>
      <c r="J32" s="579"/>
      <c r="K32" s="579"/>
      <c r="L32" s="515"/>
      <c r="O32" s="515"/>
    </row>
    <row r="33" spans="1:15" ht="15.75" thickBot="1" x14ac:dyDescent="0.3">
      <c r="A33" s="937" t="s">
        <v>659</v>
      </c>
      <c r="B33" s="938"/>
      <c r="C33" s="938"/>
      <c r="D33" s="938"/>
      <c r="E33" s="938"/>
      <c r="F33" s="938"/>
      <c r="G33" s="938"/>
      <c r="H33" s="938"/>
      <c r="I33" s="938"/>
      <c r="J33" s="938"/>
      <c r="K33" s="939"/>
      <c r="L33" s="467"/>
      <c r="N33" s="610">
        <v>43830</v>
      </c>
      <c r="O33" s="467">
        <v>32085</v>
      </c>
    </row>
    <row r="34" spans="1:15" ht="15.75" thickBot="1" x14ac:dyDescent="0.3">
      <c r="A34" s="940" t="s">
        <v>660</v>
      </c>
      <c r="B34" s="941"/>
      <c r="C34" s="941"/>
      <c r="D34" s="941"/>
      <c r="E34" s="941"/>
      <c r="F34" s="941"/>
      <c r="G34" s="941"/>
      <c r="H34" s="941"/>
      <c r="I34" s="941"/>
      <c r="J34" s="941"/>
      <c r="K34" s="942"/>
      <c r="L34" s="353"/>
      <c r="N34" s="610">
        <v>43830</v>
      </c>
      <c r="O34" s="353">
        <v>1233445</v>
      </c>
    </row>
    <row r="35" spans="1:15" ht="16.5" thickBot="1" x14ac:dyDescent="0.3">
      <c r="A35" s="964" t="s">
        <v>843</v>
      </c>
      <c r="B35" s="965"/>
      <c r="C35" s="965"/>
      <c r="D35" s="965"/>
      <c r="E35" s="965"/>
      <c r="F35" s="965"/>
      <c r="G35" s="965"/>
      <c r="H35" s="965"/>
      <c r="I35" s="965"/>
      <c r="J35" s="575"/>
      <c r="K35" s="576"/>
      <c r="L35" s="353">
        <v>1276585</v>
      </c>
      <c r="O35" s="353">
        <f>O34+O33</f>
        <v>1265530</v>
      </c>
    </row>
    <row r="36" spans="1:15" s="357" customFormat="1" ht="19.5" thickBot="1" x14ac:dyDescent="0.35">
      <c r="A36" s="966" t="s">
        <v>601</v>
      </c>
      <c r="B36" s="967"/>
      <c r="C36" s="967"/>
      <c r="D36" s="967"/>
      <c r="E36" s="967"/>
      <c r="F36" s="967"/>
      <c r="G36" s="967"/>
      <c r="H36" s="967"/>
      <c r="I36" s="967"/>
      <c r="J36" s="967"/>
      <c r="K36" s="968"/>
      <c r="L36" s="356">
        <f>L20+L26+L27+L32</f>
        <v>46376900</v>
      </c>
      <c r="O36" s="356">
        <f>O14+O19+O22+O27+O33+O34</f>
        <v>46281793</v>
      </c>
    </row>
    <row r="37" spans="1:15" s="357" customFormat="1" ht="19.5" thickBot="1" x14ac:dyDescent="0.35">
      <c r="A37" s="966" t="s">
        <v>602</v>
      </c>
      <c r="B37" s="967"/>
      <c r="C37" s="967"/>
      <c r="D37" s="967"/>
      <c r="E37" s="967"/>
      <c r="F37" s="967"/>
      <c r="G37" s="967"/>
      <c r="H37" s="967"/>
      <c r="I37" s="967"/>
      <c r="J37" s="967"/>
      <c r="K37" s="968"/>
      <c r="L37" s="356">
        <v>59112109</v>
      </c>
      <c r="O37" s="356">
        <f>P26+P20</f>
        <v>61813166</v>
      </c>
    </row>
    <row r="38" spans="1:15" ht="19.5" thickBot="1" x14ac:dyDescent="0.35">
      <c r="A38" s="966" t="s">
        <v>603</v>
      </c>
      <c r="B38" s="967"/>
      <c r="C38" s="967"/>
      <c r="D38" s="967"/>
      <c r="E38" s="967"/>
      <c r="F38" s="967"/>
      <c r="G38" s="967"/>
      <c r="H38" s="967"/>
      <c r="I38" s="967"/>
      <c r="J38" s="967"/>
      <c r="K38" s="968"/>
      <c r="L38" s="356">
        <f>L36-L37</f>
        <v>-12735209</v>
      </c>
      <c r="O38" s="356">
        <f>O36-O37</f>
        <v>-15531373</v>
      </c>
    </row>
    <row r="40" spans="1:15" x14ac:dyDescent="0.25">
      <c r="O40" s="349"/>
    </row>
  </sheetData>
  <mergeCells count="39">
    <mergeCell ref="A34:K34"/>
    <mergeCell ref="A35:I35"/>
    <mergeCell ref="A36:K36"/>
    <mergeCell ref="A37:K37"/>
    <mergeCell ref="A38:K38"/>
    <mergeCell ref="A27:I27"/>
    <mergeCell ref="A28:K28"/>
    <mergeCell ref="A30:G30"/>
    <mergeCell ref="A31:G31"/>
    <mergeCell ref="A32:I32"/>
    <mergeCell ref="B1:P1"/>
    <mergeCell ref="O3:Q3"/>
    <mergeCell ref="L4:N4"/>
    <mergeCell ref="O4:Q4"/>
    <mergeCell ref="A24:G24"/>
    <mergeCell ref="A18:K18"/>
    <mergeCell ref="A19:K19"/>
    <mergeCell ref="A20:K20"/>
    <mergeCell ref="A9:K9"/>
    <mergeCell ref="A5:K5"/>
    <mergeCell ref="A6:K6"/>
    <mergeCell ref="A7:K7"/>
    <mergeCell ref="A8:K8"/>
    <mergeCell ref="A33:K33"/>
    <mergeCell ref="L3:N3"/>
    <mergeCell ref="A22:K22"/>
    <mergeCell ref="A25:I25"/>
    <mergeCell ref="A29:K29"/>
    <mergeCell ref="A23:K23"/>
    <mergeCell ref="A26:K26"/>
    <mergeCell ref="A21:K21"/>
    <mergeCell ref="A10:K10"/>
    <mergeCell ref="A11:K11"/>
    <mergeCell ref="A12:K12"/>
    <mergeCell ref="A13:K13"/>
    <mergeCell ref="A14:K14"/>
    <mergeCell ref="A15:K15"/>
    <mergeCell ref="A16:K16"/>
    <mergeCell ref="A17:K17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62"/>
  <sheetViews>
    <sheetView topLeftCell="B1" workbookViewId="0">
      <selection activeCell="I21" sqref="I21"/>
    </sheetView>
  </sheetViews>
  <sheetFormatPr defaultRowHeight="15.75" x14ac:dyDescent="0.25"/>
  <cols>
    <col min="1" max="1" width="38.28515625" style="389" customWidth="1"/>
    <col min="2" max="2" width="10.28515625" style="389" customWidth="1"/>
    <col min="3" max="13" width="9.5703125" style="389" customWidth="1"/>
    <col min="14" max="14" width="10.5703125" style="389" bestFit="1" customWidth="1"/>
    <col min="15" max="15" width="7.42578125" style="381" bestFit="1" customWidth="1"/>
    <col min="16" max="16384" width="9.140625" style="381"/>
  </cols>
  <sheetData>
    <row r="1" spans="1:15" x14ac:dyDescent="0.25">
      <c r="A1" s="969" t="s">
        <v>844</v>
      </c>
      <c r="B1" s="969"/>
      <c r="C1" s="969"/>
      <c r="D1" s="969"/>
      <c r="E1" s="969"/>
      <c r="F1" s="969"/>
      <c r="G1" s="969"/>
      <c r="H1" s="969"/>
      <c r="I1" s="969"/>
      <c r="J1" s="969"/>
      <c r="K1" s="969"/>
      <c r="L1" s="969"/>
      <c r="M1" s="969"/>
      <c r="N1" s="969"/>
    </row>
    <row r="2" spans="1:15" ht="24" customHeight="1" x14ac:dyDescent="0.25">
      <c r="A2" s="969" t="s">
        <v>300</v>
      </c>
      <c r="B2" s="969"/>
      <c r="C2" s="969"/>
      <c r="D2" s="969"/>
      <c r="E2" s="969"/>
      <c r="F2" s="969"/>
      <c r="G2" s="969"/>
      <c r="H2" s="969"/>
      <c r="I2" s="969"/>
      <c r="J2" s="969"/>
      <c r="K2" s="969"/>
      <c r="L2" s="969"/>
      <c r="M2" s="969"/>
      <c r="N2" s="969"/>
    </row>
    <row r="3" spans="1:15" ht="12.75" customHeight="1" x14ac:dyDescent="0.25">
      <c r="A3" s="970" t="s">
        <v>721</v>
      </c>
      <c r="B3" s="970"/>
      <c r="C3" s="970"/>
      <c r="D3" s="970"/>
      <c r="E3" s="970"/>
      <c r="F3" s="970"/>
      <c r="G3" s="970"/>
      <c r="H3" s="970"/>
      <c r="I3" s="970"/>
      <c r="J3" s="970"/>
      <c r="K3" s="970"/>
      <c r="L3" s="970"/>
      <c r="M3" s="970"/>
      <c r="N3" s="970"/>
    </row>
    <row r="4" spans="1:15" ht="19.5" customHeight="1" x14ac:dyDescent="0.25">
      <c r="A4" s="970"/>
      <c r="B4" s="970"/>
      <c r="C4" s="970"/>
      <c r="D4" s="970"/>
      <c r="E4" s="970"/>
      <c r="F4" s="970"/>
      <c r="G4" s="970"/>
      <c r="H4" s="970"/>
      <c r="I4" s="970"/>
      <c r="J4" s="970"/>
      <c r="K4" s="970"/>
      <c r="L4" s="970"/>
      <c r="M4" s="970"/>
      <c r="N4" s="970"/>
    </row>
    <row r="5" spans="1:15" ht="16.5" customHeight="1" x14ac:dyDescent="0.25">
      <c r="A5" s="506"/>
      <c r="B5" s="506"/>
      <c r="C5" s="506"/>
      <c r="D5" s="506"/>
      <c r="E5" s="506"/>
      <c r="F5" s="506"/>
      <c r="G5" s="506"/>
      <c r="H5" s="506"/>
      <c r="I5" s="506"/>
      <c r="J5" s="506"/>
      <c r="K5" s="506"/>
      <c r="L5" s="506"/>
      <c r="M5" s="970" t="s">
        <v>357</v>
      </c>
      <c r="N5" s="970"/>
    </row>
    <row r="6" spans="1:15" ht="18" customHeight="1" x14ac:dyDescent="0.25">
      <c r="A6" s="359" t="s">
        <v>7</v>
      </c>
      <c r="B6" s="360" t="s">
        <v>358</v>
      </c>
      <c r="C6" s="360" t="s">
        <v>359</v>
      </c>
      <c r="D6" s="360" t="s">
        <v>360</v>
      </c>
      <c r="E6" s="360" t="s">
        <v>361</v>
      </c>
      <c r="F6" s="360" t="s">
        <v>362</v>
      </c>
      <c r="G6" s="360" t="s">
        <v>363</v>
      </c>
      <c r="H6" s="360" t="s">
        <v>364</v>
      </c>
      <c r="I6" s="360" t="s">
        <v>365</v>
      </c>
      <c r="J6" s="360" t="s">
        <v>366</v>
      </c>
      <c r="K6" s="360" t="s">
        <v>367</v>
      </c>
      <c r="L6" s="360" t="s">
        <v>368</v>
      </c>
      <c r="M6" s="360" t="s">
        <v>369</v>
      </c>
      <c r="N6" s="359" t="s">
        <v>370</v>
      </c>
    </row>
    <row r="7" spans="1:15" ht="18" customHeight="1" x14ac:dyDescent="0.25">
      <c r="A7" s="361" t="s">
        <v>13</v>
      </c>
      <c r="B7" s="363">
        <v>3160</v>
      </c>
      <c r="C7" s="363">
        <v>3161</v>
      </c>
      <c r="D7" s="363">
        <v>3161</v>
      </c>
      <c r="E7" s="363">
        <v>3161</v>
      </c>
      <c r="F7" s="363">
        <v>3161</v>
      </c>
      <c r="G7" s="363">
        <v>3161</v>
      </c>
      <c r="H7" s="363">
        <v>3161</v>
      </c>
      <c r="I7" s="363">
        <v>3161</v>
      </c>
      <c r="J7" s="363">
        <v>3161</v>
      </c>
      <c r="K7" s="363">
        <v>3161</v>
      </c>
      <c r="L7" s="363">
        <v>3161</v>
      </c>
      <c r="M7" s="363">
        <v>3161</v>
      </c>
      <c r="N7" s="364">
        <f t="shared" ref="N7:N12" si="0">SUM(B7:M7)</f>
        <v>37931</v>
      </c>
      <c r="O7" s="381">
        <v>37931</v>
      </c>
    </row>
    <row r="8" spans="1:15" ht="18" customHeight="1" x14ac:dyDescent="0.25">
      <c r="A8" s="361" t="s">
        <v>371</v>
      </c>
      <c r="B8" s="363">
        <v>620</v>
      </c>
      <c r="C8" s="363">
        <v>620</v>
      </c>
      <c r="D8" s="363">
        <v>620</v>
      </c>
      <c r="E8" s="363">
        <v>620</v>
      </c>
      <c r="F8" s="363">
        <v>620</v>
      </c>
      <c r="G8" s="363">
        <v>620</v>
      </c>
      <c r="H8" s="363">
        <v>620</v>
      </c>
      <c r="I8" s="363">
        <v>620</v>
      </c>
      <c r="J8" s="363">
        <v>621</v>
      </c>
      <c r="K8" s="363">
        <v>621</v>
      </c>
      <c r="L8" s="363">
        <v>621</v>
      </c>
      <c r="M8" s="363">
        <v>621</v>
      </c>
      <c r="N8" s="364">
        <f t="shared" si="0"/>
        <v>7444</v>
      </c>
      <c r="O8" s="381">
        <v>7444</v>
      </c>
    </row>
    <row r="9" spans="1:15" ht="18" customHeight="1" x14ac:dyDescent="0.25">
      <c r="A9" s="361" t="s">
        <v>15</v>
      </c>
      <c r="B9" s="363">
        <v>1309</v>
      </c>
      <c r="C9" s="363">
        <v>1309</v>
      </c>
      <c r="D9" s="363">
        <v>1310</v>
      </c>
      <c r="E9" s="363">
        <v>1310</v>
      </c>
      <c r="F9" s="363">
        <v>1310</v>
      </c>
      <c r="G9" s="363">
        <v>1310</v>
      </c>
      <c r="H9" s="363">
        <v>1310</v>
      </c>
      <c r="I9" s="363">
        <v>1310</v>
      </c>
      <c r="J9" s="363">
        <v>1310</v>
      </c>
      <c r="K9" s="363">
        <v>1310</v>
      </c>
      <c r="L9" s="363">
        <v>1310</v>
      </c>
      <c r="M9" s="363">
        <v>1310</v>
      </c>
      <c r="N9" s="364">
        <f t="shared" si="0"/>
        <v>15718</v>
      </c>
      <c r="O9" s="381">
        <v>15718</v>
      </c>
    </row>
    <row r="10" spans="1:15" ht="18" customHeight="1" x14ac:dyDescent="0.25">
      <c r="A10" s="361" t="s">
        <v>372</v>
      </c>
      <c r="B10" s="363"/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4">
        <f t="shared" si="0"/>
        <v>0</v>
      </c>
    </row>
    <row r="11" spans="1:15" ht="18" customHeight="1" x14ac:dyDescent="0.25">
      <c r="A11" s="361" t="s">
        <v>373</v>
      </c>
      <c r="B11" s="363"/>
      <c r="C11" s="363"/>
      <c r="D11" s="363"/>
      <c r="E11" s="363"/>
      <c r="F11" s="363"/>
      <c r="G11" s="363"/>
      <c r="H11" s="363"/>
      <c r="I11" s="363"/>
      <c r="J11" s="363"/>
      <c r="K11" s="363"/>
      <c r="L11" s="363"/>
      <c r="M11" s="363"/>
      <c r="N11" s="364">
        <f t="shared" si="0"/>
        <v>0</v>
      </c>
      <c r="O11" s="385"/>
    </row>
    <row r="12" spans="1:15" ht="18" customHeight="1" x14ac:dyDescent="0.25">
      <c r="A12" s="361" t="s">
        <v>374</v>
      </c>
      <c r="B12" s="363">
        <v>60</v>
      </c>
      <c r="C12" s="363">
        <v>60</v>
      </c>
      <c r="D12" s="363">
        <v>60</v>
      </c>
      <c r="E12" s="363">
        <v>60</v>
      </c>
      <c r="F12" s="363">
        <v>60</v>
      </c>
      <c r="G12" s="363">
        <v>60</v>
      </c>
      <c r="H12" s="363">
        <v>60</v>
      </c>
      <c r="I12" s="363">
        <v>60</v>
      </c>
      <c r="J12" s="363">
        <v>60</v>
      </c>
      <c r="K12" s="363">
        <v>60</v>
      </c>
      <c r="L12" s="363">
        <v>60</v>
      </c>
      <c r="M12" s="363">
        <v>60</v>
      </c>
      <c r="N12" s="364">
        <f t="shared" si="0"/>
        <v>720</v>
      </c>
      <c r="O12" s="381">
        <v>720</v>
      </c>
    </row>
    <row r="13" spans="1:15" ht="18" customHeight="1" x14ac:dyDescent="0.25">
      <c r="A13" s="361" t="s">
        <v>222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4"/>
    </row>
    <row r="14" spans="1:15" ht="18" customHeight="1" x14ac:dyDescent="0.25">
      <c r="A14" s="365" t="s">
        <v>375</v>
      </c>
      <c r="B14" s="364">
        <f>SUM(B7:B13)</f>
        <v>5149</v>
      </c>
      <c r="C14" s="364">
        <f t="shared" ref="C14:M14" si="1">SUM(C7:C13)</f>
        <v>5150</v>
      </c>
      <c r="D14" s="364">
        <f t="shared" si="1"/>
        <v>5151</v>
      </c>
      <c r="E14" s="364">
        <f t="shared" si="1"/>
        <v>5151</v>
      </c>
      <c r="F14" s="364">
        <f t="shared" si="1"/>
        <v>5151</v>
      </c>
      <c r="G14" s="364">
        <f t="shared" si="1"/>
        <v>5151</v>
      </c>
      <c r="H14" s="364">
        <f t="shared" si="1"/>
        <v>5151</v>
      </c>
      <c r="I14" s="364">
        <f t="shared" si="1"/>
        <v>5151</v>
      </c>
      <c r="J14" s="364">
        <f t="shared" si="1"/>
        <v>5152</v>
      </c>
      <c r="K14" s="364">
        <f t="shared" si="1"/>
        <v>5152</v>
      </c>
      <c r="L14" s="364">
        <f t="shared" si="1"/>
        <v>5152</v>
      </c>
      <c r="M14" s="364">
        <f t="shared" si="1"/>
        <v>5152</v>
      </c>
      <c r="N14" s="364">
        <f>SUM(N7:N13)</f>
        <v>61813</v>
      </c>
      <c r="O14" s="381">
        <f>SUM(O7:O13)</f>
        <v>61813</v>
      </c>
    </row>
    <row r="15" spans="1:15" ht="18" customHeight="1" x14ac:dyDescent="0.25">
      <c r="A15" s="366"/>
      <c r="B15" s="367"/>
      <c r="C15" s="367"/>
      <c r="D15" s="367"/>
      <c r="E15" s="367"/>
      <c r="F15" s="367"/>
      <c r="G15" s="367"/>
      <c r="H15" s="367"/>
      <c r="I15" s="367"/>
      <c r="J15" s="367"/>
      <c r="K15" s="367"/>
      <c r="L15" s="367"/>
      <c r="M15" s="367"/>
      <c r="N15" s="368"/>
    </row>
    <row r="16" spans="1:15" ht="18" customHeight="1" x14ac:dyDescent="0.25">
      <c r="A16" s="361" t="s">
        <v>376</v>
      </c>
      <c r="B16" s="363">
        <v>112</v>
      </c>
      <c r="C16" s="363">
        <v>112</v>
      </c>
      <c r="D16" s="363">
        <v>112</v>
      </c>
      <c r="E16" s="363">
        <v>112</v>
      </c>
      <c r="F16" s="363">
        <v>112</v>
      </c>
      <c r="G16" s="363">
        <v>113</v>
      </c>
      <c r="H16" s="363">
        <v>113</v>
      </c>
      <c r="I16" s="363">
        <v>113</v>
      </c>
      <c r="J16" s="363">
        <v>113</v>
      </c>
      <c r="K16" s="363">
        <v>113</v>
      </c>
      <c r="L16" s="363">
        <v>113</v>
      </c>
      <c r="M16" s="363">
        <v>112</v>
      </c>
      <c r="N16" s="364">
        <f t="shared" ref="N16:N22" si="2">SUM(B16:M16)</f>
        <v>1350</v>
      </c>
      <c r="O16" s="381">
        <v>1350</v>
      </c>
    </row>
    <row r="17" spans="1:16" ht="18" customHeight="1" x14ac:dyDescent="0.25">
      <c r="A17" s="361" t="s">
        <v>46</v>
      </c>
      <c r="B17" s="363"/>
      <c r="C17" s="363"/>
      <c r="D17" s="363"/>
      <c r="E17" s="363"/>
      <c r="F17" s="363"/>
      <c r="G17" s="363"/>
      <c r="H17" s="363"/>
      <c r="I17" s="363"/>
      <c r="J17" s="363"/>
      <c r="K17" s="363"/>
      <c r="L17" s="363"/>
      <c r="M17" s="363"/>
      <c r="N17" s="364">
        <f t="shared" si="2"/>
        <v>0</v>
      </c>
      <c r="O17" s="511"/>
    </row>
    <row r="18" spans="1:16" ht="18" customHeight="1" x14ac:dyDescent="0.25">
      <c r="A18" s="369" t="s">
        <v>54</v>
      </c>
      <c r="B18" s="363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4">
        <f t="shared" si="2"/>
        <v>0</v>
      </c>
      <c r="O18" s="385"/>
    </row>
    <row r="19" spans="1:16" ht="18" customHeight="1" x14ac:dyDescent="0.25">
      <c r="A19" s="361" t="s">
        <v>378</v>
      </c>
      <c r="B19" s="363">
        <v>4933</v>
      </c>
      <c r="C19" s="363">
        <v>4933</v>
      </c>
      <c r="D19" s="363">
        <v>4933</v>
      </c>
      <c r="E19" s="363">
        <v>4933</v>
      </c>
      <c r="F19" s="363">
        <v>4933</v>
      </c>
      <c r="G19" s="363">
        <v>4933</v>
      </c>
      <c r="H19" s="363">
        <v>4933</v>
      </c>
      <c r="I19" s="363">
        <v>4933</v>
      </c>
      <c r="J19" s="363">
        <v>4933</v>
      </c>
      <c r="K19" s="363">
        <v>4933</v>
      </c>
      <c r="L19" s="363">
        <v>4934</v>
      </c>
      <c r="M19" s="363">
        <v>4934</v>
      </c>
      <c r="N19" s="364">
        <f t="shared" si="2"/>
        <v>59198</v>
      </c>
      <c r="O19" s="385">
        <v>59198</v>
      </c>
      <c r="P19" s="385"/>
    </row>
    <row r="20" spans="1:16" ht="18" customHeight="1" x14ac:dyDescent="0.25">
      <c r="A20" s="361" t="s">
        <v>71</v>
      </c>
      <c r="B20" s="363"/>
      <c r="C20" s="363"/>
      <c r="D20" s="363"/>
      <c r="E20" s="363"/>
      <c r="F20" s="363"/>
      <c r="G20" s="363"/>
      <c r="H20" s="363"/>
      <c r="I20" s="363"/>
      <c r="J20" s="363"/>
      <c r="K20" s="363"/>
      <c r="L20" s="363"/>
      <c r="M20" s="363"/>
      <c r="N20" s="364">
        <f t="shared" si="2"/>
        <v>0</v>
      </c>
    </row>
    <row r="21" spans="1:16" ht="18" customHeight="1" x14ac:dyDescent="0.25">
      <c r="A21" s="361" t="s">
        <v>95</v>
      </c>
      <c r="B21" s="363"/>
      <c r="C21" s="363"/>
      <c r="D21" s="363"/>
      <c r="E21" s="363">
        <v>1100</v>
      </c>
      <c r="F21" s="363">
        <v>55</v>
      </c>
      <c r="G21" s="363">
        <v>55</v>
      </c>
      <c r="H21" s="363">
        <v>55</v>
      </c>
      <c r="I21" s="363"/>
      <c r="J21" s="363"/>
      <c r="K21" s="363"/>
      <c r="L21" s="363"/>
      <c r="M21" s="363"/>
      <c r="N21" s="364">
        <f t="shared" si="2"/>
        <v>1265</v>
      </c>
      <c r="O21" s="381">
        <v>1265</v>
      </c>
    </row>
    <row r="22" spans="1:16" ht="18" customHeight="1" x14ac:dyDescent="0.25">
      <c r="A22" s="370" t="s">
        <v>379</v>
      </c>
      <c r="B22" s="371">
        <f>+B16+B17+B18+B19+B20+B21</f>
        <v>5045</v>
      </c>
      <c r="C22" s="371">
        <f>+C16+C17+C18+C19+C20+C21</f>
        <v>5045</v>
      </c>
      <c r="D22" s="371">
        <f t="shared" ref="D22:L22" si="3">+D16+D17+D18+D19+D20+D21</f>
        <v>5045</v>
      </c>
      <c r="E22" s="371">
        <f t="shared" si="3"/>
        <v>6145</v>
      </c>
      <c r="F22" s="371">
        <f t="shared" si="3"/>
        <v>5100</v>
      </c>
      <c r="G22" s="371">
        <f t="shared" si="3"/>
        <v>5101</v>
      </c>
      <c r="H22" s="371">
        <f t="shared" si="3"/>
        <v>5101</v>
      </c>
      <c r="I22" s="371">
        <f t="shared" si="3"/>
        <v>5046</v>
      </c>
      <c r="J22" s="371">
        <f t="shared" si="3"/>
        <v>5046</v>
      </c>
      <c r="K22" s="371">
        <f t="shared" si="3"/>
        <v>5046</v>
      </c>
      <c r="L22" s="371">
        <f t="shared" si="3"/>
        <v>5047</v>
      </c>
      <c r="M22" s="371">
        <f>SUM(M16:M20)+M21</f>
        <v>5046</v>
      </c>
      <c r="N22" s="364">
        <f t="shared" si="2"/>
        <v>61813</v>
      </c>
      <c r="O22" s="385">
        <f>O16+O17+O18+O19+O20+O21</f>
        <v>61813</v>
      </c>
    </row>
    <row r="23" spans="1:16" ht="18" hidden="1" customHeight="1" x14ac:dyDescent="0.25">
      <c r="A23" s="386"/>
      <c r="B23" s="387">
        <f>+B14-B22</f>
        <v>104</v>
      </c>
      <c r="C23" s="387">
        <f t="shared" ref="C23:I23" si="4">+C14-C22</f>
        <v>105</v>
      </c>
      <c r="D23" s="387">
        <f t="shared" si="4"/>
        <v>106</v>
      </c>
      <c r="E23" s="387">
        <f t="shared" si="4"/>
        <v>-994</v>
      </c>
      <c r="F23" s="387">
        <f t="shared" si="4"/>
        <v>51</v>
      </c>
      <c r="G23" s="387">
        <f t="shared" si="4"/>
        <v>50</v>
      </c>
      <c r="H23" s="387">
        <f t="shared" si="4"/>
        <v>50</v>
      </c>
      <c r="I23" s="387">
        <f t="shared" si="4"/>
        <v>105</v>
      </c>
      <c r="J23" s="387">
        <f>+J14-J22</f>
        <v>106</v>
      </c>
      <c r="K23" s="387">
        <f>+K14-K22</f>
        <v>106</v>
      </c>
      <c r="L23" s="387">
        <f>+L14-L22</f>
        <v>105</v>
      </c>
      <c r="M23" s="387">
        <f>+M14-M22</f>
        <v>106</v>
      </c>
      <c r="N23" s="388">
        <f>SUM(N16:N21)</f>
        <v>61813</v>
      </c>
      <c r="O23" s="385"/>
    </row>
    <row r="24" spans="1:16" ht="18" customHeight="1" x14ac:dyDescent="0.25">
      <c r="A24" s="386"/>
      <c r="B24" s="387"/>
      <c r="C24" s="387"/>
      <c r="D24" s="387"/>
      <c r="E24" s="387"/>
      <c r="F24" s="387"/>
      <c r="G24" s="387"/>
      <c r="H24" s="387"/>
      <c r="I24" s="387"/>
      <c r="J24" s="387"/>
      <c r="K24" s="387"/>
      <c r="L24" s="387"/>
      <c r="M24" s="387"/>
      <c r="N24" s="388"/>
      <c r="O24" s="385"/>
    </row>
    <row r="25" spans="1:16" ht="18" customHeight="1" x14ac:dyDescent="0.25">
      <c r="A25" s="386"/>
      <c r="B25" s="387"/>
      <c r="C25" s="387"/>
      <c r="D25" s="387"/>
      <c r="E25" s="387"/>
      <c r="F25" s="387"/>
      <c r="G25" s="387"/>
      <c r="H25" s="387"/>
      <c r="I25" s="387"/>
      <c r="J25" s="387"/>
      <c r="K25" s="387"/>
      <c r="L25" s="387"/>
      <c r="M25" s="387"/>
      <c r="N25" s="388"/>
      <c r="O25" s="385"/>
    </row>
    <row r="26" spans="1:16" ht="18" customHeight="1" x14ac:dyDescent="0.25">
      <c r="A26" s="386"/>
      <c r="B26" s="387"/>
      <c r="C26" s="387"/>
      <c r="D26" s="387"/>
      <c r="E26" s="387"/>
      <c r="F26" s="387"/>
      <c r="G26" s="387"/>
      <c r="H26" s="387"/>
      <c r="I26" s="387"/>
      <c r="J26" s="387"/>
      <c r="K26" s="387"/>
      <c r="L26" s="387"/>
      <c r="M26" s="387"/>
      <c r="N26" s="388"/>
      <c r="O26" s="385"/>
    </row>
    <row r="27" spans="1:16" ht="18" customHeight="1" x14ac:dyDescent="0.25">
      <c r="A27" s="386"/>
      <c r="B27" s="387"/>
      <c r="C27" s="387"/>
      <c r="D27" s="387"/>
      <c r="E27" s="387"/>
      <c r="F27" s="387"/>
      <c r="G27" s="387"/>
      <c r="H27" s="387"/>
      <c r="I27" s="387"/>
      <c r="J27" s="387"/>
      <c r="K27" s="387"/>
      <c r="L27" s="387"/>
      <c r="M27" s="387"/>
      <c r="N27" s="388"/>
      <c r="O27" s="385"/>
    </row>
    <row r="28" spans="1:16" ht="18" customHeight="1" x14ac:dyDescent="0.25">
      <c r="A28" s="386"/>
      <c r="B28" s="387"/>
      <c r="C28" s="387"/>
      <c r="D28" s="387"/>
      <c r="E28" s="387"/>
      <c r="F28" s="387"/>
      <c r="G28" s="387"/>
      <c r="H28" s="387"/>
      <c r="I28" s="387"/>
      <c r="J28" s="387"/>
      <c r="K28" s="387"/>
      <c r="L28" s="387"/>
      <c r="M28" s="387"/>
      <c r="N28" s="388"/>
      <c r="O28" s="385"/>
    </row>
    <row r="29" spans="1:16" ht="18" customHeight="1" x14ac:dyDescent="0.25">
      <c r="A29" s="386"/>
      <c r="B29" s="387"/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8"/>
      <c r="O29" s="385"/>
    </row>
    <row r="30" spans="1:16" ht="18" customHeight="1" x14ac:dyDescent="0.25">
      <c r="A30" s="386"/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8"/>
      <c r="O30" s="385"/>
    </row>
    <row r="31" spans="1:16" ht="18" customHeight="1" x14ac:dyDescent="0.25">
      <c r="A31" s="386"/>
      <c r="B31" s="387"/>
      <c r="C31" s="387"/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8"/>
      <c r="O31" s="385"/>
    </row>
    <row r="32" spans="1:16" x14ac:dyDescent="0.25">
      <c r="B32" s="390"/>
      <c r="C32" s="390"/>
      <c r="D32" s="390"/>
      <c r="E32" s="390"/>
      <c r="F32" s="390"/>
      <c r="G32" s="390"/>
      <c r="H32" s="390"/>
      <c r="I32" s="390"/>
      <c r="J32" s="390"/>
      <c r="K32" s="390"/>
      <c r="L32" s="390"/>
      <c r="M32" s="390"/>
      <c r="N32" s="390"/>
    </row>
    <row r="38" spans="1:1" x14ac:dyDescent="0.25">
      <c r="A38" s="391"/>
    </row>
    <row r="39" spans="1:1" x14ac:dyDescent="0.25">
      <c r="A39" s="391"/>
    </row>
    <row r="40" spans="1:1" x14ac:dyDescent="0.25">
      <c r="A40" s="391"/>
    </row>
    <row r="41" spans="1:1" x14ac:dyDescent="0.25">
      <c r="A41" s="391"/>
    </row>
    <row r="42" spans="1:1" x14ac:dyDescent="0.25">
      <c r="A42" s="391"/>
    </row>
    <row r="43" spans="1:1" x14ac:dyDescent="0.25">
      <c r="A43" s="391"/>
    </row>
    <row r="44" spans="1:1" x14ac:dyDescent="0.25">
      <c r="A44" s="391"/>
    </row>
    <row r="45" spans="1:1" x14ac:dyDescent="0.25">
      <c r="A45" s="391"/>
    </row>
    <row r="46" spans="1:1" x14ac:dyDescent="0.25">
      <c r="A46" s="391"/>
    </row>
    <row r="47" spans="1:1" x14ac:dyDescent="0.25">
      <c r="A47" s="391"/>
    </row>
    <row r="48" spans="1:1" x14ac:dyDescent="0.25">
      <c r="A48" s="391"/>
    </row>
    <row r="49" spans="1:17" x14ac:dyDescent="0.25">
      <c r="A49" s="391"/>
      <c r="Q49" s="381">
        <f>+O49+O39</f>
        <v>0</v>
      </c>
    </row>
    <row r="50" spans="1:17" x14ac:dyDescent="0.25">
      <c r="A50" s="391"/>
    </row>
    <row r="51" spans="1:17" x14ac:dyDescent="0.25">
      <c r="A51" s="391"/>
    </row>
    <row r="52" spans="1:17" x14ac:dyDescent="0.25">
      <c r="A52" s="391"/>
    </row>
    <row r="53" spans="1:17" x14ac:dyDescent="0.25">
      <c r="A53" s="391"/>
    </row>
    <row r="54" spans="1:17" x14ac:dyDescent="0.25">
      <c r="A54" s="391"/>
    </row>
    <row r="55" spans="1:17" x14ac:dyDescent="0.25">
      <c r="A55" s="391"/>
    </row>
    <row r="56" spans="1:17" x14ac:dyDescent="0.25">
      <c r="A56" s="391"/>
    </row>
    <row r="57" spans="1:17" x14ac:dyDescent="0.25">
      <c r="A57" s="391"/>
    </row>
    <row r="58" spans="1:17" x14ac:dyDescent="0.25">
      <c r="A58" s="391"/>
    </row>
    <row r="62" spans="1:17" x14ac:dyDescent="0.25">
      <c r="L62" s="392"/>
    </row>
  </sheetData>
  <mergeCells count="4">
    <mergeCell ref="A1:N1"/>
    <mergeCell ref="A2:N2"/>
    <mergeCell ref="A3:N4"/>
    <mergeCell ref="M5:N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04"/>
  <sheetViews>
    <sheetView workbookViewId="0">
      <selection activeCell="E63" sqref="E63"/>
    </sheetView>
  </sheetViews>
  <sheetFormatPr defaultRowHeight="15.75" x14ac:dyDescent="0.25"/>
  <cols>
    <col min="1" max="1" width="6" style="2" customWidth="1"/>
    <col min="2" max="2" width="5.140625" style="1" customWidth="1"/>
    <col min="3" max="3" width="76.28515625" style="1" customWidth="1"/>
    <col min="4" max="4" width="15.42578125" style="2" customWidth="1"/>
    <col min="5" max="5" width="15.28515625" style="2" customWidth="1"/>
    <col min="6" max="6" width="13.5703125" style="2" customWidth="1"/>
    <col min="7" max="7" width="12.42578125" style="11" customWidth="1"/>
    <col min="8" max="8" width="16.7109375" style="11" bestFit="1" customWidth="1"/>
    <col min="9" max="9" width="14.85546875" style="11" bestFit="1" customWidth="1"/>
    <col min="10" max="16384" width="9.140625" style="11"/>
  </cols>
  <sheetData>
    <row r="1" spans="1:9" ht="20.100000000000001" customHeight="1" x14ac:dyDescent="0.3">
      <c r="A1" s="670" t="s">
        <v>756</v>
      </c>
      <c r="B1" s="671"/>
      <c r="C1" s="671"/>
      <c r="D1" s="671"/>
      <c r="E1" s="671"/>
      <c r="F1" s="671"/>
    </row>
    <row r="2" spans="1:9" ht="20.100000000000001" customHeight="1" x14ac:dyDescent="0.25">
      <c r="A2" s="663"/>
      <c r="B2" s="663"/>
      <c r="C2" s="663"/>
      <c r="D2" s="663"/>
      <c r="E2" s="663"/>
      <c r="F2" s="663"/>
    </row>
    <row r="3" spans="1:9" ht="20.100000000000001" customHeight="1" x14ac:dyDescent="0.25">
      <c r="A3" s="672" t="s">
        <v>273</v>
      </c>
      <c r="B3" s="672"/>
      <c r="C3" s="672"/>
      <c r="D3" s="672"/>
      <c r="E3" s="672"/>
      <c r="F3" s="672"/>
    </row>
    <row r="4" spans="1:9" ht="20.100000000000001" customHeight="1" x14ac:dyDescent="0.25">
      <c r="A4" s="663" t="s">
        <v>4</v>
      </c>
      <c r="B4" s="663"/>
      <c r="C4" s="663"/>
      <c r="D4" s="663"/>
      <c r="E4" s="663"/>
      <c r="F4" s="663"/>
    </row>
    <row r="5" spans="1:9" ht="39" customHeight="1" thickBot="1" x14ac:dyDescent="0.3">
      <c r="A5" s="673" t="s">
        <v>722</v>
      </c>
      <c r="B5" s="673"/>
      <c r="C5" s="673"/>
      <c r="D5" s="673"/>
      <c r="E5" s="673"/>
      <c r="F5" s="673"/>
    </row>
    <row r="6" spans="1:9" ht="20.100000000000001" customHeight="1" x14ac:dyDescent="0.25">
      <c r="A6" s="674" t="s">
        <v>6</v>
      </c>
      <c r="B6" s="677" t="s">
        <v>7</v>
      </c>
      <c r="C6" s="677"/>
      <c r="D6" s="680" t="s">
        <v>380</v>
      </c>
      <c r="E6" s="682" t="s">
        <v>9</v>
      </c>
      <c r="F6" s="682" t="s">
        <v>10</v>
      </c>
      <c r="G6" s="684" t="s">
        <v>11</v>
      </c>
      <c r="H6" s="873"/>
      <c r="I6" s="873"/>
    </row>
    <row r="7" spans="1:9" ht="38.25" customHeight="1" x14ac:dyDescent="0.25">
      <c r="A7" s="675"/>
      <c r="B7" s="678"/>
      <c r="C7" s="678"/>
      <c r="D7" s="681"/>
      <c r="E7" s="683"/>
      <c r="F7" s="683"/>
      <c r="G7" s="685"/>
      <c r="H7" s="873"/>
      <c r="I7" s="873"/>
    </row>
    <row r="8" spans="1:9" ht="22.5" customHeight="1" thickBot="1" x14ac:dyDescent="0.3">
      <c r="A8" s="868"/>
      <c r="B8" s="869"/>
      <c r="C8" s="869"/>
      <c r="D8" s="870" t="s">
        <v>768</v>
      </c>
      <c r="E8" s="681"/>
      <c r="F8" s="681"/>
      <c r="G8" s="326"/>
    </row>
    <row r="9" spans="1:9" ht="15.95" customHeight="1" x14ac:dyDescent="0.25">
      <c r="A9" s="505"/>
      <c r="B9" s="677" t="s">
        <v>12</v>
      </c>
      <c r="C9" s="677"/>
      <c r="D9" s="328"/>
      <c r="E9" s="329"/>
      <c r="F9" s="330"/>
      <c r="G9" s="330"/>
    </row>
    <row r="10" spans="1:9" ht="15.95" customHeight="1" x14ac:dyDescent="0.25">
      <c r="A10" s="9">
        <v>1</v>
      </c>
      <c r="B10" s="669" t="s">
        <v>13</v>
      </c>
      <c r="C10" s="669"/>
      <c r="D10" s="17">
        <v>38170</v>
      </c>
      <c r="E10" s="17">
        <v>38170</v>
      </c>
      <c r="F10" s="18"/>
      <c r="G10" s="19"/>
      <c r="H10" s="507"/>
      <c r="I10" s="507"/>
    </row>
    <row r="11" spans="1:9" ht="15.95" customHeight="1" x14ac:dyDescent="0.25">
      <c r="A11" s="9">
        <v>2</v>
      </c>
      <c r="B11" s="669" t="s">
        <v>14</v>
      </c>
      <c r="C11" s="669"/>
      <c r="D11" s="17">
        <v>6942</v>
      </c>
      <c r="E11" s="17">
        <v>6942</v>
      </c>
      <c r="F11" s="18"/>
      <c r="G11" s="19"/>
      <c r="H11" s="507"/>
      <c r="I11" s="507"/>
    </row>
    <row r="12" spans="1:9" ht="15.95" customHeight="1" x14ac:dyDescent="0.25">
      <c r="A12" s="9">
        <v>3</v>
      </c>
      <c r="B12" s="669" t="s">
        <v>15</v>
      </c>
      <c r="C12" s="669"/>
      <c r="D12" s="17">
        <v>5108</v>
      </c>
      <c r="E12" s="17">
        <v>5108</v>
      </c>
      <c r="F12" s="18"/>
      <c r="G12" s="20"/>
      <c r="H12" s="507"/>
      <c r="I12" s="507"/>
    </row>
    <row r="13" spans="1:9" ht="15.95" customHeight="1" x14ac:dyDescent="0.25">
      <c r="A13" s="9" t="s">
        <v>16</v>
      </c>
      <c r="B13" s="669" t="s">
        <v>17</v>
      </c>
      <c r="C13" s="669"/>
      <c r="D13" s="331"/>
      <c r="E13" s="17"/>
      <c r="F13" s="18"/>
      <c r="G13" s="19"/>
      <c r="H13" s="507"/>
      <c r="I13" s="507"/>
    </row>
    <row r="14" spans="1:9" ht="15.95" customHeight="1" x14ac:dyDescent="0.25">
      <c r="A14" s="9" t="s">
        <v>18</v>
      </c>
      <c r="B14" s="688" t="s">
        <v>19</v>
      </c>
      <c r="C14" s="688"/>
      <c r="D14" s="331">
        <f>+D15+D16+D17+D18+D19</f>
        <v>0</v>
      </c>
      <c r="E14" s="17">
        <v>0</v>
      </c>
      <c r="F14" s="23"/>
      <c r="G14" s="23"/>
      <c r="H14" s="507"/>
      <c r="I14" s="507"/>
    </row>
    <row r="15" spans="1:9" ht="15.95" customHeight="1" x14ac:dyDescent="0.25">
      <c r="A15" s="9" t="s">
        <v>20</v>
      </c>
      <c r="B15" s="689" t="s">
        <v>130</v>
      </c>
      <c r="C15" s="689"/>
      <c r="D15" s="331"/>
      <c r="E15" s="17"/>
      <c r="F15" s="18"/>
      <c r="G15" s="19"/>
      <c r="H15" s="507"/>
      <c r="I15" s="507"/>
    </row>
    <row r="16" spans="1:9" ht="15.95" customHeight="1" x14ac:dyDescent="0.25">
      <c r="A16" s="9" t="s">
        <v>21</v>
      </c>
      <c r="B16" s="689" t="s">
        <v>22</v>
      </c>
      <c r="C16" s="689"/>
      <c r="D16" s="331"/>
      <c r="E16" s="17"/>
      <c r="F16" s="18"/>
      <c r="G16" s="19"/>
      <c r="H16" s="507"/>
      <c r="I16" s="507"/>
    </row>
    <row r="17" spans="1:9" ht="15.95" customHeight="1" x14ac:dyDescent="0.25">
      <c r="A17" s="9"/>
      <c r="B17" s="871" t="s">
        <v>133</v>
      </c>
      <c r="C17" s="871"/>
      <c r="D17" s="331"/>
      <c r="E17" s="17"/>
      <c r="F17" s="18"/>
      <c r="G17" s="19"/>
      <c r="H17" s="507"/>
      <c r="I17" s="507"/>
    </row>
    <row r="18" spans="1:9" ht="15.95" customHeight="1" x14ac:dyDescent="0.25">
      <c r="A18" s="9" t="s">
        <v>23</v>
      </c>
      <c r="B18" s="692" t="s">
        <v>24</v>
      </c>
      <c r="C18" s="692"/>
      <c r="D18" s="331"/>
      <c r="E18" s="17"/>
      <c r="F18" s="18"/>
      <c r="G18" s="19"/>
      <c r="H18" s="507"/>
      <c r="I18" s="507"/>
    </row>
    <row r="19" spans="1:9" ht="15.95" customHeight="1" x14ac:dyDescent="0.25">
      <c r="A19" s="9" t="s">
        <v>25</v>
      </c>
      <c r="B19" s="692" t="s">
        <v>301</v>
      </c>
      <c r="C19" s="872"/>
      <c r="D19" s="331"/>
      <c r="E19" s="17"/>
      <c r="F19" s="18"/>
      <c r="G19" s="19"/>
      <c r="H19" s="507"/>
      <c r="I19" s="507"/>
    </row>
    <row r="20" spans="1:9" ht="15.95" customHeight="1" x14ac:dyDescent="0.25">
      <c r="A20" s="9"/>
      <c r="B20" s="669" t="s">
        <v>26</v>
      </c>
      <c r="C20" s="669"/>
      <c r="D20" s="332"/>
      <c r="E20" s="32"/>
      <c r="F20" s="372"/>
      <c r="G20" s="334"/>
      <c r="H20" s="507"/>
      <c r="I20" s="507"/>
    </row>
    <row r="21" spans="1:9" ht="15.95" customHeight="1" x14ac:dyDescent="0.25">
      <c r="A21" s="9" t="s">
        <v>1</v>
      </c>
      <c r="B21" s="504" t="s">
        <v>28</v>
      </c>
      <c r="C21" s="335"/>
      <c r="D21" s="331">
        <f>+D10+D11+D12+D13+D14+D20</f>
        <v>50220</v>
      </c>
      <c r="E21" s="331">
        <f>+E10+E11+E12+E13+E14+E20</f>
        <v>50220</v>
      </c>
      <c r="F21" s="17"/>
      <c r="G21" s="17"/>
      <c r="H21" s="507"/>
      <c r="I21" s="507"/>
    </row>
    <row r="22" spans="1:9" ht="15.95" customHeight="1" x14ac:dyDescent="0.25">
      <c r="A22" s="9" t="s">
        <v>29</v>
      </c>
      <c r="B22" s="669" t="s">
        <v>30</v>
      </c>
      <c r="C22" s="669"/>
      <c r="D22" s="332">
        <v>200</v>
      </c>
      <c r="E22" s="32">
        <v>200</v>
      </c>
      <c r="F22" s="18"/>
      <c r="G22" s="19"/>
      <c r="H22" s="507"/>
      <c r="I22" s="507"/>
    </row>
    <row r="23" spans="1:9" ht="15.95" customHeight="1" x14ac:dyDescent="0.25">
      <c r="A23" s="9" t="s">
        <v>31</v>
      </c>
      <c r="B23" s="669" t="s">
        <v>32</v>
      </c>
      <c r="C23" s="669"/>
      <c r="D23" s="332"/>
      <c r="E23" s="32"/>
      <c r="F23" s="18"/>
      <c r="G23" s="19"/>
      <c r="H23" s="507"/>
      <c r="I23" s="507"/>
    </row>
    <row r="24" spans="1:9" ht="15.95" customHeight="1" x14ac:dyDescent="0.25">
      <c r="A24" s="9" t="s">
        <v>33</v>
      </c>
      <c r="B24" s="669" t="s">
        <v>137</v>
      </c>
      <c r="C24" s="669"/>
      <c r="D24" s="332"/>
      <c r="E24" s="32"/>
      <c r="F24" s="18"/>
      <c r="G24" s="19"/>
      <c r="H24" s="507"/>
      <c r="I24" s="507"/>
    </row>
    <row r="25" spans="1:9" ht="15.95" customHeight="1" x14ac:dyDescent="0.25">
      <c r="A25" s="9" t="s">
        <v>35</v>
      </c>
      <c r="B25" s="669" t="s">
        <v>36</v>
      </c>
      <c r="C25" s="669"/>
      <c r="D25" s="332">
        <f>+D22+D23+D24</f>
        <v>200</v>
      </c>
      <c r="E25" s="332">
        <f>+E22+E23+E24</f>
        <v>200</v>
      </c>
      <c r="F25" s="18"/>
      <c r="G25" s="19"/>
      <c r="H25" s="507"/>
      <c r="I25" s="507"/>
    </row>
    <row r="26" spans="1:9" ht="15.95" customHeight="1" x14ac:dyDescent="0.25">
      <c r="A26" s="9" t="s">
        <v>37</v>
      </c>
      <c r="B26" s="669"/>
      <c r="C26" s="669"/>
      <c r="D26" s="332"/>
      <c r="E26" s="32"/>
      <c r="F26" s="18"/>
      <c r="G26" s="19"/>
      <c r="H26" s="507"/>
      <c r="I26" s="507"/>
    </row>
    <row r="27" spans="1:9" ht="15.95" customHeight="1" x14ac:dyDescent="0.25">
      <c r="A27" s="9" t="s">
        <v>38</v>
      </c>
      <c r="B27" s="699"/>
      <c r="C27" s="699"/>
      <c r="D27" s="336"/>
      <c r="E27" s="34"/>
      <c r="F27" s="18">
        <f>+D27+E27</f>
        <v>0</v>
      </c>
      <c r="G27" s="19"/>
      <c r="H27" s="507"/>
      <c r="I27" s="507"/>
    </row>
    <row r="28" spans="1:9" ht="15.95" customHeight="1" x14ac:dyDescent="0.25">
      <c r="A28" s="9" t="s">
        <v>39</v>
      </c>
      <c r="B28" s="699"/>
      <c r="C28" s="699"/>
      <c r="D28" s="336"/>
      <c r="E28" s="337"/>
      <c r="F28" s="18">
        <f>+D28+E28</f>
        <v>0</v>
      </c>
      <c r="G28" s="19"/>
      <c r="H28" s="507"/>
      <c r="I28" s="507"/>
    </row>
    <row r="29" spans="1:9" ht="15.95" customHeight="1" x14ac:dyDescent="0.3">
      <c r="A29" s="36" t="s">
        <v>40</v>
      </c>
      <c r="B29" s="703" t="s">
        <v>302</v>
      </c>
      <c r="C29" s="703"/>
      <c r="D29" s="338">
        <f>+D21+D25+D26+D27+D28</f>
        <v>50420</v>
      </c>
      <c r="E29" s="338">
        <f>+E21+E25+E26+E27+E28</f>
        <v>50420</v>
      </c>
      <c r="F29" s="338">
        <f>+F21+F25+F26+F27+F28</f>
        <v>0</v>
      </c>
      <c r="G29" s="338">
        <f>+G21+G25+G26+G27+G28</f>
        <v>0</v>
      </c>
      <c r="H29" s="507"/>
      <c r="I29" s="507"/>
    </row>
    <row r="30" spans="1:9" ht="15.95" customHeight="1" x14ac:dyDescent="0.25">
      <c r="A30" s="40"/>
      <c r="B30" s="753"/>
      <c r="C30" s="753"/>
      <c r="D30" s="125"/>
      <c r="E30" s="340"/>
      <c r="F30" s="96"/>
      <c r="G30" s="96"/>
      <c r="H30" s="507"/>
      <c r="I30" s="507"/>
    </row>
    <row r="31" spans="1:9" ht="15.95" customHeight="1" x14ac:dyDescent="0.25">
      <c r="A31" s="9"/>
      <c r="B31" s="722" t="s">
        <v>42</v>
      </c>
      <c r="C31" s="722"/>
      <c r="D31" s="332"/>
      <c r="E31" s="32"/>
      <c r="F31" s="18"/>
      <c r="G31" s="19"/>
      <c r="H31" s="507"/>
      <c r="I31" s="507"/>
    </row>
    <row r="32" spans="1:9" ht="15.95" customHeight="1" x14ac:dyDescent="0.25">
      <c r="A32" s="9" t="s">
        <v>43</v>
      </c>
      <c r="B32" s="697" t="s">
        <v>44</v>
      </c>
      <c r="C32" s="697"/>
      <c r="D32" s="332"/>
      <c r="E32" s="32"/>
      <c r="F32" s="18"/>
      <c r="G32" s="19">
        <v>0</v>
      </c>
      <c r="H32" s="507"/>
      <c r="I32" s="507"/>
    </row>
    <row r="33" spans="1:9" ht="15.95" customHeight="1" x14ac:dyDescent="0.25">
      <c r="A33" s="9" t="s">
        <v>45</v>
      </c>
      <c r="B33" s="697" t="s">
        <v>46</v>
      </c>
      <c r="C33" s="697"/>
      <c r="D33" s="332">
        <f>SUM(D34:D36)</f>
        <v>0</v>
      </c>
      <c r="E33" s="32">
        <f>SUM(E34:E36)</f>
        <v>0</v>
      </c>
      <c r="F33" s="32">
        <f>SUM(F34:F36)</f>
        <v>0</v>
      </c>
      <c r="G33" s="19"/>
      <c r="H33" s="507"/>
      <c r="I33" s="507"/>
    </row>
    <row r="34" spans="1:9" ht="15.95" customHeight="1" x14ac:dyDescent="0.25">
      <c r="A34" s="9"/>
      <c r="B34" s="51" t="s">
        <v>47</v>
      </c>
      <c r="C34" s="52" t="s">
        <v>48</v>
      </c>
      <c r="D34" s="332"/>
      <c r="E34" s="32"/>
      <c r="F34" s="18"/>
      <c r="G34" s="19"/>
      <c r="H34" s="507"/>
      <c r="I34" s="507"/>
    </row>
    <row r="35" spans="1:9" ht="15.95" customHeight="1" x14ac:dyDescent="0.25">
      <c r="A35" s="9"/>
      <c r="B35" s="51" t="s">
        <v>49</v>
      </c>
      <c r="C35" s="52" t="s">
        <v>50</v>
      </c>
      <c r="D35" s="332"/>
      <c r="E35" s="32"/>
      <c r="F35" s="18"/>
      <c r="G35" s="19"/>
      <c r="H35" s="507"/>
      <c r="I35" s="507"/>
    </row>
    <row r="36" spans="1:9" ht="15.95" customHeight="1" x14ac:dyDescent="0.25">
      <c r="A36" s="9"/>
      <c r="B36" s="51" t="s">
        <v>51</v>
      </c>
      <c r="C36" s="52" t="s">
        <v>52</v>
      </c>
      <c r="D36" s="332"/>
      <c r="E36" s="32"/>
      <c r="F36" s="18"/>
      <c r="G36" s="19"/>
      <c r="H36" s="507"/>
      <c r="I36" s="507"/>
    </row>
    <row r="37" spans="1:9" ht="15.95" customHeight="1" x14ac:dyDescent="0.25">
      <c r="A37" s="9" t="s">
        <v>53</v>
      </c>
      <c r="B37" s="697" t="s">
        <v>54</v>
      </c>
      <c r="C37" s="697"/>
      <c r="D37" s="332">
        <f>SUM(D38:D40)</f>
        <v>0</v>
      </c>
      <c r="E37" s="332">
        <f>SUM(E38:E40)</f>
        <v>0</v>
      </c>
      <c r="F37" s="18">
        <f>SUM(F38:F40)</f>
        <v>0</v>
      </c>
      <c r="G37" s="19"/>
      <c r="H37" s="507"/>
      <c r="I37" s="507"/>
    </row>
    <row r="38" spans="1:9" ht="15.95" customHeight="1" x14ac:dyDescent="0.25">
      <c r="A38" s="9"/>
      <c r="B38" s="55" t="s">
        <v>55</v>
      </c>
      <c r="C38" s="503" t="s">
        <v>56</v>
      </c>
      <c r="D38" s="332">
        <v>0</v>
      </c>
      <c r="E38" s="32">
        <v>0</v>
      </c>
      <c r="F38" s="18"/>
      <c r="G38" s="19"/>
      <c r="H38" s="507"/>
      <c r="I38" s="507"/>
    </row>
    <row r="39" spans="1:9" ht="15.95" customHeight="1" x14ac:dyDescent="0.25">
      <c r="A39" s="9"/>
      <c r="B39" s="55" t="s">
        <v>57</v>
      </c>
      <c r="C39" s="503" t="s">
        <v>58</v>
      </c>
      <c r="D39" s="332"/>
      <c r="E39" s="32"/>
      <c r="F39" s="18">
        <f t="shared" ref="F39:F45" si="0">SUM(D39:D39)</f>
        <v>0</v>
      </c>
      <c r="G39" s="19"/>
      <c r="H39" s="507"/>
      <c r="I39" s="507"/>
    </row>
    <row r="40" spans="1:9" ht="15.95" customHeight="1" x14ac:dyDescent="0.25">
      <c r="A40" s="9"/>
      <c r="B40" s="55" t="s">
        <v>59</v>
      </c>
      <c r="C40" s="503" t="s">
        <v>60</v>
      </c>
      <c r="D40" s="332"/>
      <c r="E40" s="32"/>
      <c r="F40" s="18"/>
      <c r="G40" s="19"/>
      <c r="H40" s="507"/>
      <c r="I40" s="507"/>
    </row>
    <row r="41" spans="1:9" ht="15.95" customHeight="1" x14ac:dyDescent="0.25">
      <c r="A41" s="9" t="s">
        <v>16</v>
      </c>
      <c r="B41" s="697" t="s">
        <v>61</v>
      </c>
      <c r="C41" s="697"/>
      <c r="D41" s="332">
        <f>SUM(D42:D45)</f>
        <v>0</v>
      </c>
      <c r="E41" s="32">
        <f>SUM(E42:E45)</f>
        <v>0</v>
      </c>
      <c r="F41" s="32">
        <f>SUM(F42:F45)</f>
        <v>0</v>
      </c>
      <c r="G41" s="19"/>
      <c r="H41" s="507"/>
      <c r="I41" s="507"/>
    </row>
    <row r="42" spans="1:9" ht="15.95" customHeight="1" x14ac:dyDescent="0.25">
      <c r="A42" s="9"/>
      <c r="B42" s="55" t="s">
        <v>62</v>
      </c>
      <c r="C42" s="503" t="s">
        <v>726</v>
      </c>
      <c r="D42" s="332"/>
      <c r="E42" s="32"/>
      <c r="F42" s="18"/>
      <c r="G42" s="19"/>
      <c r="H42" s="507"/>
      <c r="I42" s="507"/>
    </row>
    <row r="43" spans="1:9" ht="15.95" customHeight="1" x14ac:dyDescent="0.25">
      <c r="A43" s="9"/>
      <c r="B43" s="55" t="s">
        <v>64</v>
      </c>
      <c r="C43" s="503" t="s">
        <v>65</v>
      </c>
      <c r="D43" s="332"/>
      <c r="E43" s="32"/>
      <c r="F43" s="18">
        <f t="shared" si="0"/>
        <v>0</v>
      </c>
      <c r="G43" s="19"/>
      <c r="H43" s="507"/>
      <c r="I43" s="507"/>
    </row>
    <row r="44" spans="1:9" ht="15.95" customHeight="1" x14ac:dyDescent="0.25">
      <c r="A44" s="9"/>
      <c r="B44" s="55" t="s">
        <v>66</v>
      </c>
      <c r="C44" s="503" t="s">
        <v>303</v>
      </c>
      <c r="D44" s="332"/>
      <c r="E44" s="32"/>
      <c r="F44" s="18">
        <f t="shared" si="0"/>
        <v>0</v>
      </c>
      <c r="G44" s="19"/>
      <c r="H44" s="507"/>
      <c r="I44" s="507"/>
    </row>
    <row r="45" spans="1:9" ht="15.95" customHeight="1" x14ac:dyDescent="0.25">
      <c r="A45" s="9"/>
      <c r="B45" s="55" t="s">
        <v>68</v>
      </c>
      <c r="C45" s="503" t="s">
        <v>69</v>
      </c>
      <c r="D45" s="332"/>
      <c r="E45" s="32"/>
      <c r="F45" s="18">
        <f t="shared" si="0"/>
        <v>0</v>
      </c>
      <c r="G45" s="19"/>
      <c r="H45" s="507"/>
      <c r="I45" s="507"/>
    </row>
    <row r="46" spans="1:9" s="376" customFormat="1" ht="15.95" customHeight="1" x14ac:dyDescent="0.25">
      <c r="A46" s="26" t="s">
        <v>1</v>
      </c>
      <c r="B46" s="705" t="s">
        <v>70</v>
      </c>
      <c r="C46" s="705"/>
      <c r="D46" s="332">
        <f>+D32+D33+D37+D41</f>
        <v>0</v>
      </c>
      <c r="E46" s="32">
        <f>+E32+E33+E37+E41</f>
        <v>0</v>
      </c>
      <c r="F46" s="332">
        <f>+F32+F33+F37+F41</f>
        <v>0</v>
      </c>
      <c r="G46" s="332">
        <f>+G32+G33+G37+G41</f>
        <v>0</v>
      </c>
      <c r="H46" s="508"/>
      <c r="I46" s="508"/>
    </row>
    <row r="47" spans="1:9" ht="15.95" customHeight="1" x14ac:dyDescent="0.25">
      <c r="A47" s="9" t="s">
        <v>18</v>
      </c>
      <c r="B47" s="697" t="s">
        <v>71</v>
      </c>
      <c r="C47" s="697"/>
      <c r="D47" s="332">
        <f>SUM(D48:D49)</f>
        <v>0</v>
      </c>
      <c r="E47" s="32">
        <f>SUM(E48:E49)</f>
        <v>0</v>
      </c>
      <c r="F47" s="32">
        <f>SUM(F48:F49)</f>
        <v>0</v>
      </c>
      <c r="G47" s="19"/>
      <c r="H47" s="507"/>
      <c r="I47" s="507"/>
    </row>
    <row r="48" spans="1:9" ht="15.95" customHeight="1" x14ac:dyDescent="0.25">
      <c r="A48" s="9"/>
      <c r="B48" s="55" t="s">
        <v>72</v>
      </c>
      <c r="C48" s="503" t="s">
        <v>73</v>
      </c>
      <c r="D48" s="332"/>
      <c r="E48" s="32"/>
      <c r="F48" s="18">
        <f t="shared" ref="F48:F56" si="1">SUM(D48:D48)</f>
        <v>0</v>
      </c>
      <c r="G48" s="19"/>
      <c r="H48" s="507"/>
      <c r="I48" s="507"/>
    </row>
    <row r="49" spans="1:9" ht="15.95" customHeight="1" x14ac:dyDescent="0.25">
      <c r="A49" s="9"/>
      <c r="B49" s="55" t="s">
        <v>74</v>
      </c>
      <c r="C49" s="503" t="s">
        <v>75</v>
      </c>
      <c r="D49" s="332"/>
      <c r="E49" s="32"/>
      <c r="F49" s="18"/>
      <c r="G49" s="19"/>
      <c r="H49" s="507"/>
      <c r="I49" s="507"/>
    </row>
    <row r="50" spans="1:9" ht="15.95" customHeight="1" x14ac:dyDescent="0.25">
      <c r="A50" s="9" t="s">
        <v>29</v>
      </c>
      <c r="B50" s="697" t="s">
        <v>76</v>
      </c>
      <c r="C50" s="697"/>
      <c r="D50" s="332">
        <f>SUM(D51:D52)</f>
        <v>0</v>
      </c>
      <c r="E50" s="32">
        <f>SUM(E51:E52)</f>
        <v>0</v>
      </c>
      <c r="F50" s="18">
        <f t="shared" si="1"/>
        <v>0</v>
      </c>
      <c r="G50" s="19"/>
      <c r="H50" s="507"/>
      <c r="I50" s="507"/>
    </row>
    <row r="51" spans="1:9" ht="15.95" customHeight="1" x14ac:dyDescent="0.25">
      <c r="A51" s="9"/>
      <c r="B51" s="55" t="s">
        <v>77</v>
      </c>
      <c r="C51" s="503" t="s">
        <v>78</v>
      </c>
      <c r="D51" s="332"/>
      <c r="E51" s="32"/>
      <c r="F51" s="18">
        <f t="shared" si="1"/>
        <v>0</v>
      </c>
      <c r="G51" s="19"/>
      <c r="H51" s="507"/>
      <c r="I51" s="507"/>
    </row>
    <row r="52" spans="1:9" ht="15.95" customHeight="1" x14ac:dyDescent="0.25">
      <c r="A52" s="9"/>
      <c r="B52" s="55" t="s">
        <v>79</v>
      </c>
      <c r="C52" s="503" t="s">
        <v>80</v>
      </c>
      <c r="D52" s="332">
        <v>0</v>
      </c>
      <c r="E52" s="32"/>
      <c r="F52" s="18">
        <f t="shared" si="1"/>
        <v>0</v>
      </c>
      <c r="G52" s="19"/>
      <c r="H52" s="507"/>
      <c r="I52" s="507"/>
    </row>
    <row r="53" spans="1:9" ht="15.95" customHeight="1" x14ac:dyDescent="0.25">
      <c r="A53" s="9" t="s">
        <v>31</v>
      </c>
      <c r="B53" s="697" t="s">
        <v>81</v>
      </c>
      <c r="C53" s="697"/>
      <c r="D53" s="332">
        <f>SUM(D54:D56)</f>
        <v>0</v>
      </c>
      <c r="E53" s="32">
        <f>SUM(E54:E56)</f>
        <v>0</v>
      </c>
      <c r="F53" s="18">
        <f>SUM(F54:F56)</f>
        <v>0</v>
      </c>
      <c r="G53" s="19"/>
      <c r="H53" s="507"/>
      <c r="I53" s="507"/>
    </row>
    <row r="54" spans="1:9" ht="15.95" customHeight="1" x14ac:dyDescent="0.25">
      <c r="A54" s="9"/>
      <c r="B54" s="55" t="s">
        <v>82</v>
      </c>
      <c r="C54" s="503" t="s">
        <v>83</v>
      </c>
      <c r="D54" s="332"/>
      <c r="E54" s="32"/>
      <c r="F54" s="18"/>
      <c r="G54" s="19"/>
      <c r="H54" s="507"/>
      <c r="I54" s="507"/>
    </row>
    <row r="55" spans="1:9" ht="15.95" customHeight="1" x14ac:dyDescent="0.25">
      <c r="A55" s="9"/>
      <c r="B55" s="55" t="s">
        <v>84</v>
      </c>
      <c r="C55" s="503" t="s">
        <v>85</v>
      </c>
      <c r="D55" s="332"/>
      <c r="E55" s="32"/>
      <c r="F55" s="18">
        <f t="shared" si="1"/>
        <v>0</v>
      </c>
      <c r="G55" s="19"/>
      <c r="H55" s="507"/>
      <c r="I55" s="507"/>
    </row>
    <row r="56" spans="1:9" ht="15.95" customHeight="1" x14ac:dyDescent="0.25">
      <c r="A56" s="9"/>
      <c r="B56" s="55" t="s">
        <v>86</v>
      </c>
      <c r="C56" s="503" t="s">
        <v>87</v>
      </c>
      <c r="D56" s="332"/>
      <c r="E56" s="32"/>
      <c r="F56" s="18">
        <f t="shared" si="1"/>
        <v>0</v>
      </c>
      <c r="G56" s="19"/>
      <c r="H56" s="507"/>
      <c r="I56" s="507"/>
    </row>
    <row r="57" spans="1:9" s="376" customFormat="1" ht="15.95" customHeight="1" x14ac:dyDescent="0.25">
      <c r="A57" s="26" t="s">
        <v>35</v>
      </c>
      <c r="B57" s="705" t="s">
        <v>88</v>
      </c>
      <c r="C57" s="705"/>
      <c r="D57" s="336">
        <f>+D47+D50+D53</f>
        <v>0</v>
      </c>
      <c r="E57" s="336">
        <f>+E47+E50+E53</f>
        <v>0</v>
      </c>
      <c r="F57" s="336">
        <f>+F47+F50+F53</f>
        <v>0</v>
      </c>
      <c r="G57" s="336">
        <f>+G47+G50+G53</f>
        <v>0</v>
      </c>
      <c r="H57" s="508"/>
      <c r="I57" s="508"/>
    </row>
    <row r="58" spans="1:9" s="376" customFormat="1" ht="15.95" customHeight="1" x14ac:dyDescent="0.25">
      <c r="A58" s="26" t="s">
        <v>37</v>
      </c>
      <c r="B58" s="705" t="s">
        <v>89</v>
      </c>
      <c r="C58" s="705"/>
      <c r="D58" s="336"/>
      <c r="E58" s="34"/>
      <c r="F58" s="342"/>
      <c r="G58" s="343"/>
      <c r="H58" s="508"/>
      <c r="I58" s="508"/>
    </row>
    <row r="59" spans="1:9" s="376" customFormat="1" ht="15.95" customHeight="1" x14ac:dyDescent="0.25">
      <c r="A59" s="26" t="s">
        <v>38</v>
      </c>
      <c r="B59" s="705" t="s">
        <v>90</v>
      </c>
      <c r="C59" s="705"/>
      <c r="D59" s="336"/>
      <c r="E59" s="34"/>
      <c r="F59" s="342"/>
      <c r="G59" s="343"/>
      <c r="H59" s="508"/>
      <c r="I59" s="508"/>
    </row>
    <row r="60" spans="1:9" s="378" customFormat="1" ht="15.95" customHeight="1" x14ac:dyDescent="0.3">
      <c r="A60" s="36" t="s">
        <v>91</v>
      </c>
      <c r="B60" s="707" t="s">
        <v>92</v>
      </c>
      <c r="C60" s="707"/>
      <c r="D60" s="338">
        <f>+D46+D57+D58+D59</f>
        <v>0</v>
      </c>
      <c r="E60" s="338">
        <f>+E46+E57+E58+E59</f>
        <v>0</v>
      </c>
      <c r="F60" s="338">
        <f>+F46+F57+F58+F59</f>
        <v>0</v>
      </c>
      <c r="G60" s="338">
        <f>+G46+G57+G58+G59</f>
        <v>0</v>
      </c>
      <c r="H60" s="508"/>
      <c r="I60" s="509"/>
    </row>
    <row r="61" spans="1:9" s="378" customFormat="1" ht="15.95" customHeight="1" x14ac:dyDescent="0.3">
      <c r="A61" s="36"/>
      <c r="B61" s="707" t="s">
        <v>93</v>
      </c>
      <c r="C61" s="707"/>
      <c r="D61" s="338">
        <f>+D29-D60</f>
        <v>50420</v>
      </c>
      <c r="E61" s="338">
        <f>+E29-E60</f>
        <v>50420</v>
      </c>
      <c r="F61" s="338">
        <f>+F29-F60</f>
        <v>0</v>
      </c>
      <c r="G61" s="338">
        <f>+G29-G60</f>
        <v>0</v>
      </c>
      <c r="H61" s="509"/>
      <c r="I61" s="509"/>
    </row>
    <row r="62" spans="1:9" s="378" customFormat="1" ht="15.95" customHeight="1" x14ac:dyDescent="0.3">
      <c r="A62" s="36"/>
      <c r="B62" s="705" t="s">
        <v>94</v>
      </c>
      <c r="C62" s="705"/>
      <c r="D62" s="338">
        <v>50314</v>
      </c>
      <c r="E62" s="338">
        <v>50314</v>
      </c>
      <c r="F62" s="339"/>
      <c r="G62" s="338"/>
      <c r="H62" s="509"/>
      <c r="I62" s="509"/>
    </row>
    <row r="63" spans="1:9" ht="15.95" customHeight="1" x14ac:dyDescent="0.25">
      <c r="A63" s="26" t="s">
        <v>39</v>
      </c>
      <c r="B63" s="705" t="s">
        <v>95</v>
      </c>
      <c r="C63" s="705"/>
      <c r="D63" s="332">
        <f>D64+D65</f>
        <v>106</v>
      </c>
      <c r="E63" s="332">
        <f>E64+E65</f>
        <v>106</v>
      </c>
      <c r="F63" s="18"/>
      <c r="G63" s="19"/>
      <c r="H63" s="507"/>
      <c r="I63" s="507"/>
    </row>
    <row r="64" spans="1:9" s="378" customFormat="1" ht="15.95" customHeight="1" x14ac:dyDescent="0.3">
      <c r="A64" s="36"/>
      <c r="B64" s="68" t="s">
        <v>43</v>
      </c>
      <c r="C64" s="503" t="s">
        <v>96</v>
      </c>
      <c r="D64" s="332">
        <v>106</v>
      </c>
      <c r="E64" s="32">
        <v>106</v>
      </c>
      <c r="F64" s="76"/>
      <c r="G64" s="73"/>
      <c r="H64" s="509"/>
      <c r="I64" s="509"/>
    </row>
    <row r="65" spans="1:9" s="378" customFormat="1" ht="15.95" customHeight="1" x14ac:dyDescent="0.3">
      <c r="A65" s="36"/>
      <c r="B65" s="68" t="s">
        <v>45</v>
      </c>
      <c r="C65" s="503" t="s">
        <v>97</v>
      </c>
      <c r="D65" s="344"/>
      <c r="E65" s="71"/>
      <c r="F65" s="18"/>
      <c r="G65" s="73"/>
      <c r="H65" s="509"/>
      <c r="I65" s="509"/>
    </row>
    <row r="66" spans="1:9" s="378" customFormat="1" ht="39.75" customHeight="1" x14ac:dyDescent="0.3">
      <c r="A66" s="36" t="s">
        <v>98</v>
      </c>
      <c r="B66" s="703" t="s">
        <v>99</v>
      </c>
      <c r="C66" s="703"/>
      <c r="D66" s="338">
        <f>D63</f>
        <v>106</v>
      </c>
      <c r="E66" s="338">
        <f>E63</f>
        <v>106</v>
      </c>
      <c r="F66" s="338">
        <f>+F63</f>
        <v>0</v>
      </c>
      <c r="G66" s="73"/>
      <c r="H66" s="509"/>
      <c r="I66" s="509"/>
    </row>
    <row r="67" spans="1:9" s="378" customFormat="1" ht="15.95" customHeight="1" x14ac:dyDescent="0.3">
      <c r="A67" s="9" t="s">
        <v>100</v>
      </c>
      <c r="B67" s="697" t="s">
        <v>101</v>
      </c>
      <c r="C67" s="697"/>
      <c r="D67" s="338"/>
      <c r="E67" s="71"/>
      <c r="F67" s="72">
        <f t="shared" ref="F67:F80" si="2">SUM(D67:E67)</f>
        <v>0</v>
      </c>
      <c r="G67" s="73"/>
      <c r="H67" s="509"/>
      <c r="I67" s="509"/>
    </row>
    <row r="68" spans="1:9" s="378" customFormat="1" ht="15.95" customHeight="1" x14ac:dyDescent="0.3">
      <c r="A68" s="9" t="s">
        <v>102</v>
      </c>
      <c r="B68" s="697" t="s">
        <v>103</v>
      </c>
      <c r="C68" s="697"/>
      <c r="D68" s="338">
        <f>SUM(D69:D72)</f>
        <v>0</v>
      </c>
      <c r="E68" s="71"/>
      <c r="F68" s="72">
        <f t="shared" si="2"/>
        <v>0</v>
      </c>
      <c r="G68" s="73"/>
      <c r="H68" s="509"/>
      <c r="I68" s="509"/>
    </row>
    <row r="69" spans="1:9" s="378" customFormat="1" ht="15.95" customHeight="1" x14ac:dyDescent="0.3">
      <c r="A69" s="9"/>
      <c r="B69" s="55" t="s">
        <v>43</v>
      </c>
      <c r="C69" s="503" t="s">
        <v>304</v>
      </c>
      <c r="D69" s="344"/>
      <c r="E69" s="75"/>
      <c r="F69" s="76">
        <f t="shared" si="2"/>
        <v>0</v>
      </c>
      <c r="G69" s="73"/>
      <c r="H69" s="509"/>
      <c r="I69" s="509"/>
    </row>
    <row r="70" spans="1:9" s="378" customFormat="1" ht="15.95" customHeight="1" x14ac:dyDescent="0.3">
      <c r="A70" s="9"/>
      <c r="B70" s="55" t="s">
        <v>45</v>
      </c>
      <c r="C70" s="503" t="s">
        <v>105</v>
      </c>
      <c r="D70" s="338"/>
      <c r="E70" s="71"/>
      <c r="F70" s="72">
        <f t="shared" si="2"/>
        <v>0</v>
      </c>
      <c r="G70" s="73"/>
      <c r="H70" s="509"/>
      <c r="I70" s="509"/>
    </row>
    <row r="71" spans="1:9" s="378" customFormat="1" ht="15.95" customHeight="1" x14ac:dyDescent="0.3">
      <c r="A71" s="9"/>
      <c r="B71" s="55" t="s">
        <v>53</v>
      </c>
      <c r="C71" s="503" t="s">
        <v>106</v>
      </c>
      <c r="D71" s="344"/>
      <c r="E71" s="71"/>
      <c r="F71" s="72"/>
      <c r="G71" s="73"/>
      <c r="H71" s="509"/>
      <c r="I71" s="509"/>
    </row>
    <row r="72" spans="1:9" s="378" customFormat="1" ht="15.95" customHeight="1" x14ac:dyDescent="0.3">
      <c r="A72" s="9"/>
      <c r="B72" s="55" t="s">
        <v>16</v>
      </c>
      <c r="C72" s="503" t="s">
        <v>107</v>
      </c>
      <c r="D72" s="344"/>
      <c r="E72" s="71"/>
      <c r="F72" s="72"/>
      <c r="G72" s="73"/>
      <c r="H72" s="509"/>
      <c r="I72" s="509"/>
    </row>
    <row r="73" spans="1:9" s="378" customFormat="1" ht="33" customHeight="1" x14ac:dyDescent="0.3">
      <c r="A73" s="36" t="s">
        <v>108</v>
      </c>
      <c r="B73" s="712" t="s">
        <v>109</v>
      </c>
      <c r="C73" s="712"/>
      <c r="D73" s="338">
        <f>+D67+D68</f>
        <v>0</v>
      </c>
      <c r="E73" s="71"/>
      <c r="F73" s="72">
        <f t="shared" si="2"/>
        <v>0</v>
      </c>
      <c r="G73" s="73"/>
      <c r="H73" s="509"/>
      <c r="I73" s="509"/>
    </row>
    <row r="74" spans="1:9" s="378" customFormat="1" ht="15.95" customHeight="1" x14ac:dyDescent="0.3">
      <c r="A74" s="36" t="s">
        <v>110</v>
      </c>
      <c r="B74" s="707" t="s">
        <v>111</v>
      </c>
      <c r="C74" s="707"/>
      <c r="D74" s="338">
        <f>+D66+D73</f>
        <v>106</v>
      </c>
      <c r="E74" s="71">
        <f>+E66+E73</f>
        <v>106</v>
      </c>
      <c r="F74" s="71">
        <f>+F66+F73</f>
        <v>0</v>
      </c>
      <c r="G74" s="73"/>
      <c r="H74" s="509"/>
      <c r="I74" s="509"/>
    </row>
    <row r="75" spans="1:9" s="378" customFormat="1" ht="15.95" customHeight="1" x14ac:dyDescent="0.3">
      <c r="A75" s="9" t="s">
        <v>112</v>
      </c>
      <c r="B75" s="697" t="s">
        <v>305</v>
      </c>
      <c r="C75" s="697"/>
      <c r="D75" s="338"/>
      <c r="E75" s="71"/>
      <c r="F75" s="72">
        <f t="shared" si="2"/>
        <v>0</v>
      </c>
      <c r="G75" s="73"/>
      <c r="H75" s="509"/>
      <c r="I75" s="509"/>
    </row>
    <row r="76" spans="1:9" s="378" customFormat="1" ht="15.95" customHeight="1" x14ac:dyDescent="0.3">
      <c r="A76" s="9" t="s">
        <v>114</v>
      </c>
      <c r="B76" s="697" t="s">
        <v>115</v>
      </c>
      <c r="C76" s="697"/>
      <c r="D76" s="344">
        <f>SUM(D77:D79)</f>
        <v>0</v>
      </c>
      <c r="E76" s="75">
        <v>0</v>
      </c>
      <c r="F76" s="76">
        <f t="shared" si="2"/>
        <v>0</v>
      </c>
      <c r="G76" s="73"/>
      <c r="H76" s="509"/>
      <c r="I76" s="509"/>
    </row>
    <row r="77" spans="1:9" s="378" customFormat="1" ht="15.95" customHeight="1" x14ac:dyDescent="0.3">
      <c r="A77" s="9"/>
      <c r="B77" s="55" t="s">
        <v>43</v>
      </c>
      <c r="C77" s="503" t="s">
        <v>306</v>
      </c>
      <c r="D77" s="344"/>
      <c r="E77" s="75"/>
      <c r="F77" s="76">
        <f t="shared" si="2"/>
        <v>0</v>
      </c>
      <c r="G77" s="73"/>
      <c r="H77" s="509"/>
      <c r="I77" s="509"/>
    </row>
    <row r="78" spans="1:9" s="378" customFormat="1" ht="15.95" customHeight="1" x14ac:dyDescent="0.3">
      <c r="A78" s="9"/>
      <c r="B78" s="55" t="s">
        <v>45</v>
      </c>
      <c r="C78" s="503" t="s">
        <v>307</v>
      </c>
      <c r="D78" s="344"/>
      <c r="E78" s="75"/>
      <c r="F78" s="76">
        <f t="shared" si="2"/>
        <v>0</v>
      </c>
      <c r="G78" s="73"/>
      <c r="H78" s="509"/>
      <c r="I78" s="509"/>
    </row>
    <row r="79" spans="1:9" s="378" customFormat="1" ht="15.95" customHeight="1" x14ac:dyDescent="0.3">
      <c r="A79" s="9"/>
      <c r="B79" s="55" t="s">
        <v>53</v>
      </c>
      <c r="C79" s="503" t="s">
        <v>118</v>
      </c>
      <c r="D79" s="344"/>
      <c r="E79" s="75"/>
      <c r="F79" s="76">
        <f t="shared" si="2"/>
        <v>0</v>
      </c>
      <c r="G79" s="73"/>
      <c r="H79" s="509"/>
      <c r="I79" s="509"/>
    </row>
    <row r="80" spans="1:9" s="378" customFormat="1" ht="15.95" customHeight="1" x14ac:dyDescent="0.3">
      <c r="A80" s="36" t="s">
        <v>120</v>
      </c>
      <c r="B80" s="707" t="s">
        <v>308</v>
      </c>
      <c r="C80" s="707"/>
      <c r="D80" s="338">
        <f>+D75+D76</f>
        <v>0</v>
      </c>
      <c r="E80" s="71">
        <f>+E75+E76</f>
        <v>0</v>
      </c>
      <c r="F80" s="72">
        <f t="shared" si="2"/>
        <v>0</v>
      </c>
      <c r="G80" s="73"/>
      <c r="H80" s="509"/>
      <c r="I80" s="509"/>
    </row>
    <row r="81" spans="1:9" s="378" customFormat="1" ht="15.95" customHeight="1" x14ac:dyDescent="0.3">
      <c r="A81" s="36" t="s">
        <v>122</v>
      </c>
      <c r="B81" s="707" t="s">
        <v>123</v>
      </c>
      <c r="C81" s="707"/>
      <c r="D81" s="345">
        <f>+D29+D80</f>
        <v>50420</v>
      </c>
      <c r="E81" s="345">
        <f>+E29+E80</f>
        <v>50420</v>
      </c>
      <c r="F81" s="345">
        <f>+F29+F80</f>
        <v>0</v>
      </c>
      <c r="G81" s="345">
        <f>+G29+G80</f>
        <v>0</v>
      </c>
      <c r="H81" s="509"/>
      <c r="I81" s="509"/>
    </row>
    <row r="82" spans="1:9" s="378" customFormat="1" ht="15.95" customHeight="1" thickBot="1" x14ac:dyDescent="0.35">
      <c r="A82" s="346" t="s">
        <v>124</v>
      </c>
      <c r="B82" s="347" t="s">
        <v>125</v>
      </c>
      <c r="C82" s="347"/>
      <c r="D82" s="345">
        <f>+D30+D81</f>
        <v>50420</v>
      </c>
      <c r="E82" s="345">
        <f>+E30+E81</f>
        <v>50420</v>
      </c>
      <c r="F82" s="348">
        <f>+F60+F74</f>
        <v>0</v>
      </c>
      <c r="G82" s="348">
        <f>+G60+G74</f>
        <v>0</v>
      </c>
      <c r="H82" s="509"/>
      <c r="I82" s="509"/>
    </row>
    <row r="83" spans="1:9" ht="20.100000000000001" customHeight="1" x14ac:dyDescent="0.25">
      <c r="B83" s="85"/>
      <c r="C83" s="85"/>
      <c r="D83" s="86"/>
      <c r="E83" s="86"/>
      <c r="F83" s="86"/>
    </row>
    <row r="84" spans="1:9" ht="20.100000000000001" customHeight="1" x14ac:dyDescent="0.25">
      <c r="B84" s="85"/>
      <c r="C84" s="85"/>
      <c r="D84" s="87">
        <f>+D82-D81</f>
        <v>0</v>
      </c>
      <c r="E84" s="87">
        <f>+E82-E81</f>
        <v>0</v>
      </c>
      <c r="F84" s="87">
        <f>+F81-F82</f>
        <v>0</v>
      </c>
      <c r="G84" s="87">
        <f>+G82-G81</f>
        <v>0</v>
      </c>
      <c r="H84" s="510">
        <f>SUM(E84:G84)</f>
        <v>0</v>
      </c>
    </row>
    <row r="85" spans="1:9" ht="20.100000000000001" customHeight="1" x14ac:dyDescent="0.25">
      <c r="B85" s="85"/>
      <c r="C85" s="85"/>
      <c r="D85" s="86"/>
      <c r="E85" s="86"/>
      <c r="F85" s="86"/>
    </row>
    <row r="86" spans="1:9" ht="20.100000000000001" customHeight="1" x14ac:dyDescent="0.25">
      <c r="B86" s="85"/>
      <c r="C86" s="85"/>
      <c r="D86" s="86"/>
      <c r="E86" s="86"/>
      <c r="F86" s="86"/>
    </row>
    <row r="87" spans="1:9" ht="20.100000000000001" customHeight="1" x14ac:dyDescent="0.25">
      <c r="B87" s="85"/>
      <c r="C87" s="85"/>
      <c r="D87" s="86"/>
      <c r="E87" s="86"/>
      <c r="F87" s="86"/>
    </row>
    <row r="88" spans="1:9" ht="20.100000000000001" customHeight="1" x14ac:dyDescent="0.25">
      <c r="B88" s="85"/>
      <c r="C88" s="85"/>
      <c r="D88" s="86"/>
      <c r="E88" s="86"/>
      <c r="F88" s="86"/>
    </row>
    <row r="89" spans="1:9" ht="20.100000000000001" customHeight="1" x14ac:dyDescent="0.25">
      <c r="B89" s="85"/>
      <c r="C89" s="85"/>
      <c r="D89" s="86"/>
      <c r="E89" s="86"/>
      <c r="F89" s="86"/>
    </row>
    <row r="90" spans="1:9" ht="20.100000000000001" customHeight="1" x14ac:dyDescent="0.25">
      <c r="B90" s="85"/>
      <c r="C90" s="85"/>
      <c r="D90" s="86"/>
      <c r="E90" s="86"/>
      <c r="F90" s="86"/>
    </row>
    <row r="91" spans="1:9" ht="20.100000000000001" customHeight="1" x14ac:dyDescent="0.25">
      <c r="B91" s="85"/>
      <c r="C91" s="85"/>
      <c r="D91" s="86"/>
      <c r="E91" s="86"/>
      <c r="F91" s="86"/>
    </row>
    <row r="92" spans="1:9" ht="20.100000000000001" customHeight="1" x14ac:dyDescent="0.25">
      <c r="B92" s="85"/>
      <c r="C92" s="85"/>
      <c r="D92" s="86"/>
      <c r="E92" s="86"/>
      <c r="F92" s="86"/>
    </row>
    <row r="93" spans="1:9" ht="20.100000000000001" customHeight="1" x14ac:dyDescent="0.25">
      <c r="B93" s="85"/>
      <c r="C93" s="85"/>
      <c r="D93" s="86"/>
      <c r="E93" s="86"/>
      <c r="F93" s="86"/>
    </row>
    <row r="94" spans="1:9" ht="20.100000000000001" customHeight="1" x14ac:dyDescent="0.25">
      <c r="B94" s="85"/>
      <c r="C94" s="85"/>
      <c r="D94" s="86"/>
      <c r="E94" s="86"/>
      <c r="F94" s="86"/>
    </row>
    <row r="95" spans="1:9" ht="20.100000000000001" customHeight="1" x14ac:dyDescent="0.25">
      <c r="B95" s="85"/>
      <c r="C95" s="85"/>
      <c r="D95" s="86"/>
      <c r="E95" s="86"/>
      <c r="F95" s="86"/>
    </row>
    <row r="96" spans="1:9" ht="20.100000000000001" customHeight="1" x14ac:dyDescent="0.25">
      <c r="B96" s="85"/>
      <c r="C96" s="85"/>
      <c r="D96" s="86"/>
      <c r="E96" s="86"/>
      <c r="F96" s="86"/>
    </row>
    <row r="97" spans="2:6" x14ac:dyDescent="0.25">
      <c r="B97" s="85"/>
      <c r="C97" s="85"/>
      <c r="D97" s="86"/>
      <c r="E97" s="86"/>
      <c r="F97" s="86"/>
    </row>
    <row r="98" spans="2:6" x14ac:dyDescent="0.25">
      <c r="B98" s="85"/>
      <c r="C98" s="85"/>
      <c r="D98" s="86"/>
      <c r="E98" s="86"/>
      <c r="F98" s="86"/>
    </row>
    <row r="99" spans="2:6" x14ac:dyDescent="0.25">
      <c r="B99" s="85"/>
      <c r="C99" s="85"/>
      <c r="D99" s="86"/>
      <c r="E99" s="86"/>
      <c r="F99" s="86"/>
    </row>
    <row r="100" spans="2:6" x14ac:dyDescent="0.25">
      <c r="B100" s="85"/>
      <c r="C100" s="85"/>
      <c r="D100" s="86"/>
      <c r="E100" s="86"/>
      <c r="F100" s="86"/>
    </row>
    <row r="101" spans="2:6" x14ac:dyDescent="0.25">
      <c r="B101" s="85"/>
      <c r="C101" s="85"/>
      <c r="D101" s="86"/>
      <c r="E101" s="86"/>
      <c r="F101" s="86"/>
    </row>
    <row r="102" spans="2:6" x14ac:dyDescent="0.25">
      <c r="B102" s="85"/>
      <c r="C102" s="85"/>
      <c r="D102" s="86"/>
      <c r="E102" s="86"/>
      <c r="F102" s="86"/>
    </row>
    <row r="103" spans="2:6" x14ac:dyDescent="0.25">
      <c r="B103" s="85"/>
      <c r="C103" s="85"/>
      <c r="D103" s="86"/>
      <c r="E103" s="86"/>
      <c r="F103" s="86"/>
    </row>
    <row r="104" spans="2:6" x14ac:dyDescent="0.25">
      <c r="B104" s="85"/>
      <c r="C104" s="85"/>
      <c r="D104" s="86"/>
      <c r="E104" s="86"/>
      <c r="F104" s="86"/>
    </row>
  </sheetData>
  <mergeCells count="60">
    <mergeCell ref="H6:H7"/>
    <mergeCell ref="I6:I7"/>
    <mergeCell ref="B81:C81"/>
    <mergeCell ref="B61:C61"/>
    <mergeCell ref="B62:C62"/>
    <mergeCell ref="B63:C63"/>
    <mergeCell ref="B66:C66"/>
    <mergeCell ref="B67:C67"/>
    <mergeCell ref="B68:C68"/>
    <mergeCell ref="B73:C73"/>
    <mergeCell ref="B74:C74"/>
    <mergeCell ref="B75:C75"/>
    <mergeCell ref="B76:C76"/>
    <mergeCell ref="B80:C80"/>
    <mergeCell ref="B60:C60"/>
    <mergeCell ref="B32:C32"/>
    <mergeCell ref="B33:C33"/>
    <mergeCell ref="B37:C37"/>
    <mergeCell ref="B41:C41"/>
    <mergeCell ref="B46:C46"/>
    <mergeCell ref="B47:C47"/>
    <mergeCell ref="B50:C50"/>
    <mergeCell ref="B53:C53"/>
    <mergeCell ref="B57:C57"/>
    <mergeCell ref="B58:C58"/>
    <mergeCell ref="B59:C59"/>
    <mergeCell ref="B31:C31"/>
    <mergeCell ref="B19:C19"/>
    <mergeCell ref="B20:C20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8:C18"/>
    <mergeCell ref="G6:G7"/>
    <mergeCell ref="D8:F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A1:F1"/>
    <mergeCell ref="A2:F2"/>
    <mergeCell ref="A3:F3"/>
    <mergeCell ref="A4:F4"/>
    <mergeCell ref="A5:F5"/>
    <mergeCell ref="A6:A8"/>
    <mergeCell ref="B6:C8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75"/>
  <sheetViews>
    <sheetView topLeftCell="A67" workbookViewId="0">
      <selection activeCell="F3" sqref="F3:H3"/>
    </sheetView>
  </sheetViews>
  <sheetFormatPr defaultRowHeight="15" x14ac:dyDescent="0.25"/>
  <cols>
    <col min="5" max="5" width="21.28515625" customWidth="1"/>
    <col min="6" max="6" width="14" bestFit="1" customWidth="1"/>
    <col min="7" max="7" width="10.42578125" bestFit="1" customWidth="1"/>
    <col min="8" max="8" width="14" bestFit="1" customWidth="1"/>
    <col min="251" max="251" width="13" customWidth="1"/>
    <col min="252" max="252" width="14.42578125" customWidth="1"/>
    <col min="253" max="253" width="10.42578125" bestFit="1" customWidth="1"/>
    <col min="254" max="254" width="15.85546875" bestFit="1" customWidth="1"/>
    <col min="255" max="255" width="13.7109375" bestFit="1" customWidth="1"/>
    <col min="507" max="507" width="13" customWidth="1"/>
    <col min="508" max="508" width="14.42578125" customWidth="1"/>
    <col min="509" max="509" width="10.42578125" bestFit="1" customWidth="1"/>
    <col min="510" max="510" width="15.85546875" bestFit="1" customWidth="1"/>
    <col min="511" max="511" width="13.7109375" bestFit="1" customWidth="1"/>
    <col min="763" max="763" width="13" customWidth="1"/>
    <col min="764" max="764" width="14.42578125" customWidth="1"/>
    <col min="765" max="765" width="10.42578125" bestFit="1" customWidth="1"/>
    <col min="766" max="766" width="15.85546875" bestFit="1" customWidth="1"/>
    <col min="767" max="767" width="13.7109375" bestFit="1" customWidth="1"/>
    <col min="1019" max="1019" width="13" customWidth="1"/>
    <col min="1020" max="1020" width="14.42578125" customWidth="1"/>
    <col min="1021" max="1021" width="10.42578125" bestFit="1" customWidth="1"/>
    <col min="1022" max="1022" width="15.85546875" bestFit="1" customWidth="1"/>
    <col min="1023" max="1023" width="13.7109375" bestFit="1" customWidth="1"/>
    <col min="1275" max="1275" width="13" customWidth="1"/>
    <col min="1276" max="1276" width="14.42578125" customWidth="1"/>
    <col min="1277" max="1277" width="10.42578125" bestFit="1" customWidth="1"/>
    <col min="1278" max="1278" width="15.85546875" bestFit="1" customWidth="1"/>
    <col min="1279" max="1279" width="13.7109375" bestFit="1" customWidth="1"/>
    <col min="1531" max="1531" width="13" customWidth="1"/>
    <col min="1532" max="1532" width="14.42578125" customWidth="1"/>
    <col min="1533" max="1533" width="10.42578125" bestFit="1" customWidth="1"/>
    <col min="1534" max="1534" width="15.85546875" bestFit="1" customWidth="1"/>
    <col min="1535" max="1535" width="13.7109375" bestFit="1" customWidth="1"/>
    <col min="1787" max="1787" width="13" customWidth="1"/>
    <col min="1788" max="1788" width="14.42578125" customWidth="1"/>
    <col min="1789" max="1789" width="10.42578125" bestFit="1" customWidth="1"/>
    <col min="1790" max="1790" width="15.85546875" bestFit="1" customWidth="1"/>
    <col min="1791" max="1791" width="13.7109375" bestFit="1" customWidth="1"/>
    <col min="2043" max="2043" width="13" customWidth="1"/>
    <col min="2044" max="2044" width="14.42578125" customWidth="1"/>
    <col min="2045" max="2045" width="10.42578125" bestFit="1" customWidth="1"/>
    <col min="2046" max="2046" width="15.85546875" bestFit="1" customWidth="1"/>
    <col min="2047" max="2047" width="13.7109375" bestFit="1" customWidth="1"/>
    <col min="2299" max="2299" width="13" customWidth="1"/>
    <col min="2300" max="2300" width="14.42578125" customWidth="1"/>
    <col min="2301" max="2301" width="10.42578125" bestFit="1" customWidth="1"/>
    <col min="2302" max="2302" width="15.85546875" bestFit="1" customWidth="1"/>
    <col min="2303" max="2303" width="13.7109375" bestFit="1" customWidth="1"/>
    <col min="2555" max="2555" width="13" customWidth="1"/>
    <col min="2556" max="2556" width="14.42578125" customWidth="1"/>
    <col min="2557" max="2557" width="10.42578125" bestFit="1" customWidth="1"/>
    <col min="2558" max="2558" width="15.85546875" bestFit="1" customWidth="1"/>
    <col min="2559" max="2559" width="13.7109375" bestFit="1" customWidth="1"/>
    <col min="2811" max="2811" width="13" customWidth="1"/>
    <col min="2812" max="2812" width="14.42578125" customWidth="1"/>
    <col min="2813" max="2813" width="10.42578125" bestFit="1" customWidth="1"/>
    <col min="2814" max="2814" width="15.85546875" bestFit="1" customWidth="1"/>
    <col min="2815" max="2815" width="13.7109375" bestFit="1" customWidth="1"/>
    <col min="3067" max="3067" width="13" customWidth="1"/>
    <col min="3068" max="3068" width="14.42578125" customWidth="1"/>
    <col min="3069" max="3069" width="10.42578125" bestFit="1" customWidth="1"/>
    <col min="3070" max="3070" width="15.85546875" bestFit="1" customWidth="1"/>
    <col min="3071" max="3071" width="13.7109375" bestFit="1" customWidth="1"/>
    <col min="3323" max="3323" width="13" customWidth="1"/>
    <col min="3324" max="3324" width="14.42578125" customWidth="1"/>
    <col min="3325" max="3325" width="10.42578125" bestFit="1" customWidth="1"/>
    <col min="3326" max="3326" width="15.85546875" bestFit="1" customWidth="1"/>
    <col min="3327" max="3327" width="13.7109375" bestFit="1" customWidth="1"/>
    <col min="3579" max="3579" width="13" customWidth="1"/>
    <col min="3580" max="3580" width="14.42578125" customWidth="1"/>
    <col min="3581" max="3581" width="10.42578125" bestFit="1" customWidth="1"/>
    <col min="3582" max="3582" width="15.85546875" bestFit="1" customWidth="1"/>
    <col min="3583" max="3583" width="13.7109375" bestFit="1" customWidth="1"/>
    <col min="3835" max="3835" width="13" customWidth="1"/>
    <col min="3836" max="3836" width="14.42578125" customWidth="1"/>
    <col min="3837" max="3837" width="10.42578125" bestFit="1" customWidth="1"/>
    <col min="3838" max="3838" width="15.85546875" bestFit="1" customWidth="1"/>
    <col min="3839" max="3839" width="13.7109375" bestFit="1" customWidth="1"/>
    <col min="4091" max="4091" width="13" customWidth="1"/>
    <col min="4092" max="4092" width="14.42578125" customWidth="1"/>
    <col min="4093" max="4093" width="10.42578125" bestFit="1" customWidth="1"/>
    <col min="4094" max="4094" width="15.85546875" bestFit="1" customWidth="1"/>
    <col min="4095" max="4095" width="13.7109375" bestFit="1" customWidth="1"/>
    <col min="4347" max="4347" width="13" customWidth="1"/>
    <col min="4348" max="4348" width="14.42578125" customWidth="1"/>
    <col min="4349" max="4349" width="10.42578125" bestFit="1" customWidth="1"/>
    <col min="4350" max="4350" width="15.85546875" bestFit="1" customWidth="1"/>
    <col min="4351" max="4351" width="13.7109375" bestFit="1" customWidth="1"/>
    <col min="4603" max="4603" width="13" customWidth="1"/>
    <col min="4604" max="4604" width="14.42578125" customWidth="1"/>
    <col min="4605" max="4605" width="10.42578125" bestFit="1" customWidth="1"/>
    <col min="4606" max="4606" width="15.85546875" bestFit="1" customWidth="1"/>
    <col min="4607" max="4607" width="13.7109375" bestFit="1" customWidth="1"/>
    <col min="4859" max="4859" width="13" customWidth="1"/>
    <col min="4860" max="4860" width="14.42578125" customWidth="1"/>
    <col min="4861" max="4861" width="10.42578125" bestFit="1" customWidth="1"/>
    <col min="4862" max="4862" width="15.85546875" bestFit="1" customWidth="1"/>
    <col min="4863" max="4863" width="13.7109375" bestFit="1" customWidth="1"/>
    <col min="5115" max="5115" width="13" customWidth="1"/>
    <col min="5116" max="5116" width="14.42578125" customWidth="1"/>
    <col min="5117" max="5117" width="10.42578125" bestFit="1" customWidth="1"/>
    <col min="5118" max="5118" width="15.85546875" bestFit="1" customWidth="1"/>
    <col min="5119" max="5119" width="13.7109375" bestFit="1" customWidth="1"/>
    <col min="5371" max="5371" width="13" customWidth="1"/>
    <col min="5372" max="5372" width="14.42578125" customWidth="1"/>
    <col min="5373" max="5373" width="10.42578125" bestFit="1" customWidth="1"/>
    <col min="5374" max="5374" width="15.85546875" bestFit="1" customWidth="1"/>
    <col min="5375" max="5375" width="13.7109375" bestFit="1" customWidth="1"/>
    <col min="5627" max="5627" width="13" customWidth="1"/>
    <col min="5628" max="5628" width="14.42578125" customWidth="1"/>
    <col min="5629" max="5629" width="10.42578125" bestFit="1" customWidth="1"/>
    <col min="5630" max="5630" width="15.85546875" bestFit="1" customWidth="1"/>
    <col min="5631" max="5631" width="13.7109375" bestFit="1" customWidth="1"/>
    <col min="5883" max="5883" width="13" customWidth="1"/>
    <col min="5884" max="5884" width="14.42578125" customWidth="1"/>
    <col min="5885" max="5885" width="10.42578125" bestFit="1" customWidth="1"/>
    <col min="5886" max="5886" width="15.85546875" bestFit="1" customWidth="1"/>
    <col min="5887" max="5887" width="13.7109375" bestFit="1" customWidth="1"/>
    <col min="6139" max="6139" width="13" customWidth="1"/>
    <col min="6140" max="6140" width="14.42578125" customWidth="1"/>
    <col min="6141" max="6141" width="10.42578125" bestFit="1" customWidth="1"/>
    <col min="6142" max="6142" width="15.85546875" bestFit="1" customWidth="1"/>
    <col min="6143" max="6143" width="13.7109375" bestFit="1" customWidth="1"/>
    <col min="6395" max="6395" width="13" customWidth="1"/>
    <col min="6396" max="6396" width="14.42578125" customWidth="1"/>
    <col min="6397" max="6397" width="10.42578125" bestFit="1" customWidth="1"/>
    <col min="6398" max="6398" width="15.85546875" bestFit="1" customWidth="1"/>
    <col min="6399" max="6399" width="13.7109375" bestFit="1" customWidth="1"/>
    <col min="6651" max="6651" width="13" customWidth="1"/>
    <col min="6652" max="6652" width="14.42578125" customWidth="1"/>
    <col min="6653" max="6653" width="10.42578125" bestFit="1" customWidth="1"/>
    <col min="6654" max="6654" width="15.85546875" bestFit="1" customWidth="1"/>
    <col min="6655" max="6655" width="13.7109375" bestFit="1" customWidth="1"/>
    <col min="6907" max="6907" width="13" customWidth="1"/>
    <col min="6908" max="6908" width="14.42578125" customWidth="1"/>
    <col min="6909" max="6909" width="10.42578125" bestFit="1" customWidth="1"/>
    <col min="6910" max="6910" width="15.85546875" bestFit="1" customWidth="1"/>
    <col min="6911" max="6911" width="13.7109375" bestFit="1" customWidth="1"/>
    <col min="7163" max="7163" width="13" customWidth="1"/>
    <col min="7164" max="7164" width="14.42578125" customWidth="1"/>
    <col min="7165" max="7165" width="10.42578125" bestFit="1" customWidth="1"/>
    <col min="7166" max="7166" width="15.85546875" bestFit="1" customWidth="1"/>
    <col min="7167" max="7167" width="13.7109375" bestFit="1" customWidth="1"/>
    <col min="7419" max="7419" width="13" customWidth="1"/>
    <col min="7420" max="7420" width="14.42578125" customWidth="1"/>
    <col min="7421" max="7421" width="10.42578125" bestFit="1" customWidth="1"/>
    <col min="7422" max="7422" width="15.85546875" bestFit="1" customWidth="1"/>
    <col min="7423" max="7423" width="13.7109375" bestFit="1" customWidth="1"/>
    <col min="7675" max="7675" width="13" customWidth="1"/>
    <col min="7676" max="7676" width="14.42578125" customWidth="1"/>
    <col min="7677" max="7677" width="10.42578125" bestFit="1" customWidth="1"/>
    <col min="7678" max="7678" width="15.85546875" bestFit="1" customWidth="1"/>
    <col min="7679" max="7679" width="13.7109375" bestFit="1" customWidth="1"/>
    <col min="7931" max="7931" width="13" customWidth="1"/>
    <col min="7932" max="7932" width="14.42578125" customWidth="1"/>
    <col min="7933" max="7933" width="10.42578125" bestFit="1" customWidth="1"/>
    <col min="7934" max="7934" width="15.85546875" bestFit="1" customWidth="1"/>
    <col min="7935" max="7935" width="13.7109375" bestFit="1" customWidth="1"/>
    <col min="8187" max="8187" width="13" customWidth="1"/>
    <col min="8188" max="8188" width="14.42578125" customWidth="1"/>
    <col min="8189" max="8189" width="10.42578125" bestFit="1" customWidth="1"/>
    <col min="8190" max="8190" width="15.85546875" bestFit="1" customWidth="1"/>
    <col min="8191" max="8191" width="13.7109375" bestFit="1" customWidth="1"/>
    <col min="8443" max="8443" width="13" customWidth="1"/>
    <col min="8444" max="8444" width="14.42578125" customWidth="1"/>
    <col min="8445" max="8445" width="10.42578125" bestFit="1" customWidth="1"/>
    <col min="8446" max="8446" width="15.85546875" bestFit="1" customWidth="1"/>
    <col min="8447" max="8447" width="13.7109375" bestFit="1" customWidth="1"/>
    <col min="8699" max="8699" width="13" customWidth="1"/>
    <col min="8700" max="8700" width="14.42578125" customWidth="1"/>
    <col min="8701" max="8701" width="10.42578125" bestFit="1" customWidth="1"/>
    <col min="8702" max="8702" width="15.85546875" bestFit="1" customWidth="1"/>
    <col min="8703" max="8703" width="13.7109375" bestFit="1" customWidth="1"/>
    <col min="8955" max="8955" width="13" customWidth="1"/>
    <col min="8956" max="8956" width="14.42578125" customWidth="1"/>
    <col min="8957" max="8957" width="10.42578125" bestFit="1" customWidth="1"/>
    <col min="8958" max="8958" width="15.85546875" bestFit="1" customWidth="1"/>
    <col min="8959" max="8959" width="13.7109375" bestFit="1" customWidth="1"/>
    <col min="9211" max="9211" width="13" customWidth="1"/>
    <col min="9212" max="9212" width="14.42578125" customWidth="1"/>
    <col min="9213" max="9213" width="10.42578125" bestFit="1" customWidth="1"/>
    <col min="9214" max="9214" width="15.85546875" bestFit="1" customWidth="1"/>
    <col min="9215" max="9215" width="13.7109375" bestFit="1" customWidth="1"/>
    <col min="9467" max="9467" width="13" customWidth="1"/>
    <col min="9468" max="9468" width="14.42578125" customWidth="1"/>
    <col min="9469" max="9469" width="10.42578125" bestFit="1" customWidth="1"/>
    <col min="9470" max="9470" width="15.85546875" bestFit="1" customWidth="1"/>
    <col min="9471" max="9471" width="13.7109375" bestFit="1" customWidth="1"/>
    <col min="9723" max="9723" width="13" customWidth="1"/>
    <col min="9724" max="9724" width="14.42578125" customWidth="1"/>
    <col min="9725" max="9725" width="10.42578125" bestFit="1" customWidth="1"/>
    <col min="9726" max="9726" width="15.85546875" bestFit="1" customWidth="1"/>
    <col min="9727" max="9727" width="13.7109375" bestFit="1" customWidth="1"/>
    <col min="9979" max="9979" width="13" customWidth="1"/>
    <col min="9980" max="9980" width="14.42578125" customWidth="1"/>
    <col min="9981" max="9981" width="10.42578125" bestFit="1" customWidth="1"/>
    <col min="9982" max="9982" width="15.85546875" bestFit="1" customWidth="1"/>
    <col min="9983" max="9983" width="13.7109375" bestFit="1" customWidth="1"/>
    <col min="10235" max="10235" width="13" customWidth="1"/>
    <col min="10236" max="10236" width="14.42578125" customWidth="1"/>
    <col min="10237" max="10237" width="10.42578125" bestFit="1" customWidth="1"/>
    <col min="10238" max="10238" width="15.85546875" bestFit="1" customWidth="1"/>
    <col min="10239" max="10239" width="13.7109375" bestFit="1" customWidth="1"/>
    <col min="10491" max="10491" width="13" customWidth="1"/>
    <col min="10492" max="10492" width="14.42578125" customWidth="1"/>
    <col min="10493" max="10493" width="10.42578125" bestFit="1" customWidth="1"/>
    <col min="10494" max="10494" width="15.85546875" bestFit="1" customWidth="1"/>
    <col min="10495" max="10495" width="13.7109375" bestFit="1" customWidth="1"/>
    <col min="10747" max="10747" width="13" customWidth="1"/>
    <col min="10748" max="10748" width="14.42578125" customWidth="1"/>
    <col min="10749" max="10749" width="10.42578125" bestFit="1" customWidth="1"/>
    <col min="10750" max="10750" width="15.85546875" bestFit="1" customWidth="1"/>
    <col min="10751" max="10751" width="13.7109375" bestFit="1" customWidth="1"/>
    <col min="11003" max="11003" width="13" customWidth="1"/>
    <col min="11004" max="11004" width="14.42578125" customWidth="1"/>
    <col min="11005" max="11005" width="10.42578125" bestFit="1" customWidth="1"/>
    <col min="11006" max="11006" width="15.85546875" bestFit="1" customWidth="1"/>
    <col min="11007" max="11007" width="13.7109375" bestFit="1" customWidth="1"/>
    <col min="11259" max="11259" width="13" customWidth="1"/>
    <col min="11260" max="11260" width="14.42578125" customWidth="1"/>
    <col min="11261" max="11261" width="10.42578125" bestFit="1" customWidth="1"/>
    <col min="11262" max="11262" width="15.85546875" bestFit="1" customWidth="1"/>
    <col min="11263" max="11263" width="13.7109375" bestFit="1" customWidth="1"/>
    <col min="11515" max="11515" width="13" customWidth="1"/>
    <col min="11516" max="11516" width="14.42578125" customWidth="1"/>
    <col min="11517" max="11517" width="10.42578125" bestFit="1" customWidth="1"/>
    <col min="11518" max="11518" width="15.85546875" bestFit="1" customWidth="1"/>
    <col min="11519" max="11519" width="13.7109375" bestFit="1" customWidth="1"/>
    <col min="11771" max="11771" width="13" customWidth="1"/>
    <col min="11772" max="11772" width="14.42578125" customWidth="1"/>
    <col min="11773" max="11773" width="10.42578125" bestFit="1" customWidth="1"/>
    <col min="11774" max="11774" width="15.85546875" bestFit="1" customWidth="1"/>
    <col min="11775" max="11775" width="13.7109375" bestFit="1" customWidth="1"/>
    <col min="12027" max="12027" width="13" customWidth="1"/>
    <col min="12028" max="12028" width="14.42578125" customWidth="1"/>
    <col min="12029" max="12029" width="10.42578125" bestFit="1" customWidth="1"/>
    <col min="12030" max="12030" width="15.85546875" bestFit="1" customWidth="1"/>
    <col min="12031" max="12031" width="13.7109375" bestFit="1" customWidth="1"/>
    <col min="12283" max="12283" width="13" customWidth="1"/>
    <col min="12284" max="12284" width="14.42578125" customWidth="1"/>
    <col min="12285" max="12285" width="10.42578125" bestFit="1" customWidth="1"/>
    <col min="12286" max="12286" width="15.85546875" bestFit="1" customWidth="1"/>
    <col min="12287" max="12287" width="13.7109375" bestFit="1" customWidth="1"/>
    <col min="12539" max="12539" width="13" customWidth="1"/>
    <col min="12540" max="12540" width="14.42578125" customWidth="1"/>
    <col min="12541" max="12541" width="10.42578125" bestFit="1" customWidth="1"/>
    <col min="12542" max="12542" width="15.85546875" bestFit="1" customWidth="1"/>
    <col min="12543" max="12543" width="13.7109375" bestFit="1" customWidth="1"/>
    <col min="12795" max="12795" width="13" customWidth="1"/>
    <col min="12796" max="12796" width="14.42578125" customWidth="1"/>
    <col min="12797" max="12797" width="10.42578125" bestFit="1" customWidth="1"/>
    <col min="12798" max="12798" width="15.85546875" bestFit="1" customWidth="1"/>
    <col min="12799" max="12799" width="13.7109375" bestFit="1" customWidth="1"/>
    <col min="13051" max="13051" width="13" customWidth="1"/>
    <col min="13052" max="13052" width="14.42578125" customWidth="1"/>
    <col min="13053" max="13053" width="10.42578125" bestFit="1" customWidth="1"/>
    <col min="13054" max="13054" width="15.85546875" bestFit="1" customWidth="1"/>
    <col min="13055" max="13055" width="13.7109375" bestFit="1" customWidth="1"/>
    <col min="13307" max="13307" width="13" customWidth="1"/>
    <col min="13308" max="13308" width="14.42578125" customWidth="1"/>
    <col min="13309" max="13309" width="10.42578125" bestFit="1" customWidth="1"/>
    <col min="13310" max="13310" width="15.85546875" bestFit="1" customWidth="1"/>
    <col min="13311" max="13311" width="13.7109375" bestFit="1" customWidth="1"/>
    <col min="13563" max="13563" width="13" customWidth="1"/>
    <col min="13564" max="13564" width="14.42578125" customWidth="1"/>
    <col min="13565" max="13565" width="10.42578125" bestFit="1" customWidth="1"/>
    <col min="13566" max="13566" width="15.85546875" bestFit="1" customWidth="1"/>
    <col min="13567" max="13567" width="13.7109375" bestFit="1" customWidth="1"/>
    <col min="13819" max="13819" width="13" customWidth="1"/>
    <col min="13820" max="13820" width="14.42578125" customWidth="1"/>
    <col min="13821" max="13821" width="10.42578125" bestFit="1" customWidth="1"/>
    <col min="13822" max="13822" width="15.85546875" bestFit="1" customWidth="1"/>
    <col min="13823" max="13823" width="13.7109375" bestFit="1" customWidth="1"/>
    <col min="14075" max="14075" width="13" customWidth="1"/>
    <col min="14076" max="14076" width="14.42578125" customWidth="1"/>
    <col min="14077" max="14077" width="10.42578125" bestFit="1" customWidth="1"/>
    <col min="14078" max="14078" width="15.85546875" bestFit="1" customWidth="1"/>
    <col min="14079" max="14079" width="13.7109375" bestFit="1" customWidth="1"/>
    <col min="14331" max="14331" width="13" customWidth="1"/>
    <col min="14332" max="14332" width="14.42578125" customWidth="1"/>
    <col min="14333" max="14333" width="10.42578125" bestFit="1" customWidth="1"/>
    <col min="14334" max="14334" width="15.85546875" bestFit="1" customWidth="1"/>
    <col min="14335" max="14335" width="13.7109375" bestFit="1" customWidth="1"/>
    <col min="14587" max="14587" width="13" customWidth="1"/>
    <col min="14588" max="14588" width="14.42578125" customWidth="1"/>
    <col min="14589" max="14589" width="10.42578125" bestFit="1" customWidth="1"/>
    <col min="14590" max="14590" width="15.85546875" bestFit="1" customWidth="1"/>
    <col min="14591" max="14591" width="13.7109375" bestFit="1" customWidth="1"/>
    <col min="14843" max="14843" width="13" customWidth="1"/>
    <col min="14844" max="14844" width="14.42578125" customWidth="1"/>
    <col min="14845" max="14845" width="10.42578125" bestFit="1" customWidth="1"/>
    <col min="14846" max="14846" width="15.85546875" bestFit="1" customWidth="1"/>
    <col min="14847" max="14847" width="13.7109375" bestFit="1" customWidth="1"/>
    <col min="15099" max="15099" width="13" customWidth="1"/>
    <col min="15100" max="15100" width="14.42578125" customWidth="1"/>
    <col min="15101" max="15101" width="10.42578125" bestFit="1" customWidth="1"/>
    <col min="15102" max="15102" width="15.85546875" bestFit="1" customWidth="1"/>
    <col min="15103" max="15103" width="13.7109375" bestFit="1" customWidth="1"/>
    <col min="15355" max="15355" width="13" customWidth="1"/>
    <col min="15356" max="15356" width="14.42578125" customWidth="1"/>
    <col min="15357" max="15357" width="10.42578125" bestFit="1" customWidth="1"/>
    <col min="15358" max="15358" width="15.85546875" bestFit="1" customWidth="1"/>
    <col min="15359" max="15359" width="13.7109375" bestFit="1" customWidth="1"/>
    <col min="15611" max="15611" width="13" customWidth="1"/>
    <col min="15612" max="15612" width="14.42578125" customWidth="1"/>
    <col min="15613" max="15613" width="10.42578125" bestFit="1" customWidth="1"/>
    <col min="15614" max="15614" width="15.85546875" bestFit="1" customWidth="1"/>
    <col min="15615" max="15615" width="13.7109375" bestFit="1" customWidth="1"/>
    <col min="15867" max="15867" width="13" customWidth="1"/>
    <col min="15868" max="15868" width="14.42578125" customWidth="1"/>
    <col min="15869" max="15869" width="10.42578125" bestFit="1" customWidth="1"/>
    <col min="15870" max="15870" width="15.85546875" bestFit="1" customWidth="1"/>
    <col min="15871" max="15871" width="13.7109375" bestFit="1" customWidth="1"/>
    <col min="16123" max="16123" width="13" customWidth="1"/>
    <col min="16124" max="16124" width="14.42578125" customWidth="1"/>
    <col min="16125" max="16125" width="10.42578125" bestFit="1" customWidth="1"/>
    <col min="16126" max="16126" width="15.85546875" bestFit="1" customWidth="1"/>
    <col min="16127" max="16127" width="13.7109375" bestFit="1" customWidth="1"/>
  </cols>
  <sheetData>
    <row r="1" spans="1:8" x14ac:dyDescent="0.25">
      <c r="A1" s="971" t="s">
        <v>845</v>
      </c>
      <c r="B1" s="971"/>
      <c r="C1" s="971"/>
      <c r="D1" s="971"/>
      <c r="E1" s="971"/>
      <c r="G1" s="611" t="s">
        <v>846</v>
      </c>
    </row>
    <row r="2" spans="1:8" ht="15.75" thickBot="1" x14ac:dyDescent="0.3"/>
    <row r="3" spans="1:8" ht="15.75" thickBot="1" x14ac:dyDescent="0.3">
      <c r="F3" s="919" t="s">
        <v>923</v>
      </c>
      <c r="G3" s="920"/>
      <c r="H3" s="921"/>
    </row>
    <row r="4" spans="1:8" ht="15.75" thickBot="1" x14ac:dyDescent="0.3">
      <c r="A4" s="957" t="s">
        <v>7</v>
      </c>
      <c r="B4" s="958"/>
      <c r="C4" s="958"/>
      <c r="D4" s="958"/>
      <c r="E4" s="959"/>
      <c r="F4" s="351" t="s">
        <v>309</v>
      </c>
      <c r="G4" s="351" t="s">
        <v>310</v>
      </c>
      <c r="H4" s="352" t="s">
        <v>184</v>
      </c>
    </row>
    <row r="5" spans="1:8" ht="15.75" thickBot="1" x14ac:dyDescent="0.3">
      <c r="A5" s="945" t="s">
        <v>311</v>
      </c>
      <c r="B5" s="946"/>
      <c r="C5" s="946"/>
      <c r="D5" s="946"/>
      <c r="E5" s="947"/>
      <c r="F5" s="353">
        <v>33516600</v>
      </c>
      <c r="G5" s="353">
        <v>0</v>
      </c>
      <c r="H5" s="353">
        <f t="shared" ref="H5:H12" si="0">F5+G5</f>
        <v>33516600</v>
      </c>
    </row>
    <row r="6" spans="1:8" ht="15.75" thickBot="1" x14ac:dyDescent="0.3">
      <c r="A6" s="945" t="s">
        <v>312</v>
      </c>
      <c r="B6" s="946"/>
      <c r="C6" s="946"/>
      <c r="D6" s="946"/>
      <c r="E6" s="947"/>
      <c r="F6" s="353">
        <v>972000</v>
      </c>
      <c r="G6" s="353">
        <v>0</v>
      </c>
      <c r="H6" s="353">
        <f t="shared" si="0"/>
        <v>972000</v>
      </c>
    </row>
    <row r="7" spans="1:8" ht="15.75" thickBot="1" x14ac:dyDescent="0.3">
      <c r="A7" s="945" t="s">
        <v>313</v>
      </c>
      <c r="B7" s="946"/>
      <c r="C7" s="946"/>
      <c r="D7" s="946"/>
      <c r="E7" s="947"/>
      <c r="F7" s="353">
        <v>1432000</v>
      </c>
      <c r="G7" s="353">
        <v>0</v>
      </c>
      <c r="H7" s="353">
        <f t="shared" si="0"/>
        <v>1432000</v>
      </c>
    </row>
    <row r="8" spans="1:8" ht="15.75" thickBot="1" x14ac:dyDescent="0.3">
      <c r="A8" s="945" t="s">
        <v>314</v>
      </c>
      <c r="B8" s="946"/>
      <c r="C8" s="946"/>
      <c r="D8" s="946"/>
      <c r="E8" s="947"/>
      <c r="F8" s="353">
        <v>294720</v>
      </c>
      <c r="G8" s="353">
        <v>0</v>
      </c>
      <c r="H8" s="353">
        <f t="shared" si="0"/>
        <v>294720</v>
      </c>
    </row>
    <row r="9" spans="1:8" ht="15.75" thickBot="1" x14ac:dyDescent="0.3">
      <c r="A9" s="945" t="s">
        <v>381</v>
      </c>
      <c r="B9" s="946"/>
      <c r="C9" s="946"/>
      <c r="D9" s="946"/>
      <c r="E9" s="947"/>
      <c r="F9" s="353">
        <f>150000+170000</f>
        <v>320000</v>
      </c>
      <c r="G9" s="353">
        <v>0</v>
      </c>
      <c r="H9" s="353">
        <f t="shared" si="0"/>
        <v>320000</v>
      </c>
    </row>
    <row r="10" spans="1:8" s="350" customFormat="1" ht="15.75" thickBot="1" x14ac:dyDescent="0.3">
      <c r="A10" s="975" t="s">
        <v>315</v>
      </c>
      <c r="B10" s="976"/>
      <c r="C10" s="976"/>
      <c r="D10" s="976"/>
      <c r="E10" s="977"/>
      <c r="F10" s="352">
        <f>F5+F6+F7+F8+F9</f>
        <v>36535320</v>
      </c>
      <c r="G10" s="352">
        <v>0</v>
      </c>
      <c r="H10" s="352">
        <f t="shared" si="0"/>
        <v>36535320</v>
      </c>
    </row>
    <row r="11" spans="1:8" s="350" customFormat="1" ht="15.75" thickBot="1" x14ac:dyDescent="0.3">
      <c r="A11" s="945" t="s">
        <v>663</v>
      </c>
      <c r="B11" s="946"/>
      <c r="C11" s="946"/>
      <c r="D11" s="946"/>
      <c r="E11" s="947"/>
      <c r="F11" s="512">
        <v>1615000</v>
      </c>
      <c r="G11" s="352">
        <v>0</v>
      </c>
      <c r="H11" s="353">
        <f t="shared" si="0"/>
        <v>1615000</v>
      </c>
    </row>
    <row r="12" spans="1:8" s="350" customFormat="1" ht="15.75" thickBot="1" x14ac:dyDescent="0.3">
      <c r="A12" s="916" t="s">
        <v>847</v>
      </c>
      <c r="B12" s="946"/>
      <c r="C12" s="946"/>
      <c r="D12" s="946"/>
      <c r="E12" s="947"/>
      <c r="F12" s="512">
        <v>20000</v>
      </c>
      <c r="G12" s="352">
        <v>0</v>
      </c>
      <c r="H12" s="353">
        <f t="shared" si="0"/>
        <v>20000</v>
      </c>
    </row>
    <row r="13" spans="1:8" s="355" customFormat="1" ht="16.5" thickBot="1" x14ac:dyDescent="0.3">
      <c r="A13" s="978" t="s">
        <v>319</v>
      </c>
      <c r="B13" s="979"/>
      <c r="C13" s="979"/>
      <c r="D13" s="979"/>
      <c r="E13" s="980"/>
      <c r="F13" s="354">
        <f>F10+F11+F12</f>
        <v>38170320</v>
      </c>
      <c r="G13" s="354">
        <f>G10</f>
        <v>0</v>
      </c>
      <c r="H13" s="354">
        <f>F13</f>
        <v>38170320</v>
      </c>
    </row>
    <row r="14" spans="1:8" s="355" customFormat="1" ht="16.5" customHeight="1" thickBot="1" x14ac:dyDescent="0.3">
      <c r="A14" s="972" t="s">
        <v>848</v>
      </c>
      <c r="B14" s="973"/>
      <c r="C14" s="973"/>
      <c r="D14" s="973"/>
      <c r="E14" s="974"/>
      <c r="F14" s="354">
        <v>6942198</v>
      </c>
      <c r="G14" s="354">
        <f>G11</f>
        <v>0</v>
      </c>
      <c r="H14" s="354">
        <f>F14+G14</f>
        <v>6942198</v>
      </c>
    </row>
    <row r="15" spans="1:8" s="355" customFormat="1" ht="57" customHeight="1" thickBot="1" x14ac:dyDescent="0.3">
      <c r="A15" s="981" t="s">
        <v>849</v>
      </c>
      <c r="B15" s="982"/>
      <c r="C15" s="982"/>
      <c r="D15" s="982"/>
      <c r="E15" s="983"/>
      <c r="F15" s="354">
        <f t="shared" ref="F15:H15" si="1">F13+F14</f>
        <v>45112518</v>
      </c>
      <c r="G15" s="354">
        <f t="shared" si="1"/>
        <v>0</v>
      </c>
      <c r="H15" s="354">
        <f t="shared" si="1"/>
        <v>45112518</v>
      </c>
    </row>
    <row r="16" spans="1:8" ht="15.75" thickBot="1" x14ac:dyDescent="0.3">
      <c r="A16" s="945" t="s">
        <v>382</v>
      </c>
      <c r="B16" s="946"/>
      <c r="C16" s="946"/>
      <c r="D16" s="946"/>
      <c r="E16" s="947"/>
      <c r="F16" s="353">
        <v>60686</v>
      </c>
      <c r="G16" s="353">
        <f>F16*5%</f>
        <v>3034.3</v>
      </c>
      <c r="H16" s="353">
        <f>F16+G16</f>
        <v>63720.3</v>
      </c>
    </row>
    <row r="17" spans="1:8" ht="15.75" thickBot="1" x14ac:dyDescent="0.3">
      <c r="A17" s="975" t="s">
        <v>323</v>
      </c>
      <c r="B17" s="976"/>
      <c r="C17" s="976"/>
      <c r="D17" s="976"/>
      <c r="E17" s="977"/>
      <c r="F17" s="352">
        <f t="shared" ref="F17:H17" si="2">F16</f>
        <v>60686</v>
      </c>
      <c r="G17" s="352">
        <f t="shared" si="2"/>
        <v>3034.3</v>
      </c>
      <c r="H17" s="352">
        <f t="shared" si="2"/>
        <v>63720.3</v>
      </c>
    </row>
    <row r="18" spans="1:8" s="498" customFormat="1" ht="13.5" thickBot="1" x14ac:dyDescent="0.25">
      <c r="A18" s="916" t="s">
        <v>324</v>
      </c>
      <c r="B18" s="917"/>
      <c r="C18" s="917"/>
      <c r="D18" s="917"/>
      <c r="E18" s="918"/>
      <c r="F18" s="595">
        <v>555000</v>
      </c>
      <c r="G18" s="595">
        <v>25000</v>
      </c>
      <c r="H18" s="595">
        <f>F18+G18</f>
        <v>580000</v>
      </c>
    </row>
    <row r="19" spans="1:8" s="498" customFormat="1" ht="13.5" thickBot="1" x14ac:dyDescent="0.25">
      <c r="A19" s="916" t="s">
        <v>325</v>
      </c>
      <c r="B19" s="917"/>
      <c r="C19" s="917"/>
      <c r="D19" s="917"/>
      <c r="E19" s="918"/>
      <c r="F19" s="595">
        <v>300000</v>
      </c>
      <c r="G19" s="595">
        <v>81000</v>
      </c>
      <c r="H19" s="595">
        <f>F19+G19</f>
        <v>381000</v>
      </c>
    </row>
    <row r="20" spans="1:8" s="498" customFormat="1" ht="15.75" thickBot="1" x14ac:dyDescent="0.3">
      <c r="A20" s="945" t="s">
        <v>850</v>
      </c>
      <c r="B20" s="984"/>
      <c r="C20" s="984"/>
      <c r="D20" s="984"/>
      <c r="E20" s="985"/>
      <c r="F20" s="595">
        <v>0</v>
      </c>
      <c r="G20" s="595">
        <v>0</v>
      </c>
      <c r="H20" s="595">
        <f>F20+G20</f>
        <v>0</v>
      </c>
    </row>
    <row r="21" spans="1:8" s="612" customFormat="1" ht="15.75" thickBot="1" x14ac:dyDescent="0.3">
      <c r="A21" s="945" t="s">
        <v>851</v>
      </c>
      <c r="B21" s="984"/>
      <c r="C21" s="984"/>
      <c r="D21" s="984"/>
      <c r="E21" s="985"/>
      <c r="F21" s="595">
        <v>0</v>
      </c>
      <c r="G21" s="595">
        <v>0</v>
      </c>
      <c r="H21" s="595">
        <f>F21+G21</f>
        <v>0</v>
      </c>
    </row>
    <row r="22" spans="1:8" s="350" customFormat="1" ht="15.75" thickBot="1" x14ac:dyDescent="0.3">
      <c r="A22" s="975" t="s">
        <v>328</v>
      </c>
      <c r="B22" s="976"/>
      <c r="C22" s="976"/>
      <c r="D22" s="976"/>
      <c r="E22" s="977"/>
      <c r="F22" s="352">
        <f>F18+F19+F20+F21</f>
        <v>855000</v>
      </c>
      <c r="G22" s="352">
        <f t="shared" ref="G22:H22" si="3">G18+G19+G20+G21</f>
        <v>106000</v>
      </c>
      <c r="H22" s="352">
        <f t="shared" si="3"/>
        <v>961000</v>
      </c>
    </row>
    <row r="23" spans="1:8" s="350" customFormat="1" ht="15.75" thickBot="1" x14ac:dyDescent="0.3">
      <c r="A23" s="975" t="s">
        <v>329</v>
      </c>
      <c r="B23" s="976"/>
      <c r="C23" s="976"/>
      <c r="D23" s="976"/>
      <c r="E23" s="977"/>
      <c r="F23" s="352">
        <f t="shared" ref="F23:H23" si="4">F17+F22</f>
        <v>915686</v>
      </c>
      <c r="G23" s="352">
        <f t="shared" si="4"/>
        <v>109034.3</v>
      </c>
      <c r="H23" s="352">
        <f t="shared" si="4"/>
        <v>1024720.3</v>
      </c>
    </row>
    <row r="24" spans="1:8" ht="15.75" thickBot="1" x14ac:dyDescent="0.3">
      <c r="A24" s="945" t="s">
        <v>383</v>
      </c>
      <c r="B24" s="946"/>
      <c r="C24" s="946"/>
      <c r="D24" s="946"/>
      <c r="E24" s="947"/>
      <c r="F24" s="353">
        <v>91200</v>
      </c>
      <c r="G24" s="353">
        <f t="shared" ref="G24" si="5">F24*27%</f>
        <v>24624</v>
      </c>
      <c r="H24" s="353">
        <f t="shared" ref="H24:H28" si="6">F24+G24</f>
        <v>115824</v>
      </c>
    </row>
    <row r="25" spans="1:8" ht="15.75" thickBot="1" x14ac:dyDescent="0.3">
      <c r="A25" s="945" t="s">
        <v>384</v>
      </c>
      <c r="B25" s="946"/>
      <c r="C25" s="946"/>
      <c r="D25" s="946"/>
      <c r="E25" s="947"/>
      <c r="F25" s="353">
        <v>438000</v>
      </c>
      <c r="G25" s="353">
        <f>F25*27%</f>
        <v>118260.00000000001</v>
      </c>
      <c r="H25" s="353">
        <f t="shared" si="6"/>
        <v>556260</v>
      </c>
    </row>
    <row r="26" spans="1:8" ht="15.75" thickBot="1" x14ac:dyDescent="0.3">
      <c r="A26" s="945" t="s">
        <v>852</v>
      </c>
      <c r="B26" s="946"/>
      <c r="C26" s="946"/>
      <c r="D26" s="946"/>
      <c r="E26" s="947"/>
      <c r="F26" s="353">
        <v>0</v>
      </c>
      <c r="G26" s="353">
        <v>0</v>
      </c>
      <c r="H26" s="353">
        <f t="shared" si="6"/>
        <v>0</v>
      </c>
    </row>
    <row r="27" spans="1:8" ht="15.75" thickBot="1" x14ac:dyDescent="0.3">
      <c r="A27" s="945" t="s">
        <v>385</v>
      </c>
      <c r="B27" s="946"/>
      <c r="C27" s="946"/>
      <c r="D27" s="946"/>
      <c r="E27" s="947"/>
      <c r="F27" s="353">
        <v>185400</v>
      </c>
      <c r="G27" s="353">
        <f>F27*27%+1</f>
        <v>50059</v>
      </c>
      <c r="H27" s="353">
        <f t="shared" si="6"/>
        <v>235459</v>
      </c>
    </row>
    <row r="28" spans="1:8" ht="15.75" thickBot="1" x14ac:dyDescent="0.3">
      <c r="A28" s="945" t="s">
        <v>664</v>
      </c>
      <c r="B28" s="946"/>
      <c r="C28" s="946"/>
      <c r="D28" s="946"/>
      <c r="E28" s="947"/>
      <c r="F28" s="353">
        <f>28000*12</f>
        <v>336000</v>
      </c>
      <c r="G28" s="353">
        <v>0</v>
      </c>
      <c r="H28" s="353">
        <f t="shared" si="6"/>
        <v>336000</v>
      </c>
    </row>
    <row r="29" spans="1:8" ht="15.75" thickBot="1" x14ac:dyDescent="0.3">
      <c r="A29" s="945" t="s">
        <v>665</v>
      </c>
      <c r="B29" s="946"/>
      <c r="C29" s="946"/>
      <c r="D29" s="946"/>
      <c r="E29" s="947"/>
      <c r="F29" s="353">
        <v>144000</v>
      </c>
      <c r="G29" s="353">
        <f t="shared" ref="G29:G30" si="7">F29*27%</f>
        <v>38880</v>
      </c>
      <c r="H29" s="353">
        <f>F29+G29</f>
        <v>182880</v>
      </c>
    </row>
    <row r="30" spans="1:8" ht="15.75" thickBot="1" x14ac:dyDescent="0.3">
      <c r="A30" s="916" t="s">
        <v>853</v>
      </c>
      <c r="B30" s="946"/>
      <c r="C30" s="946"/>
      <c r="D30" s="946"/>
      <c r="E30" s="947"/>
      <c r="F30" s="353">
        <v>72000</v>
      </c>
      <c r="G30" s="353">
        <f t="shared" si="7"/>
        <v>19440</v>
      </c>
      <c r="H30" s="353">
        <f>F30+G30</f>
        <v>91440</v>
      </c>
    </row>
    <row r="31" spans="1:8" s="350" customFormat="1" ht="15.75" thickBot="1" x14ac:dyDescent="0.3">
      <c r="A31" s="945" t="s">
        <v>330</v>
      </c>
      <c r="B31" s="946"/>
      <c r="C31" s="946"/>
      <c r="D31" s="946"/>
      <c r="E31" s="947"/>
      <c r="F31" s="353">
        <v>128832</v>
      </c>
      <c r="G31" s="353">
        <f>F31*5%</f>
        <v>6441.6</v>
      </c>
      <c r="H31" s="353">
        <f t="shared" ref="H31" si="8">F31+G31</f>
        <v>135273.60000000001</v>
      </c>
    </row>
    <row r="32" spans="1:8" ht="15.75" thickBot="1" x14ac:dyDescent="0.3">
      <c r="A32" s="975" t="s">
        <v>331</v>
      </c>
      <c r="B32" s="976"/>
      <c r="C32" s="976"/>
      <c r="D32" s="976"/>
      <c r="E32" s="977"/>
      <c r="F32" s="352">
        <f>F24+F25+F27+F28+F29+F31+F26+F30</f>
        <v>1395432</v>
      </c>
      <c r="G32" s="352">
        <f t="shared" ref="G32:H32" si="9">G24+G25+G27+G28+G29+G31+G26</f>
        <v>238264.6</v>
      </c>
      <c r="H32" s="352">
        <f t="shared" si="9"/>
        <v>1561696.6</v>
      </c>
    </row>
    <row r="33" spans="1:8" s="350" customFormat="1" ht="15.75" thickBot="1" x14ac:dyDescent="0.3">
      <c r="A33" s="945" t="s">
        <v>332</v>
      </c>
      <c r="B33" s="946"/>
      <c r="C33" s="946"/>
      <c r="D33" s="946"/>
      <c r="E33" s="947"/>
      <c r="F33" s="353">
        <v>200000</v>
      </c>
      <c r="G33" s="353">
        <f>F33*27%</f>
        <v>54000</v>
      </c>
      <c r="H33" s="353">
        <f>F33+G33</f>
        <v>254000</v>
      </c>
    </row>
    <row r="34" spans="1:8" s="350" customFormat="1" ht="15.75" thickBot="1" x14ac:dyDescent="0.3">
      <c r="A34" s="975" t="s">
        <v>333</v>
      </c>
      <c r="B34" s="976"/>
      <c r="C34" s="976"/>
      <c r="D34" s="976"/>
      <c r="E34" s="977"/>
      <c r="F34" s="352">
        <f t="shared" ref="F34:H34" si="10">F33</f>
        <v>200000</v>
      </c>
      <c r="G34" s="352">
        <f t="shared" si="10"/>
        <v>54000</v>
      </c>
      <c r="H34" s="352">
        <f t="shared" si="10"/>
        <v>254000</v>
      </c>
    </row>
    <row r="35" spans="1:8" ht="15.75" thickBot="1" x14ac:dyDescent="0.3">
      <c r="A35" s="975" t="s">
        <v>334</v>
      </c>
      <c r="B35" s="976"/>
      <c r="C35" s="976"/>
      <c r="D35" s="976"/>
      <c r="E35" s="977"/>
      <c r="F35" s="352">
        <f t="shared" ref="F35:H35" si="11">F34+F32</f>
        <v>1595432</v>
      </c>
      <c r="G35" s="352">
        <f t="shared" si="11"/>
        <v>292264.59999999998</v>
      </c>
      <c r="H35" s="352">
        <f t="shared" si="11"/>
        <v>1815696.6</v>
      </c>
    </row>
    <row r="36" spans="1:8" s="350" customFormat="1" ht="15.75" thickBot="1" x14ac:dyDescent="0.3">
      <c r="A36" s="940" t="s">
        <v>386</v>
      </c>
      <c r="B36" s="941"/>
      <c r="C36" s="941"/>
      <c r="D36" s="941"/>
      <c r="E36" s="942"/>
      <c r="F36" s="353">
        <v>20668</v>
      </c>
      <c r="G36" s="353">
        <v>3828</v>
      </c>
      <c r="H36" s="353">
        <f>F36+G36</f>
        <v>24496</v>
      </c>
    </row>
    <row r="37" spans="1:8" s="593" customFormat="1" ht="15.75" thickBot="1" x14ac:dyDescent="0.3">
      <c r="A37" s="797" t="s">
        <v>854</v>
      </c>
      <c r="B37" s="798"/>
      <c r="C37" s="798"/>
      <c r="D37" s="798"/>
      <c r="E37" s="799"/>
      <c r="F37" s="595">
        <v>0</v>
      </c>
      <c r="G37" s="595">
        <v>0</v>
      </c>
      <c r="H37" s="353">
        <f>F37+G37</f>
        <v>0</v>
      </c>
    </row>
    <row r="38" spans="1:8" s="498" customFormat="1" ht="15.75" thickBot="1" x14ac:dyDescent="0.3">
      <c r="A38" s="874" t="s">
        <v>387</v>
      </c>
      <c r="B38" s="875"/>
      <c r="C38" s="875"/>
      <c r="D38" s="875"/>
      <c r="E38" s="876"/>
      <c r="F38" s="590">
        <f>F36+F37</f>
        <v>20668</v>
      </c>
      <c r="G38" s="590">
        <f t="shared" ref="G38:H38" si="12">G36+G37</f>
        <v>3828</v>
      </c>
      <c r="H38" s="590">
        <f t="shared" si="12"/>
        <v>24496</v>
      </c>
    </row>
    <row r="39" spans="1:8" ht="15.75" thickBot="1" x14ac:dyDescent="0.3">
      <c r="A39" s="940" t="s">
        <v>336</v>
      </c>
      <c r="B39" s="941"/>
      <c r="C39" s="941"/>
      <c r="D39" s="941"/>
      <c r="E39" s="942"/>
      <c r="F39" s="353">
        <v>50000</v>
      </c>
      <c r="G39" s="353">
        <f>F39*27%</f>
        <v>13500</v>
      </c>
      <c r="H39" s="353">
        <f t="shared" ref="H39:H50" si="13">F39+G39</f>
        <v>63500</v>
      </c>
    </row>
    <row r="40" spans="1:8" ht="15.75" thickBot="1" x14ac:dyDescent="0.3">
      <c r="A40" s="940" t="s">
        <v>388</v>
      </c>
      <c r="B40" s="941"/>
      <c r="C40" s="941"/>
      <c r="D40" s="941"/>
      <c r="E40" s="942"/>
      <c r="F40" s="353">
        <v>80000</v>
      </c>
      <c r="G40" s="353">
        <v>0</v>
      </c>
      <c r="H40" s="353">
        <f t="shared" si="13"/>
        <v>80000</v>
      </c>
    </row>
    <row r="41" spans="1:8" ht="15.75" thickBot="1" x14ac:dyDescent="0.3">
      <c r="A41" s="940" t="s">
        <v>855</v>
      </c>
      <c r="B41" s="941"/>
      <c r="C41" s="941"/>
      <c r="D41" s="941"/>
      <c r="E41" s="942"/>
      <c r="F41" s="353">
        <v>128560</v>
      </c>
      <c r="G41" s="353">
        <v>18900</v>
      </c>
      <c r="H41" s="353">
        <f t="shared" si="13"/>
        <v>147460</v>
      </c>
    </row>
    <row r="42" spans="1:8" s="350" customFormat="1" ht="15.75" thickBot="1" x14ac:dyDescent="0.3">
      <c r="A42" s="957" t="s">
        <v>856</v>
      </c>
      <c r="B42" s="958"/>
      <c r="C42" s="958"/>
      <c r="D42" s="958"/>
      <c r="E42" s="959"/>
      <c r="F42" s="352">
        <f t="shared" ref="F42:H42" si="14">F40+F41</f>
        <v>208560</v>
      </c>
      <c r="G42" s="352">
        <f t="shared" si="14"/>
        <v>18900</v>
      </c>
      <c r="H42" s="352">
        <f t="shared" si="14"/>
        <v>227460</v>
      </c>
    </row>
    <row r="43" spans="1:8" s="593" customFormat="1" ht="15.75" thickBot="1" x14ac:dyDescent="0.3">
      <c r="A43" s="797" t="s">
        <v>389</v>
      </c>
      <c r="B43" s="798"/>
      <c r="C43" s="798"/>
      <c r="D43" s="798"/>
      <c r="E43" s="799"/>
      <c r="F43" s="595">
        <v>530000</v>
      </c>
      <c r="G43" s="595">
        <v>40000</v>
      </c>
      <c r="H43" s="595">
        <f t="shared" si="13"/>
        <v>570000</v>
      </c>
    </row>
    <row r="44" spans="1:8" s="350" customFormat="1" ht="15.75" thickBot="1" x14ac:dyDescent="0.3">
      <c r="A44" s="940" t="s">
        <v>390</v>
      </c>
      <c r="B44" s="941"/>
      <c r="C44" s="941"/>
      <c r="D44" s="941"/>
      <c r="E44" s="942"/>
      <c r="F44" s="353">
        <v>490000</v>
      </c>
      <c r="G44" s="353">
        <v>0</v>
      </c>
      <c r="H44" s="353">
        <f t="shared" si="13"/>
        <v>490000</v>
      </c>
    </row>
    <row r="45" spans="1:8" s="350" customFormat="1" ht="15.75" thickBot="1" x14ac:dyDescent="0.3">
      <c r="A45" s="797" t="s">
        <v>666</v>
      </c>
      <c r="B45" s="941"/>
      <c r="C45" s="941"/>
      <c r="D45" s="941"/>
      <c r="E45" s="942"/>
      <c r="F45" s="353">
        <v>0</v>
      </c>
      <c r="G45" s="353">
        <f>F45*27%</f>
        <v>0</v>
      </c>
      <c r="H45" s="353">
        <f t="shared" si="13"/>
        <v>0</v>
      </c>
    </row>
    <row r="46" spans="1:8" s="593" customFormat="1" ht="15.75" thickBot="1" x14ac:dyDescent="0.3">
      <c r="A46" s="797" t="s">
        <v>857</v>
      </c>
      <c r="B46" s="798"/>
      <c r="C46" s="798"/>
      <c r="D46" s="798"/>
      <c r="E46" s="799"/>
      <c r="F46" s="595">
        <v>225712</v>
      </c>
      <c r="G46" s="595">
        <v>0</v>
      </c>
      <c r="H46" s="595">
        <f t="shared" si="13"/>
        <v>225712</v>
      </c>
    </row>
    <row r="47" spans="1:8" s="593" customFormat="1" ht="15.75" thickBot="1" x14ac:dyDescent="0.3">
      <c r="A47" s="797" t="s">
        <v>858</v>
      </c>
      <c r="B47" s="798"/>
      <c r="C47" s="798"/>
      <c r="D47" s="798"/>
      <c r="E47" s="799"/>
      <c r="F47" s="595">
        <v>34000</v>
      </c>
      <c r="G47" s="595">
        <f>F47*27%</f>
        <v>9180</v>
      </c>
      <c r="H47" s="595">
        <f t="shared" si="13"/>
        <v>43180</v>
      </c>
    </row>
    <row r="48" spans="1:8" s="593" customFormat="1" ht="15.75" thickBot="1" x14ac:dyDescent="0.3">
      <c r="A48" s="940" t="s">
        <v>859</v>
      </c>
      <c r="B48" s="941"/>
      <c r="C48" s="941"/>
      <c r="D48" s="941"/>
      <c r="E48" s="942"/>
      <c r="F48" s="595">
        <v>350000</v>
      </c>
      <c r="G48" s="595">
        <v>0</v>
      </c>
      <c r="H48" s="595">
        <f t="shared" si="13"/>
        <v>350000</v>
      </c>
    </row>
    <row r="49" spans="1:8" s="593" customFormat="1" ht="15.75" thickBot="1" x14ac:dyDescent="0.3">
      <c r="A49" s="797" t="s">
        <v>860</v>
      </c>
      <c r="B49" s="798"/>
      <c r="C49" s="798"/>
      <c r="D49" s="798"/>
      <c r="E49" s="799"/>
      <c r="F49" s="595">
        <v>0</v>
      </c>
      <c r="G49" s="595">
        <v>0</v>
      </c>
      <c r="H49" s="595">
        <f t="shared" si="13"/>
        <v>0</v>
      </c>
    </row>
    <row r="50" spans="1:8" s="593" customFormat="1" ht="15.75" thickBot="1" x14ac:dyDescent="0.3">
      <c r="A50" s="797" t="s">
        <v>861</v>
      </c>
      <c r="B50" s="798"/>
      <c r="C50" s="798"/>
      <c r="D50" s="798"/>
      <c r="E50" s="799"/>
      <c r="F50" s="595">
        <v>20000</v>
      </c>
      <c r="G50" s="595">
        <v>0</v>
      </c>
      <c r="H50" s="595">
        <f t="shared" si="13"/>
        <v>20000</v>
      </c>
    </row>
    <row r="51" spans="1:8" ht="15.75" thickBot="1" x14ac:dyDescent="0.3">
      <c r="A51" s="957" t="s">
        <v>344</v>
      </c>
      <c r="B51" s="958"/>
      <c r="C51" s="958"/>
      <c r="D51" s="958"/>
      <c r="E51" s="959"/>
      <c r="F51" s="352">
        <f>SUM(F43:F50)</f>
        <v>1649712</v>
      </c>
      <c r="G51" s="352">
        <f>SUM(G43:G50)</f>
        <v>49180</v>
      </c>
      <c r="H51" s="352">
        <f t="shared" ref="H51" si="15">SUM(H43:H50)</f>
        <v>1698892</v>
      </c>
    </row>
    <row r="52" spans="1:8" s="350" customFormat="1" ht="15.75" thickBot="1" x14ac:dyDescent="0.3">
      <c r="A52" s="957" t="s">
        <v>345</v>
      </c>
      <c r="B52" s="958"/>
      <c r="C52" s="958"/>
      <c r="D52" s="958"/>
      <c r="E52" s="959"/>
      <c r="F52" s="352">
        <f>F38+F39+F42+F51</f>
        <v>1928940</v>
      </c>
      <c r="G52" s="352">
        <f t="shared" ref="G52:H52" si="16">G38+G39+G40+G51</f>
        <v>66508</v>
      </c>
      <c r="H52" s="352">
        <f t="shared" si="16"/>
        <v>1866888</v>
      </c>
    </row>
    <row r="53" spans="1:8" ht="15.75" thickBot="1" x14ac:dyDescent="0.3">
      <c r="A53" s="940" t="s">
        <v>346</v>
      </c>
      <c r="B53" s="941"/>
      <c r="C53" s="941"/>
      <c r="D53" s="941"/>
      <c r="E53" s="942"/>
      <c r="F53" s="353">
        <v>150000</v>
      </c>
      <c r="G53" s="353">
        <v>0</v>
      </c>
      <c r="H53" s="353">
        <f>F53+G53</f>
        <v>150000</v>
      </c>
    </row>
    <row r="54" spans="1:8" ht="15.75" thickBot="1" x14ac:dyDescent="0.3">
      <c r="A54" s="957" t="s">
        <v>348</v>
      </c>
      <c r="B54" s="958"/>
      <c r="C54" s="958"/>
      <c r="D54" s="958"/>
      <c r="E54" s="959"/>
      <c r="F54" s="352">
        <f t="shared" ref="F54:H54" si="17">F53</f>
        <v>150000</v>
      </c>
      <c r="G54" s="352">
        <f t="shared" si="17"/>
        <v>0</v>
      </c>
      <c r="H54" s="352">
        <f t="shared" si="17"/>
        <v>150000</v>
      </c>
    </row>
    <row r="55" spans="1:8" s="593" customFormat="1" ht="15.75" thickBot="1" x14ac:dyDescent="0.3">
      <c r="A55" s="797" t="s">
        <v>349</v>
      </c>
      <c r="B55" s="798"/>
      <c r="C55" s="798"/>
      <c r="D55" s="798"/>
      <c r="E55" s="799"/>
      <c r="F55" s="595">
        <v>0</v>
      </c>
      <c r="G55" s="595">
        <f>G23+G35+G52</f>
        <v>467806.89999999997</v>
      </c>
      <c r="H55" s="595">
        <f t="shared" ref="H55" si="18">G55</f>
        <v>467806.89999999997</v>
      </c>
    </row>
    <row r="56" spans="1:8" s="350" customFormat="1" ht="15.75" thickBot="1" x14ac:dyDescent="0.3">
      <c r="A56" s="940" t="s">
        <v>352</v>
      </c>
      <c r="B56" s="941"/>
      <c r="C56" s="941"/>
      <c r="D56" s="941"/>
      <c r="E56" s="942"/>
      <c r="F56" s="353">
        <v>50000</v>
      </c>
      <c r="G56" s="353">
        <v>0</v>
      </c>
      <c r="H56" s="353">
        <f>F56+G56</f>
        <v>50000</v>
      </c>
    </row>
    <row r="57" spans="1:8" s="357" customFormat="1" ht="19.5" thickBot="1" x14ac:dyDescent="0.35">
      <c r="A57" s="957" t="s">
        <v>350</v>
      </c>
      <c r="B57" s="958"/>
      <c r="C57" s="958"/>
      <c r="D57" s="958"/>
      <c r="E57" s="959"/>
      <c r="F57" s="352">
        <f>F55+F56</f>
        <v>50000</v>
      </c>
      <c r="G57" s="352">
        <f>G55</f>
        <v>467806.89999999997</v>
      </c>
      <c r="H57" s="352">
        <f>H55+H56</f>
        <v>517806.89999999997</v>
      </c>
    </row>
    <row r="58" spans="1:8" ht="15.75" thickBot="1" x14ac:dyDescent="0.3">
      <c r="A58" s="957" t="s">
        <v>351</v>
      </c>
      <c r="B58" s="958"/>
      <c r="C58" s="958"/>
      <c r="D58" s="958"/>
      <c r="E58" s="959"/>
      <c r="F58" s="352">
        <f>F23+F35+F52+F54+F57</f>
        <v>4640058</v>
      </c>
      <c r="G58" s="352">
        <f>G57</f>
        <v>467806.89999999997</v>
      </c>
      <c r="H58" s="352">
        <f>F58+G58</f>
        <v>5107864.9000000004</v>
      </c>
    </row>
    <row r="59" spans="1:8" ht="15.75" thickBot="1" x14ac:dyDescent="0.3">
      <c r="A59" s="940" t="s">
        <v>616</v>
      </c>
      <c r="B59" s="941"/>
      <c r="C59" s="941"/>
      <c r="D59" s="941"/>
      <c r="E59" s="942"/>
      <c r="F59" s="353">
        <v>0</v>
      </c>
      <c r="G59" s="353">
        <v>0</v>
      </c>
      <c r="H59" s="353">
        <f>F59+G59</f>
        <v>0</v>
      </c>
    </row>
    <row r="60" spans="1:8" ht="15.75" thickBot="1" x14ac:dyDescent="0.3">
      <c r="A60" s="940" t="s">
        <v>667</v>
      </c>
      <c r="B60" s="941"/>
      <c r="C60" s="941"/>
      <c r="D60" s="941"/>
      <c r="E60" s="942"/>
      <c r="F60" s="353">
        <v>0</v>
      </c>
      <c r="G60" s="353">
        <v>0</v>
      </c>
      <c r="H60" s="353">
        <f>F60+G60</f>
        <v>0</v>
      </c>
    </row>
    <row r="61" spans="1:8" ht="15.75" thickBot="1" x14ac:dyDescent="0.3">
      <c r="A61" s="940" t="s">
        <v>862</v>
      </c>
      <c r="B61" s="941"/>
      <c r="C61" s="941"/>
      <c r="D61" s="941"/>
      <c r="E61" s="942"/>
      <c r="F61" s="353">
        <v>0</v>
      </c>
      <c r="G61" s="353">
        <v>0</v>
      </c>
      <c r="H61" s="353">
        <f>F61+G61</f>
        <v>0</v>
      </c>
    </row>
    <row r="62" spans="1:8" ht="15.75" thickBot="1" x14ac:dyDescent="0.3">
      <c r="A62" s="940" t="s">
        <v>863</v>
      </c>
      <c r="B62" s="941"/>
      <c r="C62" s="941"/>
      <c r="D62" s="941"/>
      <c r="E62" s="942"/>
      <c r="F62" s="353">
        <v>0</v>
      </c>
      <c r="G62" s="353">
        <v>0</v>
      </c>
      <c r="H62" s="353">
        <f t="shared" ref="H62:H63" si="19">F62+G62</f>
        <v>0</v>
      </c>
    </row>
    <row r="63" spans="1:8" ht="15.75" thickBot="1" x14ac:dyDescent="0.3">
      <c r="A63" s="940" t="s">
        <v>864</v>
      </c>
      <c r="B63" s="941"/>
      <c r="C63" s="941"/>
      <c r="D63" s="941"/>
      <c r="E63" s="942"/>
      <c r="F63" s="353">
        <v>0</v>
      </c>
      <c r="G63" s="353">
        <v>0</v>
      </c>
      <c r="H63" s="353">
        <f t="shared" si="19"/>
        <v>0</v>
      </c>
    </row>
    <row r="64" spans="1:8" ht="12.75" customHeight="1" thickBot="1" x14ac:dyDescent="0.3">
      <c r="A64" s="797" t="s">
        <v>865</v>
      </c>
      <c r="B64" s="941"/>
      <c r="C64" s="941"/>
      <c r="D64" s="941"/>
      <c r="E64" s="942"/>
      <c r="F64" s="353">
        <v>157480</v>
      </c>
      <c r="G64" s="353">
        <f>F64*27%</f>
        <v>42519.600000000006</v>
      </c>
      <c r="H64" s="353">
        <f>F64+G64</f>
        <v>199999.6</v>
      </c>
    </row>
    <row r="65" spans="1:8" s="613" customFormat="1" ht="15.75" thickBot="1" x14ac:dyDescent="0.3">
      <c r="A65" s="957" t="s">
        <v>866</v>
      </c>
      <c r="B65" s="958"/>
      <c r="C65" s="958"/>
      <c r="D65" s="958"/>
      <c r="E65" s="959"/>
      <c r="F65" s="516">
        <f>F64</f>
        <v>157480</v>
      </c>
      <c r="G65" s="516">
        <f>G64</f>
        <v>42519.600000000006</v>
      </c>
      <c r="H65" s="516">
        <f>H64</f>
        <v>199999.6</v>
      </c>
    </row>
    <row r="66" spans="1:8" ht="15.75" thickBot="1" x14ac:dyDescent="0.3">
      <c r="A66" s="940" t="s">
        <v>867</v>
      </c>
      <c r="B66" s="941"/>
      <c r="C66" s="941"/>
      <c r="D66" s="941"/>
      <c r="E66" s="942"/>
      <c r="F66" s="353">
        <v>0</v>
      </c>
      <c r="G66" s="353">
        <v>0</v>
      </c>
      <c r="H66" s="353">
        <f>F66+G66</f>
        <v>0</v>
      </c>
    </row>
    <row r="67" spans="1:8" ht="15.75" thickBot="1" x14ac:dyDescent="0.3">
      <c r="A67" s="957" t="s">
        <v>868</v>
      </c>
      <c r="B67" s="958"/>
      <c r="C67" s="958"/>
      <c r="D67" s="958"/>
      <c r="E67" s="959"/>
      <c r="F67" s="352">
        <f>F66</f>
        <v>0</v>
      </c>
      <c r="G67" s="352">
        <f t="shared" ref="G67:H67" si="20">G66</f>
        <v>0</v>
      </c>
      <c r="H67" s="352">
        <f t="shared" si="20"/>
        <v>0</v>
      </c>
    </row>
    <row r="68" spans="1:8" s="350" customFormat="1" ht="15.75" thickBot="1" x14ac:dyDescent="0.3">
      <c r="A68" s="957" t="s">
        <v>668</v>
      </c>
      <c r="B68" s="958"/>
      <c r="C68" s="958"/>
      <c r="D68" s="958"/>
      <c r="E68" s="959"/>
      <c r="F68" s="352">
        <f>F65+F67</f>
        <v>157480</v>
      </c>
      <c r="G68" s="352">
        <f t="shared" ref="G68:H68" si="21">G65+G67</f>
        <v>42519.600000000006</v>
      </c>
      <c r="H68" s="352">
        <f t="shared" si="21"/>
        <v>199999.6</v>
      </c>
    </row>
    <row r="69" spans="1:8" s="350" customFormat="1" ht="46.5" customHeight="1" thickBot="1" x14ac:dyDescent="0.3">
      <c r="A69" s="986"/>
      <c r="B69" s="987"/>
      <c r="C69" s="987"/>
      <c r="D69" s="987"/>
      <c r="E69" s="988"/>
      <c r="F69" s="353"/>
      <c r="G69" s="352"/>
      <c r="H69" s="352"/>
    </row>
    <row r="70" spans="1:8" s="350" customFormat="1" ht="15.75" thickBot="1" x14ac:dyDescent="0.3">
      <c r="A70" s="957" t="s">
        <v>869</v>
      </c>
      <c r="B70" s="958"/>
      <c r="C70" s="958"/>
      <c r="D70" s="958"/>
      <c r="E70" s="959"/>
      <c r="F70" s="352">
        <f>F69</f>
        <v>0</v>
      </c>
      <c r="G70" s="352">
        <v>0</v>
      </c>
      <c r="H70" s="352">
        <f>F70+G70</f>
        <v>0</v>
      </c>
    </row>
    <row r="71" spans="1:8" s="151" customFormat="1" ht="19.5" thickBot="1" x14ac:dyDescent="0.35">
      <c r="A71" s="966" t="s">
        <v>391</v>
      </c>
      <c r="B71" s="967"/>
      <c r="C71" s="967"/>
      <c r="D71" s="967"/>
      <c r="E71" s="968"/>
      <c r="F71" s="356">
        <f>F70+F68+F58+F14+F13</f>
        <v>49910056</v>
      </c>
      <c r="G71" s="356">
        <f>G70+G68+G58+G14+G13</f>
        <v>510326.5</v>
      </c>
      <c r="H71" s="356">
        <f>H70+H68+H58+H14+H13</f>
        <v>50420382.5</v>
      </c>
    </row>
    <row r="75" spans="1:8" x14ac:dyDescent="0.25">
      <c r="F75" s="349"/>
    </row>
  </sheetData>
  <mergeCells count="70">
    <mergeCell ref="A69:E69"/>
    <mergeCell ref="A70:E70"/>
    <mergeCell ref="A71:E71"/>
    <mergeCell ref="A64:E64"/>
    <mergeCell ref="A65:E65"/>
    <mergeCell ref="A66:E66"/>
    <mergeCell ref="A67:E67"/>
    <mergeCell ref="A68:E68"/>
    <mergeCell ref="A59:E59"/>
    <mergeCell ref="A60:E60"/>
    <mergeCell ref="A61:E61"/>
    <mergeCell ref="A62:E62"/>
    <mergeCell ref="A63:E63"/>
    <mergeCell ref="A54:E54"/>
    <mergeCell ref="A55:E55"/>
    <mergeCell ref="A56:E56"/>
    <mergeCell ref="A57:E57"/>
    <mergeCell ref="A58:E58"/>
    <mergeCell ref="F3:H3"/>
    <mergeCell ref="A50:E50"/>
    <mergeCell ref="A51:E51"/>
    <mergeCell ref="A52:E52"/>
    <mergeCell ref="A53:E53"/>
    <mergeCell ref="A45:E45"/>
    <mergeCell ref="A46:E46"/>
    <mergeCell ref="A47:E47"/>
    <mergeCell ref="A48:E48"/>
    <mergeCell ref="A49:E49"/>
    <mergeCell ref="A40:E40"/>
    <mergeCell ref="A41:E41"/>
    <mergeCell ref="A42:E42"/>
    <mergeCell ref="A43:E43"/>
    <mergeCell ref="A44:E44"/>
    <mergeCell ref="A39:E39"/>
    <mergeCell ref="A35:E35"/>
    <mergeCell ref="A36:E36"/>
    <mergeCell ref="A37:E37"/>
    <mergeCell ref="A28:E28"/>
    <mergeCell ref="A29:E29"/>
    <mergeCell ref="A30:E30"/>
    <mergeCell ref="A31:E31"/>
    <mergeCell ref="A32:E32"/>
    <mergeCell ref="A38:E38"/>
    <mergeCell ref="A27:E27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5:E25"/>
    <mergeCell ref="A26:E26"/>
    <mergeCell ref="A24:E24"/>
    <mergeCell ref="A33:E33"/>
    <mergeCell ref="A34:E34"/>
    <mergeCell ref="A1:E1"/>
    <mergeCell ref="A14:E14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O20"/>
  <sheetViews>
    <sheetView workbookViewId="0">
      <selection activeCell="F14" sqref="F14"/>
    </sheetView>
  </sheetViews>
  <sheetFormatPr defaultColWidth="9.140625" defaultRowHeight="12.75" x14ac:dyDescent="0.2"/>
  <cols>
    <col min="1" max="3" width="9.140625" style="498"/>
    <col min="4" max="4" width="19.5703125" style="498" customWidth="1"/>
    <col min="5" max="5" width="14" style="498" bestFit="1" customWidth="1"/>
    <col min="6" max="6" width="9.140625" style="498"/>
    <col min="7" max="7" width="15.5703125" style="498" customWidth="1"/>
    <col min="8" max="9" width="9.140625" style="498"/>
    <col min="10" max="10" width="11.140625" style="498" bestFit="1" customWidth="1"/>
    <col min="11" max="11" width="14" style="498" bestFit="1" customWidth="1"/>
    <col min="12" max="16384" width="9.140625" style="498"/>
  </cols>
  <sheetData>
    <row r="2" spans="1:11" x14ac:dyDescent="0.2">
      <c r="B2" s="989" t="s">
        <v>933</v>
      </c>
      <c r="C2" s="1089"/>
      <c r="D2" s="1089"/>
      <c r="E2" s="1089"/>
    </row>
    <row r="4" spans="1:11" ht="13.5" thickBot="1" x14ac:dyDescent="0.25">
      <c r="E4" s="498" t="s">
        <v>934</v>
      </c>
    </row>
    <row r="5" spans="1:11" ht="13.5" thickBot="1" x14ac:dyDescent="0.25">
      <c r="C5" s="919" t="s">
        <v>926</v>
      </c>
      <c r="D5" s="921"/>
      <c r="H5" s="1090" t="s">
        <v>927</v>
      </c>
      <c r="I5" s="1090"/>
      <c r="J5" s="1091"/>
    </row>
    <row r="6" spans="1:11" ht="15.75" thickBot="1" x14ac:dyDescent="0.3">
      <c r="A6" s="940" t="s">
        <v>604</v>
      </c>
      <c r="B6" s="941"/>
      <c r="C6" s="941"/>
      <c r="D6" s="942"/>
      <c r="E6" s="466" t="s">
        <v>309</v>
      </c>
      <c r="G6" s="940" t="s">
        <v>604</v>
      </c>
      <c r="H6" s="941"/>
      <c r="I6" s="941"/>
      <c r="J6" s="942"/>
      <c r="K6" s="466" t="s">
        <v>309</v>
      </c>
    </row>
    <row r="7" spans="1:11" ht="15.75" thickBot="1" x14ac:dyDescent="0.3">
      <c r="A7" s="940" t="s">
        <v>928</v>
      </c>
      <c r="B7" s="941"/>
      <c r="C7" s="941"/>
      <c r="D7" s="942"/>
      <c r="E7" s="353">
        <v>48315484</v>
      </c>
      <c r="G7" s="940" t="s">
        <v>605</v>
      </c>
      <c r="H7" s="941"/>
      <c r="I7" s="941"/>
      <c r="J7" s="942"/>
      <c r="K7" s="353">
        <v>32884400</v>
      </c>
    </row>
    <row r="8" spans="1:11" ht="15.75" thickBot="1" x14ac:dyDescent="0.3">
      <c r="A8" s="797"/>
      <c r="B8" s="941"/>
      <c r="C8" s="941"/>
      <c r="D8" s="942"/>
      <c r="E8" s="353"/>
      <c r="G8" s="797" t="s">
        <v>661</v>
      </c>
      <c r="H8" s="941"/>
      <c r="I8" s="941"/>
      <c r="J8" s="942"/>
      <c r="K8" s="353">
        <v>5744000</v>
      </c>
    </row>
    <row r="9" spans="1:11" ht="15.75" thickBot="1" x14ac:dyDescent="0.3">
      <c r="A9" s="797" t="s">
        <v>929</v>
      </c>
      <c r="B9" s="941"/>
      <c r="C9" s="941"/>
      <c r="D9" s="942"/>
      <c r="E9" s="353">
        <v>1000000</v>
      </c>
      <c r="G9" s="797" t="s">
        <v>930</v>
      </c>
      <c r="H9" s="941"/>
      <c r="I9" s="941"/>
      <c r="J9" s="942"/>
      <c r="K9" s="353">
        <v>1104589</v>
      </c>
    </row>
    <row r="10" spans="1:11" ht="15.75" thickBot="1" x14ac:dyDescent="0.3">
      <c r="A10" s="797" t="s">
        <v>931</v>
      </c>
      <c r="B10" s="941"/>
      <c r="C10" s="941"/>
      <c r="D10" s="942"/>
      <c r="E10" s="353">
        <f>E12+E11</f>
        <v>106406</v>
      </c>
      <c r="G10" s="940" t="s">
        <v>662</v>
      </c>
      <c r="H10" s="941"/>
      <c r="I10" s="941"/>
      <c r="J10" s="942"/>
      <c r="K10" s="353">
        <f>K12+K11</f>
        <v>269381</v>
      </c>
    </row>
    <row r="11" spans="1:11" ht="15.75" thickBot="1" x14ac:dyDescent="0.3">
      <c r="A11" s="940" t="s">
        <v>606</v>
      </c>
      <c r="B11" s="941"/>
      <c r="C11" s="941"/>
      <c r="D11" s="942"/>
      <c r="E11" s="467">
        <v>57525</v>
      </c>
      <c r="G11" s="940" t="s">
        <v>606</v>
      </c>
      <c r="H11" s="941"/>
      <c r="I11" s="941"/>
      <c r="J11" s="942"/>
      <c r="K11" s="467">
        <v>915</v>
      </c>
    </row>
    <row r="12" spans="1:11" ht="15.75" thickBot="1" x14ac:dyDescent="0.3">
      <c r="A12" s="940" t="s">
        <v>607</v>
      </c>
      <c r="B12" s="941"/>
      <c r="C12" s="941"/>
      <c r="D12" s="942"/>
      <c r="E12" s="467">
        <v>48881</v>
      </c>
      <c r="G12" s="940" t="s">
        <v>607</v>
      </c>
      <c r="H12" s="941"/>
      <c r="I12" s="941"/>
      <c r="J12" s="942"/>
      <c r="K12" s="467">
        <v>268466</v>
      </c>
    </row>
    <row r="13" spans="1:11" ht="19.5" thickBot="1" x14ac:dyDescent="0.35">
      <c r="A13" s="966" t="s">
        <v>608</v>
      </c>
      <c r="B13" s="967"/>
      <c r="C13" s="967"/>
      <c r="D13" s="968"/>
      <c r="E13" s="356">
        <f>E7+E9+E10+E8</f>
        <v>49421890</v>
      </c>
      <c r="G13" s="966" t="s">
        <v>608</v>
      </c>
      <c r="H13" s="967"/>
      <c r="I13" s="967"/>
      <c r="J13" s="968"/>
      <c r="K13" s="356">
        <f>SUM(K7:K10)</f>
        <v>40002370</v>
      </c>
    </row>
    <row r="14" spans="1:11" ht="15" x14ac:dyDescent="0.25">
      <c r="A14"/>
      <c r="B14"/>
      <c r="C14"/>
      <c r="D14"/>
      <c r="E14" s="349"/>
      <c r="G14"/>
      <c r="H14"/>
      <c r="I14"/>
      <c r="J14"/>
      <c r="K14" s="349"/>
    </row>
    <row r="15" spans="1:11" ht="15.75" thickBot="1" x14ac:dyDescent="0.3">
      <c r="A15"/>
      <c r="B15"/>
      <c r="C15"/>
      <c r="D15"/>
      <c r="E15" s="349"/>
      <c r="G15"/>
      <c r="H15"/>
      <c r="I15"/>
      <c r="J15"/>
      <c r="K15" s="349"/>
    </row>
    <row r="16" spans="1:11" ht="16.5" thickBot="1" x14ac:dyDescent="0.3">
      <c r="A16"/>
      <c r="B16"/>
      <c r="C16"/>
      <c r="D16" s="458" t="s">
        <v>609</v>
      </c>
      <c r="E16" s="354">
        <v>50420383</v>
      </c>
      <c r="G16"/>
      <c r="H16"/>
      <c r="I16"/>
      <c r="J16" s="458" t="s">
        <v>932</v>
      </c>
      <c r="K16" s="354">
        <v>47523314</v>
      </c>
    </row>
    <row r="17" spans="1:15" ht="15" x14ac:dyDescent="0.25">
      <c r="A17"/>
      <c r="B17"/>
      <c r="C17"/>
      <c r="D17"/>
      <c r="E17" s="349"/>
      <c r="G17"/>
      <c r="H17"/>
      <c r="I17"/>
      <c r="J17"/>
      <c r="K17" s="349"/>
      <c r="O17" s="611"/>
    </row>
    <row r="18" spans="1:15" ht="15.75" thickBot="1" x14ac:dyDescent="0.3">
      <c r="A18"/>
      <c r="B18"/>
      <c r="C18"/>
      <c r="D18"/>
      <c r="E18" s="349"/>
      <c r="G18"/>
      <c r="H18"/>
      <c r="I18"/>
      <c r="J18"/>
      <c r="K18" s="349"/>
    </row>
    <row r="19" spans="1:15" ht="16.5" thickBot="1" x14ac:dyDescent="0.3">
      <c r="A19"/>
      <c r="B19"/>
      <c r="C19"/>
      <c r="D19" s="458" t="s">
        <v>610</v>
      </c>
      <c r="E19" s="354">
        <f>E13-E16</f>
        <v>-998493</v>
      </c>
      <c r="G19"/>
      <c r="H19"/>
      <c r="I19"/>
      <c r="J19" s="458" t="s">
        <v>610</v>
      </c>
      <c r="K19" s="354">
        <f>K13-K16</f>
        <v>-7520944</v>
      </c>
    </row>
    <row r="20" spans="1:15" ht="15" x14ac:dyDescent="0.25">
      <c r="A20"/>
      <c r="B20"/>
      <c r="C20"/>
      <c r="D20"/>
      <c r="E20" s="349"/>
      <c r="G20"/>
      <c r="H20"/>
      <c r="I20"/>
      <c r="J20"/>
      <c r="K20" s="349"/>
    </row>
  </sheetData>
  <mergeCells count="19">
    <mergeCell ref="A13:D13"/>
    <mergeCell ref="G13:J13"/>
    <mergeCell ref="A11:D11"/>
    <mergeCell ref="G11:J11"/>
    <mergeCell ref="A12:D12"/>
    <mergeCell ref="G8:J8"/>
    <mergeCell ref="A9:D9"/>
    <mergeCell ref="G9:J9"/>
    <mergeCell ref="A10:D10"/>
    <mergeCell ref="G10:J10"/>
    <mergeCell ref="A8:D8"/>
    <mergeCell ref="G12:J12"/>
    <mergeCell ref="B2:E2"/>
    <mergeCell ref="C5:D5"/>
    <mergeCell ref="H5:J5"/>
    <mergeCell ref="G6:J6"/>
    <mergeCell ref="G7:J7"/>
    <mergeCell ref="A6:D6"/>
    <mergeCell ref="A7:D7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6"/>
  <sheetViews>
    <sheetView workbookViewId="0">
      <selection activeCell="E83" sqref="E83:F83"/>
    </sheetView>
  </sheetViews>
  <sheetFormatPr defaultRowHeight="15.75" x14ac:dyDescent="0.25"/>
  <cols>
    <col min="1" max="1" width="6" style="2" customWidth="1"/>
    <col min="2" max="2" width="5.140625" style="1" customWidth="1"/>
    <col min="3" max="3" width="82.5703125" style="1" customWidth="1"/>
    <col min="4" max="4" width="21.28515625" style="2" bestFit="1" customWidth="1"/>
    <col min="5" max="5" width="19.140625" style="2" bestFit="1" customWidth="1"/>
    <col min="6" max="6" width="17.7109375" style="2" bestFit="1" customWidth="1"/>
    <col min="7" max="7" width="14.85546875" style="11" bestFit="1" customWidth="1"/>
  </cols>
  <sheetData>
    <row r="1" spans="1:7" ht="18.75" x14ac:dyDescent="0.3">
      <c r="A1" s="670" t="s">
        <v>754</v>
      </c>
      <c r="B1" s="671"/>
      <c r="C1" s="671"/>
      <c r="D1" s="671"/>
      <c r="E1" s="671"/>
      <c r="F1" s="671"/>
    </row>
    <row r="2" spans="1:7" x14ac:dyDescent="0.25">
      <c r="A2" s="663"/>
      <c r="B2" s="663"/>
      <c r="C2" s="663"/>
      <c r="D2" s="663"/>
      <c r="E2" s="663"/>
      <c r="F2" s="663"/>
    </row>
    <row r="3" spans="1:7" x14ac:dyDescent="0.25">
      <c r="A3" s="672" t="s">
        <v>3</v>
      </c>
      <c r="B3" s="672"/>
      <c r="C3" s="672"/>
      <c r="D3" s="672"/>
      <c r="E3" s="672"/>
      <c r="F3" s="672"/>
    </row>
    <row r="4" spans="1:7" x14ac:dyDescent="0.25">
      <c r="A4" s="663" t="s">
        <v>4</v>
      </c>
      <c r="B4" s="663"/>
      <c r="C4" s="663"/>
      <c r="D4" s="663"/>
      <c r="E4" s="663"/>
      <c r="F4" s="663"/>
    </row>
    <row r="5" spans="1:7" ht="16.5" thickBot="1" x14ac:dyDescent="0.3">
      <c r="A5" s="673" t="s">
        <v>5</v>
      </c>
      <c r="B5" s="673"/>
      <c r="C5" s="673"/>
      <c r="D5" s="673"/>
      <c r="E5" s="673"/>
      <c r="F5" s="673"/>
    </row>
    <row r="6" spans="1:7" ht="12.75" customHeight="1" x14ac:dyDescent="0.25">
      <c r="A6" s="674" t="s">
        <v>6</v>
      </c>
      <c r="B6" s="677" t="s">
        <v>7</v>
      </c>
      <c r="C6" s="677"/>
      <c r="D6" s="680" t="s">
        <v>8</v>
      </c>
      <c r="E6" s="682" t="s">
        <v>9</v>
      </c>
      <c r="F6" s="682" t="s">
        <v>10</v>
      </c>
      <c r="G6" s="684" t="s">
        <v>11</v>
      </c>
    </row>
    <row r="7" spans="1:7" ht="21.75" customHeight="1" x14ac:dyDescent="0.25">
      <c r="A7" s="675"/>
      <c r="B7" s="678"/>
      <c r="C7" s="678"/>
      <c r="D7" s="681"/>
      <c r="E7" s="683"/>
      <c r="F7" s="683"/>
      <c r="G7" s="685"/>
    </row>
    <row r="8" spans="1:7" ht="15.75" customHeight="1" thickBot="1" x14ac:dyDescent="0.3">
      <c r="A8" s="676"/>
      <c r="B8" s="679"/>
      <c r="C8" s="679"/>
      <c r="D8" s="686" t="s">
        <v>755</v>
      </c>
      <c r="E8" s="686"/>
      <c r="F8" s="686"/>
      <c r="G8" s="12"/>
    </row>
    <row r="9" spans="1:7" x14ac:dyDescent="0.25">
      <c r="A9" s="13"/>
      <c r="B9" s="687" t="s">
        <v>12</v>
      </c>
      <c r="C9" s="687"/>
      <c r="D9" s="14"/>
      <c r="E9" s="15"/>
      <c r="F9" s="14"/>
      <c r="G9" s="16"/>
    </row>
    <row r="10" spans="1:7" ht="15.75" customHeight="1" x14ac:dyDescent="0.25">
      <c r="A10" s="9">
        <v>1</v>
      </c>
      <c r="B10" s="669" t="s">
        <v>13</v>
      </c>
      <c r="C10" s="669"/>
      <c r="D10" s="17">
        <v>123581666</v>
      </c>
      <c r="E10" s="17">
        <v>123581666</v>
      </c>
      <c r="F10" s="18">
        <f>'[1]11'!F10+'[1]13'!F10+'[1]15'!F10</f>
        <v>0</v>
      </c>
      <c r="G10" s="19"/>
    </row>
    <row r="11" spans="1:7" ht="15.75" customHeight="1" x14ac:dyDescent="0.25">
      <c r="A11" s="9">
        <v>2</v>
      </c>
      <c r="B11" s="669" t="s">
        <v>14</v>
      </c>
      <c r="C11" s="669"/>
      <c r="D11" s="17">
        <v>22751012</v>
      </c>
      <c r="E11" s="17">
        <v>22751012</v>
      </c>
      <c r="F11" s="18">
        <f>'[1]11'!F11+'[1]13'!F11+'[1]15'!F11</f>
        <v>0</v>
      </c>
      <c r="G11" s="19"/>
    </row>
    <row r="12" spans="1:7" ht="15.75" customHeight="1" x14ac:dyDescent="0.25">
      <c r="A12" s="9">
        <v>3</v>
      </c>
      <c r="B12" s="669" t="s">
        <v>15</v>
      </c>
      <c r="C12" s="669"/>
      <c r="D12" s="17">
        <v>82049134</v>
      </c>
      <c r="E12" s="17">
        <v>82049134</v>
      </c>
      <c r="F12" s="18">
        <f>'[1]11'!F12+'[1]13'!F12+'[1]15'!F12</f>
        <v>0</v>
      </c>
      <c r="G12" s="20"/>
    </row>
    <row r="13" spans="1:7" ht="15.75" customHeight="1" x14ac:dyDescent="0.25">
      <c r="A13" s="9" t="s">
        <v>16</v>
      </c>
      <c r="B13" s="669" t="s">
        <v>17</v>
      </c>
      <c r="C13" s="669"/>
      <c r="D13" s="17">
        <f t="shared" ref="D13:D17" si="0">SUM(E13:G13)</f>
        <v>0</v>
      </c>
      <c r="E13" s="17">
        <f>'[1]11'!E13+'[1]13'!E13+'[1]15'!E13</f>
        <v>0</v>
      </c>
      <c r="F13" s="18">
        <f>'[1]11'!F13+'[1]13'!F13+'[1]15'!F13</f>
        <v>0</v>
      </c>
      <c r="G13" s="21"/>
    </row>
    <row r="14" spans="1:7" x14ac:dyDescent="0.25">
      <c r="A14" s="9" t="s">
        <v>18</v>
      </c>
      <c r="B14" s="688" t="s">
        <v>19</v>
      </c>
      <c r="C14" s="688"/>
      <c r="D14" s="17">
        <f>D15+D16+D17+D18</f>
        <v>32067719</v>
      </c>
      <c r="E14" s="22">
        <f>+E15+E16+E17+E18</f>
        <v>12575495</v>
      </c>
      <c r="F14" s="23">
        <f>+F15+F16+F17+F18+F19</f>
        <v>19492224</v>
      </c>
      <c r="G14" s="24"/>
    </row>
    <row r="15" spans="1:7" x14ac:dyDescent="0.25">
      <c r="A15" s="9" t="s">
        <v>20</v>
      </c>
      <c r="B15" s="689"/>
      <c r="C15" s="689"/>
      <c r="D15" s="17">
        <f t="shared" si="0"/>
        <v>0</v>
      </c>
      <c r="E15" s="17">
        <f>'[1]11'!E15+'[1]13'!E15+'[1]15'!E15</f>
        <v>0</v>
      </c>
      <c r="F15" s="18">
        <f>'[1]11'!F15+'[1]13'!F15+'[1]15'!F15</f>
        <v>0</v>
      </c>
      <c r="G15" s="21"/>
    </row>
    <row r="16" spans="1:7" x14ac:dyDescent="0.25">
      <c r="A16" s="9" t="s">
        <v>21</v>
      </c>
      <c r="B16" s="689" t="s">
        <v>22</v>
      </c>
      <c r="C16" s="689"/>
      <c r="D16" s="17">
        <v>18646719</v>
      </c>
      <c r="E16" s="17">
        <v>8175495</v>
      </c>
      <c r="F16" s="18">
        <v>10471224</v>
      </c>
      <c r="G16" s="21"/>
    </row>
    <row r="17" spans="1:7" x14ac:dyDescent="0.25">
      <c r="A17" s="9"/>
      <c r="B17" s="690"/>
      <c r="C17" s="691"/>
      <c r="D17" s="17">
        <f t="shared" si="0"/>
        <v>0</v>
      </c>
      <c r="E17" s="17">
        <f>'[1]11'!E17+'[1]13'!E17+'[1]15'!E17</f>
        <v>0</v>
      </c>
      <c r="F17" s="18">
        <f>'[1]11'!F17+'[1]13'!F17+'[1]15'!F17</f>
        <v>0</v>
      </c>
      <c r="G17" s="21"/>
    </row>
    <row r="18" spans="1:7" ht="15.75" customHeight="1" x14ac:dyDescent="0.25">
      <c r="A18" s="9" t="s">
        <v>23</v>
      </c>
      <c r="B18" s="692" t="s">
        <v>24</v>
      </c>
      <c r="C18" s="692"/>
      <c r="D18" s="17">
        <v>13421000</v>
      </c>
      <c r="E18" s="17">
        <v>4400000</v>
      </c>
      <c r="F18" s="18">
        <v>9021000</v>
      </c>
      <c r="G18" s="21"/>
    </row>
    <row r="19" spans="1:7" ht="15.75" customHeight="1" x14ac:dyDescent="0.25">
      <c r="A19" s="9" t="s">
        <v>25</v>
      </c>
      <c r="B19" s="669"/>
      <c r="C19" s="669"/>
      <c r="D19" s="23"/>
      <c r="E19" s="23">
        <v>0</v>
      </c>
      <c r="F19" s="18">
        <f>'[1]11'!F19+'[1]13'!F19+'[1]15'!F19</f>
        <v>0</v>
      </c>
      <c r="G19" s="21"/>
    </row>
    <row r="20" spans="1:7" ht="15.75" customHeight="1" x14ac:dyDescent="0.25">
      <c r="A20" s="9"/>
      <c r="B20" s="669" t="s">
        <v>26</v>
      </c>
      <c r="C20" s="669"/>
      <c r="D20" s="23">
        <v>0</v>
      </c>
      <c r="E20" s="17">
        <v>0</v>
      </c>
      <c r="F20" s="18">
        <v>0</v>
      </c>
      <c r="G20" s="21"/>
    </row>
    <row r="21" spans="1:7" ht="15.75" customHeight="1" x14ac:dyDescent="0.25">
      <c r="A21" s="9"/>
      <c r="B21" s="693" t="s">
        <v>27</v>
      </c>
      <c r="C21" s="694"/>
      <c r="D21" s="25">
        <v>402885678</v>
      </c>
      <c r="E21" s="17">
        <v>402885678</v>
      </c>
      <c r="F21" s="18">
        <f>'[1]15'!F22</f>
        <v>0</v>
      </c>
      <c r="G21" s="21"/>
    </row>
    <row r="22" spans="1:7" s="29" customFormat="1" ht="15.75" customHeight="1" x14ac:dyDescent="0.25">
      <c r="A22" s="26" t="s">
        <v>1</v>
      </c>
      <c r="B22" s="695" t="s">
        <v>28</v>
      </c>
      <c r="C22" s="696"/>
      <c r="D22" s="27">
        <f>D10+D11+D12+D14+D19+D21+D20</f>
        <v>663335209</v>
      </c>
      <c r="E22" s="27">
        <f t="shared" ref="E22:F22" si="1">E10+E11+E12+E14+E19+E21+E20</f>
        <v>643842985</v>
      </c>
      <c r="F22" s="27">
        <f t="shared" si="1"/>
        <v>19492224</v>
      </c>
      <c r="G22" s="28"/>
    </row>
    <row r="23" spans="1:7" x14ac:dyDescent="0.25">
      <c r="A23" s="9" t="s">
        <v>29</v>
      </c>
      <c r="B23" s="669" t="s">
        <v>30</v>
      </c>
      <c r="C23" s="669"/>
      <c r="D23" s="17">
        <v>920189</v>
      </c>
      <c r="E23" s="17">
        <v>920189</v>
      </c>
      <c r="F23" s="18">
        <f>'[1]15'!F24</f>
        <v>0</v>
      </c>
      <c r="G23" s="19"/>
    </row>
    <row r="24" spans="1:7" ht="15.75" customHeight="1" x14ac:dyDescent="0.25">
      <c r="A24" s="9" t="s">
        <v>31</v>
      </c>
      <c r="B24" s="669" t="s">
        <v>32</v>
      </c>
      <c r="C24" s="669"/>
      <c r="D24" s="17">
        <v>0</v>
      </c>
      <c r="E24" s="17">
        <v>0</v>
      </c>
      <c r="F24" s="18">
        <f>'[1]11'!F24+'[1]13'!F24+'[1]15'!F25</f>
        <v>0</v>
      </c>
      <c r="G24" s="19"/>
    </row>
    <row r="25" spans="1:7" ht="15.75" customHeight="1" x14ac:dyDescent="0.25">
      <c r="A25" s="9" t="s">
        <v>33</v>
      </c>
      <c r="B25" s="669" t="s">
        <v>34</v>
      </c>
      <c r="C25" s="669"/>
      <c r="D25" s="17">
        <v>0</v>
      </c>
      <c r="E25" s="17"/>
      <c r="F25" s="18">
        <v>0</v>
      </c>
      <c r="G25" s="19"/>
    </row>
    <row r="26" spans="1:7" s="29" customFormat="1" ht="18.75" x14ac:dyDescent="0.25">
      <c r="A26" s="26" t="s">
        <v>35</v>
      </c>
      <c r="B26" s="698" t="s">
        <v>36</v>
      </c>
      <c r="C26" s="698"/>
      <c r="D26" s="30">
        <f>+D23+D24+D25</f>
        <v>920189</v>
      </c>
      <c r="E26" s="30">
        <f>+E23+E24+E25</f>
        <v>920189</v>
      </c>
      <c r="F26" s="30">
        <f>+F23+F24+F25</f>
        <v>0</v>
      </c>
      <c r="G26" s="31"/>
    </row>
    <row r="27" spans="1:7" x14ac:dyDescent="0.25">
      <c r="A27" s="9" t="s">
        <v>37</v>
      </c>
      <c r="B27" s="669"/>
      <c r="C27" s="669"/>
      <c r="D27" s="25">
        <v>0</v>
      </c>
      <c r="E27" s="32">
        <v>0</v>
      </c>
      <c r="F27" s="18"/>
      <c r="G27" s="19"/>
    </row>
    <row r="28" spans="1:7" x14ac:dyDescent="0.25">
      <c r="A28" s="9" t="s">
        <v>38</v>
      </c>
      <c r="B28" s="699" t="s">
        <v>877</v>
      </c>
      <c r="C28" s="699"/>
      <c r="D28" s="33">
        <v>6152289</v>
      </c>
      <c r="E28" s="34">
        <v>6152289</v>
      </c>
      <c r="F28" s="18">
        <v>0</v>
      </c>
      <c r="G28" s="19"/>
    </row>
    <row r="29" spans="1:7" ht="19.5" customHeight="1" x14ac:dyDescent="0.25">
      <c r="A29" s="9" t="s">
        <v>39</v>
      </c>
      <c r="B29" s="699"/>
      <c r="C29" s="699"/>
      <c r="D29" s="33"/>
      <c r="E29" s="35"/>
      <c r="F29" s="18">
        <f>+D29+E29</f>
        <v>0</v>
      </c>
      <c r="G29" s="19"/>
    </row>
    <row r="30" spans="1:7" ht="20.25" x14ac:dyDescent="0.3">
      <c r="A30" s="36" t="s">
        <v>40</v>
      </c>
      <c r="B30" s="700" t="s">
        <v>41</v>
      </c>
      <c r="C30" s="700"/>
      <c r="D30" s="37">
        <f>+D22+D26+D27+D28+D29</f>
        <v>670407687</v>
      </c>
      <c r="E30" s="38">
        <f>+E22+E26+E27+E28+E29</f>
        <v>650915463</v>
      </c>
      <c r="F30" s="38">
        <f>+F22+F26+F27+F28+F29</f>
        <v>19492224</v>
      </c>
      <c r="G30" s="39">
        <f>+G22+G26+G27+G28+G29</f>
        <v>0</v>
      </c>
    </row>
    <row r="31" spans="1:7" x14ac:dyDescent="0.25">
      <c r="A31" s="40"/>
      <c r="B31" s="701"/>
      <c r="C31" s="701"/>
      <c r="D31" s="41"/>
      <c r="E31" s="42"/>
      <c r="F31" s="43"/>
      <c r="G31" s="44"/>
    </row>
    <row r="32" spans="1:7" x14ac:dyDescent="0.25">
      <c r="A32" s="9"/>
      <c r="B32" s="702" t="s">
        <v>42</v>
      </c>
      <c r="C32" s="702"/>
      <c r="D32" s="45"/>
      <c r="E32" s="46"/>
      <c r="F32" s="45"/>
      <c r="G32" s="47"/>
    </row>
    <row r="33" spans="1:7" x14ac:dyDescent="0.25">
      <c r="A33" s="9" t="s">
        <v>43</v>
      </c>
      <c r="B33" s="697" t="s">
        <v>44</v>
      </c>
      <c r="C33" s="697"/>
      <c r="D33" s="48">
        <v>16373216</v>
      </c>
      <c r="E33" s="48">
        <v>16373216</v>
      </c>
      <c r="F33" s="49">
        <f>'[1]11'!F32+'[1]13'!F32+'[1]15'!F34</f>
        <v>0</v>
      </c>
      <c r="G33" s="50"/>
    </row>
    <row r="34" spans="1:7" x14ac:dyDescent="0.25">
      <c r="A34" s="9" t="s">
        <v>45</v>
      </c>
      <c r="B34" s="697" t="s">
        <v>46</v>
      </c>
      <c r="C34" s="697"/>
      <c r="D34" s="48">
        <f>D35+D36+D37</f>
        <v>44385000</v>
      </c>
      <c r="E34" s="48">
        <f>E35+E36+E37</f>
        <v>44385000</v>
      </c>
      <c r="F34" s="49">
        <f>SUM(F35:F37)</f>
        <v>0</v>
      </c>
      <c r="G34" s="50"/>
    </row>
    <row r="35" spans="1:7" x14ac:dyDescent="0.25">
      <c r="A35" s="9"/>
      <c r="B35" s="51" t="s">
        <v>47</v>
      </c>
      <c r="C35" s="52" t="s">
        <v>48</v>
      </c>
      <c r="D35" s="48">
        <v>40500000</v>
      </c>
      <c r="E35" s="48">
        <v>40500000</v>
      </c>
      <c r="F35" s="49">
        <f>'[1]11'!F34+'[1]13'!F34+'[1]15'!F36</f>
        <v>0</v>
      </c>
      <c r="G35" s="50"/>
    </row>
    <row r="36" spans="1:7" x14ac:dyDescent="0.25">
      <c r="A36" s="9"/>
      <c r="B36" s="51" t="s">
        <v>49</v>
      </c>
      <c r="C36" s="52" t="s">
        <v>50</v>
      </c>
      <c r="D36" s="48">
        <v>3300000</v>
      </c>
      <c r="E36" s="48">
        <v>3300000</v>
      </c>
      <c r="F36" s="49">
        <f>'[1]11'!F35+'[1]13'!F35+'[1]15'!F37</f>
        <v>0</v>
      </c>
      <c r="G36" s="50"/>
    </row>
    <row r="37" spans="1:7" x14ac:dyDescent="0.25">
      <c r="A37" s="9"/>
      <c r="B37" s="51" t="s">
        <v>51</v>
      </c>
      <c r="C37" s="52" t="s">
        <v>52</v>
      </c>
      <c r="D37" s="48">
        <v>585000</v>
      </c>
      <c r="E37" s="48">
        <v>585000</v>
      </c>
      <c r="F37" s="49">
        <f>'[1]11'!F36+'[1]13'!F36+'[1]15'!F38</f>
        <v>0</v>
      </c>
      <c r="G37" s="50"/>
    </row>
    <row r="38" spans="1:7" x14ac:dyDescent="0.25">
      <c r="A38" s="9" t="s">
        <v>53</v>
      </c>
      <c r="B38" s="697" t="s">
        <v>54</v>
      </c>
      <c r="C38" s="697"/>
      <c r="D38" s="53">
        <f>D39+D40+D41</f>
        <v>153807216</v>
      </c>
      <c r="E38" s="53">
        <f>E39+E40+E41</f>
        <v>153807216</v>
      </c>
      <c r="F38" s="54">
        <f>SUM(F39:F41)</f>
        <v>0</v>
      </c>
      <c r="G38" s="50"/>
    </row>
    <row r="39" spans="1:7" x14ac:dyDescent="0.25">
      <c r="A39" s="9"/>
      <c r="B39" s="55" t="s">
        <v>55</v>
      </c>
      <c r="C39" s="56" t="s">
        <v>56</v>
      </c>
      <c r="D39" s="53">
        <v>153807216</v>
      </c>
      <c r="E39" s="53">
        <v>153807216</v>
      </c>
      <c r="F39" s="49">
        <f>'[1]11'!F38+'[1]13'!F38+'[1]15'!F40</f>
        <v>0</v>
      </c>
      <c r="G39" s="50"/>
    </row>
    <row r="40" spans="1:7" x14ac:dyDescent="0.25">
      <c r="A40" s="9"/>
      <c r="B40" s="55" t="s">
        <v>57</v>
      </c>
      <c r="C40" s="56" t="s">
        <v>58</v>
      </c>
      <c r="D40" s="53">
        <f t="shared" ref="D40:E40" si="2">SUM(E40:G40)</f>
        <v>0</v>
      </c>
      <c r="E40" s="53">
        <f t="shared" si="2"/>
        <v>0</v>
      </c>
      <c r="F40" s="49">
        <f>'[1]11'!F39+'[1]13'!F39+'[1]15'!F41</f>
        <v>0</v>
      </c>
      <c r="G40" s="50"/>
    </row>
    <row r="41" spans="1:7" x14ac:dyDescent="0.25">
      <c r="A41" s="9"/>
      <c r="B41" s="55" t="s">
        <v>59</v>
      </c>
      <c r="C41" s="56" t="s">
        <v>60</v>
      </c>
      <c r="D41" s="53">
        <v>0</v>
      </c>
      <c r="E41" s="53">
        <v>0</v>
      </c>
      <c r="F41" s="49">
        <f>'[1]11'!F40+'[1]13'!F40+'[1]15'!F42</f>
        <v>0</v>
      </c>
      <c r="G41" s="50"/>
    </row>
    <row r="42" spans="1:7" x14ac:dyDescent="0.25">
      <c r="A42" s="9" t="s">
        <v>16</v>
      </c>
      <c r="B42" s="697" t="s">
        <v>61</v>
      </c>
      <c r="C42" s="697"/>
      <c r="D42" s="53">
        <f>SUM(D43:D46)</f>
        <v>12232078</v>
      </c>
      <c r="E42" s="53">
        <f>SUM(E43:E46)</f>
        <v>12232078</v>
      </c>
      <c r="F42" s="49">
        <f>SUM(F43:F46)</f>
        <v>0</v>
      </c>
      <c r="G42" s="50"/>
    </row>
    <row r="43" spans="1:7" x14ac:dyDescent="0.25">
      <c r="A43" s="9"/>
      <c r="B43" s="55" t="s">
        <v>62</v>
      </c>
      <c r="C43" s="57" t="s">
        <v>63</v>
      </c>
      <c r="D43" s="53">
        <v>11232078</v>
      </c>
      <c r="E43" s="53">
        <v>11232078</v>
      </c>
      <c r="F43" s="49">
        <f>'[1]11'!F42+'[1]13'!F42+'[1]15'!F44</f>
        <v>0</v>
      </c>
      <c r="G43" s="50"/>
    </row>
    <row r="44" spans="1:7" x14ac:dyDescent="0.25">
      <c r="A44" s="9"/>
      <c r="B44" s="55" t="s">
        <v>64</v>
      </c>
      <c r="C44" s="56" t="s">
        <v>65</v>
      </c>
      <c r="D44" s="53"/>
      <c r="E44" s="53"/>
      <c r="F44" s="49">
        <f>'[1]11'!F43+'[1]13'!F43+'[1]15'!F45</f>
        <v>0</v>
      </c>
      <c r="G44" s="50"/>
    </row>
    <row r="45" spans="1:7" x14ac:dyDescent="0.25">
      <c r="A45" s="9"/>
      <c r="B45" s="55" t="s">
        <v>66</v>
      </c>
      <c r="C45" s="56" t="s">
        <v>67</v>
      </c>
      <c r="D45" s="53">
        <v>1000000</v>
      </c>
      <c r="E45" s="53">
        <v>1000000</v>
      </c>
      <c r="F45" s="49">
        <f>'[1]11'!F44+'[1]13'!F44+'[1]15'!F46</f>
        <v>0</v>
      </c>
      <c r="G45" s="50"/>
    </row>
    <row r="46" spans="1:7" x14ac:dyDescent="0.25">
      <c r="A46" s="9"/>
      <c r="B46" s="55" t="s">
        <v>68</v>
      </c>
      <c r="C46" s="56" t="s">
        <v>69</v>
      </c>
      <c r="D46" s="53"/>
      <c r="E46" s="53"/>
      <c r="F46" s="49">
        <f>'[1]11'!F45+'[1]13'!F45+'[1]15'!F47</f>
        <v>0</v>
      </c>
      <c r="G46" s="50"/>
    </row>
    <row r="47" spans="1:7" ht="18.75" x14ac:dyDescent="0.3">
      <c r="A47" s="26" t="s">
        <v>1</v>
      </c>
      <c r="B47" s="704" t="s">
        <v>70</v>
      </c>
      <c r="C47" s="704"/>
      <c r="D47" s="58">
        <f>D42+D38+D33+D34</f>
        <v>226797510</v>
      </c>
      <c r="E47" s="58">
        <f>E42+E38+E33+E34</f>
        <v>226797510</v>
      </c>
      <c r="F47" s="58">
        <f>+F33+F34+F38+F42</f>
        <v>0</v>
      </c>
      <c r="G47" s="59">
        <f>+G33+G34+G38+G42</f>
        <v>0</v>
      </c>
    </row>
    <row r="48" spans="1:7" x14ac:dyDescent="0.25">
      <c r="A48" s="9" t="s">
        <v>18</v>
      </c>
      <c r="B48" s="697" t="s">
        <v>71</v>
      </c>
      <c r="C48" s="697"/>
      <c r="D48" s="49">
        <f>SUM(D49:D50)</f>
        <v>7867898</v>
      </c>
      <c r="E48" s="49">
        <f>SUM(E49:E50)</f>
        <v>7867898</v>
      </c>
      <c r="F48" s="49">
        <f>SUM(F49:F50)</f>
        <v>0</v>
      </c>
      <c r="G48" s="50"/>
    </row>
    <row r="49" spans="1:7" x14ac:dyDescent="0.25">
      <c r="A49" s="9"/>
      <c r="B49" s="55" t="s">
        <v>72</v>
      </c>
      <c r="C49" s="56" t="s">
        <v>73</v>
      </c>
      <c r="D49" s="53">
        <v>3518600</v>
      </c>
      <c r="E49" s="53">
        <v>3518600</v>
      </c>
      <c r="F49" s="49">
        <f>'[1]11'!F48+'[1]13'!F48+'[1]15'!F50</f>
        <v>0</v>
      </c>
      <c r="G49" s="50"/>
    </row>
    <row r="50" spans="1:7" x14ac:dyDescent="0.25">
      <c r="A50" s="9"/>
      <c r="B50" s="55" t="s">
        <v>74</v>
      </c>
      <c r="C50" s="56" t="s">
        <v>75</v>
      </c>
      <c r="D50" s="53">
        <v>4349298</v>
      </c>
      <c r="E50" s="53">
        <v>4349298</v>
      </c>
      <c r="F50" s="49">
        <f>'[1]11'!F49+'[1]13'!F49+'[1]15'!F51</f>
        <v>0</v>
      </c>
      <c r="G50" s="50"/>
    </row>
    <row r="51" spans="1:7" x14ac:dyDescent="0.25">
      <c r="A51" s="9" t="s">
        <v>29</v>
      </c>
      <c r="B51" s="697" t="s">
        <v>76</v>
      </c>
      <c r="C51" s="697"/>
      <c r="D51" s="53">
        <f>SUM(D52:D53)</f>
        <v>0</v>
      </c>
      <c r="E51" s="53">
        <f>SUM(E52:E53)</f>
        <v>0</v>
      </c>
      <c r="F51" s="54">
        <f>SUM(D51:D51)</f>
        <v>0</v>
      </c>
      <c r="G51" s="50"/>
    </row>
    <row r="52" spans="1:7" x14ac:dyDescent="0.25">
      <c r="A52" s="9"/>
      <c r="B52" s="55" t="s">
        <v>77</v>
      </c>
      <c r="C52" s="56" t="s">
        <v>78</v>
      </c>
      <c r="D52" s="53"/>
      <c r="E52" s="53"/>
      <c r="F52" s="49">
        <f>'[1]11'!F51+'[1]13'!F51+'[1]15'!F53</f>
        <v>0</v>
      </c>
      <c r="G52" s="50"/>
    </row>
    <row r="53" spans="1:7" x14ac:dyDescent="0.25">
      <c r="A53" s="9"/>
      <c r="B53" s="55" t="s">
        <v>79</v>
      </c>
      <c r="C53" s="56" t="s">
        <v>80</v>
      </c>
      <c r="D53" s="53">
        <v>0</v>
      </c>
      <c r="E53" s="53">
        <v>0</v>
      </c>
      <c r="F53" s="49">
        <f>'[1]11'!F52+'[1]13'!F52+'[1]15'!F54</f>
        <v>0</v>
      </c>
      <c r="G53" s="50"/>
    </row>
    <row r="54" spans="1:7" x14ac:dyDescent="0.25">
      <c r="A54" s="9" t="s">
        <v>31</v>
      </c>
      <c r="B54" s="697" t="s">
        <v>81</v>
      </c>
      <c r="C54" s="697"/>
      <c r="D54" s="53">
        <f>SUM(D55:D57)</f>
        <v>32488107</v>
      </c>
      <c r="E54" s="53">
        <f>SUM(E55:E57)</f>
        <v>32488107</v>
      </c>
      <c r="F54" s="54">
        <f>SUM(F55:F57)</f>
        <v>0</v>
      </c>
      <c r="G54" s="50"/>
    </row>
    <row r="55" spans="1:7" x14ac:dyDescent="0.25">
      <c r="A55" s="9"/>
      <c r="B55" s="55" t="s">
        <v>82</v>
      </c>
      <c r="C55" s="56" t="s">
        <v>83</v>
      </c>
      <c r="D55" s="53">
        <v>32488107</v>
      </c>
      <c r="E55" s="53">
        <v>32488107</v>
      </c>
      <c r="F55" s="49">
        <f>'[1]11'!F54+'[1]13'!F54+'[1]15'!F56</f>
        <v>0</v>
      </c>
      <c r="G55" s="50"/>
    </row>
    <row r="56" spans="1:7" x14ac:dyDescent="0.25">
      <c r="A56" s="9"/>
      <c r="B56" s="55" t="s">
        <v>84</v>
      </c>
      <c r="C56" s="56" t="s">
        <v>85</v>
      </c>
      <c r="D56" s="53">
        <v>0</v>
      </c>
      <c r="E56" s="53">
        <v>0</v>
      </c>
      <c r="F56" s="49">
        <f>'[1]11'!F55+'[1]13'!F55+'[1]15'!F57</f>
        <v>0</v>
      </c>
      <c r="G56" s="50"/>
    </row>
    <row r="57" spans="1:7" x14ac:dyDescent="0.25">
      <c r="A57" s="9"/>
      <c r="B57" s="55" t="s">
        <v>86</v>
      </c>
      <c r="C57" s="56" t="s">
        <v>87</v>
      </c>
      <c r="D57" s="53"/>
      <c r="E57" s="53"/>
      <c r="F57" s="49">
        <f>'[1]11'!F56+'[1]13'!F56+'[1]15'!F58</f>
        <v>0</v>
      </c>
      <c r="G57" s="50"/>
    </row>
    <row r="58" spans="1:7" ht="18.75" x14ac:dyDescent="0.3">
      <c r="A58" s="26" t="s">
        <v>35</v>
      </c>
      <c r="B58" s="704" t="s">
        <v>88</v>
      </c>
      <c r="C58" s="704"/>
      <c r="D58" s="58">
        <f>D48+D51+D54</f>
        <v>40356005</v>
      </c>
      <c r="E58" s="58">
        <f>E48+E51+E54</f>
        <v>40356005</v>
      </c>
      <c r="F58" s="58">
        <f>+F48+F51+F54</f>
        <v>0</v>
      </c>
      <c r="G58" s="59">
        <f>+G48+G51+G54</f>
        <v>0</v>
      </c>
    </row>
    <row r="59" spans="1:7" x14ac:dyDescent="0.25">
      <c r="A59" s="26" t="s">
        <v>37</v>
      </c>
      <c r="B59" s="705" t="s">
        <v>89</v>
      </c>
      <c r="C59" s="705"/>
      <c r="D59" s="60"/>
      <c r="E59" s="60"/>
      <c r="F59" s="61"/>
      <c r="G59" s="62"/>
    </row>
    <row r="60" spans="1:7" x14ac:dyDescent="0.25">
      <c r="A60" s="26" t="s">
        <v>38</v>
      </c>
      <c r="B60" s="705" t="s">
        <v>90</v>
      </c>
      <c r="C60" s="705"/>
      <c r="D60" s="60"/>
      <c r="E60" s="60"/>
      <c r="F60" s="61"/>
      <c r="G60" s="62"/>
    </row>
    <row r="61" spans="1:7" ht="20.25" x14ac:dyDescent="0.3">
      <c r="A61" s="36" t="s">
        <v>91</v>
      </c>
      <c r="B61" s="706" t="s">
        <v>92</v>
      </c>
      <c r="C61" s="706"/>
      <c r="D61" s="63">
        <f>D47+D58</f>
        <v>267153515</v>
      </c>
      <c r="E61" s="63">
        <f>E47+E58</f>
        <v>267153515</v>
      </c>
      <c r="F61" s="64">
        <f>+F47+F58+F59+F60</f>
        <v>0</v>
      </c>
      <c r="G61" s="65">
        <f>+G47+G58+G59+G60</f>
        <v>0</v>
      </c>
    </row>
    <row r="62" spans="1:7" ht="18.75" x14ac:dyDescent="0.3">
      <c r="A62" s="36"/>
      <c r="B62" s="707" t="s">
        <v>93</v>
      </c>
      <c r="C62" s="707"/>
      <c r="D62" s="66">
        <f>+D30-D61</f>
        <v>403254172</v>
      </c>
      <c r="E62" s="66">
        <f>+E30-E61</f>
        <v>383761948</v>
      </c>
      <c r="F62" s="66">
        <f>F30-F61</f>
        <v>19492224</v>
      </c>
      <c r="G62" s="67">
        <f>+G30-G61</f>
        <v>0</v>
      </c>
    </row>
    <row r="63" spans="1:7" ht="18.75" x14ac:dyDescent="0.3">
      <c r="A63" s="36"/>
      <c r="B63" s="705" t="s">
        <v>94</v>
      </c>
      <c r="C63" s="705"/>
      <c r="D63" s="66"/>
      <c r="E63" s="66"/>
      <c r="F63" s="66">
        <f>+'[1]11'!F62+'[1]13'!F62</f>
        <v>0</v>
      </c>
      <c r="G63" s="67"/>
    </row>
    <row r="64" spans="1:7" x14ac:dyDescent="0.25">
      <c r="A64" s="26" t="s">
        <v>39</v>
      </c>
      <c r="B64" s="705" t="s">
        <v>95</v>
      </c>
      <c r="C64" s="705"/>
      <c r="D64" s="25">
        <f>D65+D66</f>
        <v>403254172</v>
      </c>
      <c r="E64" s="25">
        <f>E65+E66</f>
        <v>403254172</v>
      </c>
      <c r="F64" s="25">
        <f>SUM(F65:F66)</f>
        <v>0</v>
      </c>
      <c r="G64" s="21"/>
    </row>
    <row r="65" spans="1:7" ht="18.75" x14ac:dyDescent="0.25">
      <c r="A65" s="36"/>
      <c r="B65" s="68" t="s">
        <v>43</v>
      </c>
      <c r="C65" s="56" t="s">
        <v>96</v>
      </c>
      <c r="D65" s="25">
        <v>21049429</v>
      </c>
      <c r="E65" s="25">
        <v>21049429</v>
      </c>
      <c r="F65" s="25">
        <f>'[1]11'!F64+'[1]13'!F64+'[1]15'!F66</f>
        <v>0</v>
      </c>
      <c r="G65" s="69"/>
    </row>
    <row r="66" spans="1:7" ht="18.75" x14ac:dyDescent="0.25">
      <c r="A66" s="36"/>
      <c r="B66" s="68" t="s">
        <v>45</v>
      </c>
      <c r="C66" s="56" t="s">
        <v>97</v>
      </c>
      <c r="D66" s="25">
        <v>382204743</v>
      </c>
      <c r="E66" s="25">
        <v>382204743</v>
      </c>
      <c r="F66" s="18"/>
      <c r="G66" s="69"/>
    </row>
    <row r="67" spans="1:7" ht="18.75" customHeight="1" x14ac:dyDescent="0.3">
      <c r="A67" s="36" t="s">
        <v>98</v>
      </c>
      <c r="B67" s="703" t="s">
        <v>99</v>
      </c>
      <c r="C67" s="703"/>
      <c r="D67" s="66">
        <f>D64</f>
        <v>403254172</v>
      </c>
      <c r="E67" s="66">
        <f>E64</f>
        <v>403254172</v>
      </c>
      <c r="F67" s="66">
        <f>+F64</f>
        <v>0</v>
      </c>
      <c r="G67" s="69"/>
    </row>
    <row r="68" spans="1:7" ht="18.75" x14ac:dyDescent="0.3">
      <c r="A68" s="9" t="s">
        <v>100</v>
      </c>
      <c r="B68" s="708" t="s">
        <v>101</v>
      </c>
      <c r="C68" s="711"/>
      <c r="D68" s="66"/>
      <c r="E68" s="66"/>
      <c r="F68" s="72">
        <f>SUM(D68:E68)</f>
        <v>0</v>
      </c>
      <c r="G68" s="73"/>
    </row>
    <row r="69" spans="1:7" ht="18.75" x14ac:dyDescent="0.3">
      <c r="A69" s="9" t="s">
        <v>102</v>
      </c>
      <c r="B69" s="697" t="s">
        <v>103</v>
      </c>
      <c r="C69" s="697"/>
      <c r="D69" s="66">
        <f>SUM(D70:D73)</f>
        <v>0</v>
      </c>
      <c r="E69" s="66">
        <f>SUM(E70:E73)</f>
        <v>0</v>
      </c>
      <c r="F69" s="72">
        <f>SUM(D69:E69)</f>
        <v>0</v>
      </c>
      <c r="G69" s="73"/>
    </row>
    <row r="70" spans="1:7" ht="18.75" x14ac:dyDescent="0.3">
      <c r="A70" s="9"/>
      <c r="B70" s="55" t="s">
        <v>43</v>
      </c>
      <c r="C70" s="56" t="s">
        <v>104</v>
      </c>
      <c r="D70" s="74"/>
      <c r="E70" s="74"/>
      <c r="F70" s="76">
        <f>SUM(D70:E70)</f>
        <v>0</v>
      </c>
      <c r="G70" s="73"/>
    </row>
    <row r="71" spans="1:7" ht="18.75" x14ac:dyDescent="0.3">
      <c r="A71" s="9"/>
      <c r="B71" s="55" t="s">
        <v>45</v>
      </c>
      <c r="C71" s="56" t="s">
        <v>105</v>
      </c>
      <c r="D71" s="66"/>
      <c r="E71" s="66"/>
      <c r="F71" s="72">
        <f>SUM(D71:E71)</f>
        <v>0</v>
      </c>
      <c r="G71" s="73"/>
    </row>
    <row r="72" spans="1:7" ht="18.75" x14ac:dyDescent="0.3">
      <c r="A72" s="9"/>
      <c r="B72" s="55" t="s">
        <v>53</v>
      </c>
      <c r="C72" s="56" t="s">
        <v>106</v>
      </c>
      <c r="D72" s="74"/>
      <c r="E72" s="74"/>
      <c r="F72" s="72"/>
      <c r="G72" s="73"/>
    </row>
    <row r="73" spans="1:7" ht="18.75" x14ac:dyDescent="0.3">
      <c r="A73" s="9"/>
      <c r="B73" s="55" t="s">
        <v>16</v>
      </c>
      <c r="C73" s="56" t="s">
        <v>107</v>
      </c>
      <c r="D73" s="74"/>
      <c r="E73" s="74"/>
      <c r="F73" s="72"/>
      <c r="G73" s="73"/>
    </row>
    <row r="74" spans="1:7" ht="35.25" customHeight="1" x14ac:dyDescent="0.3">
      <c r="A74" s="36" t="s">
        <v>108</v>
      </c>
      <c r="B74" s="712" t="s">
        <v>109</v>
      </c>
      <c r="C74" s="712"/>
      <c r="D74" s="66">
        <f>+D68+D69</f>
        <v>0</v>
      </c>
      <c r="E74" s="66">
        <f>+E68+E69</f>
        <v>0</v>
      </c>
      <c r="F74" s="72">
        <f>SUM(D74:E74)</f>
        <v>0</v>
      </c>
      <c r="G74" s="73"/>
    </row>
    <row r="75" spans="1:7" ht="18.75" x14ac:dyDescent="0.3">
      <c r="A75" s="36" t="s">
        <v>110</v>
      </c>
      <c r="B75" s="707" t="s">
        <v>111</v>
      </c>
      <c r="C75" s="707"/>
      <c r="D75" s="66">
        <f>+D67+D74</f>
        <v>403254172</v>
      </c>
      <c r="E75" s="66">
        <f>+E67+E74</f>
        <v>403254172</v>
      </c>
      <c r="F75" s="71">
        <f>+F67+F74</f>
        <v>0</v>
      </c>
      <c r="G75" s="73"/>
    </row>
    <row r="76" spans="1:7" ht="18.75" x14ac:dyDescent="0.3">
      <c r="A76" s="9" t="s">
        <v>112</v>
      </c>
      <c r="B76" s="697" t="s">
        <v>113</v>
      </c>
      <c r="C76" s="697"/>
      <c r="D76" s="66"/>
      <c r="E76" s="66"/>
      <c r="F76" s="72"/>
      <c r="G76" s="73"/>
    </row>
    <row r="77" spans="1:7" ht="18.75" x14ac:dyDescent="0.3">
      <c r="A77" s="9" t="s">
        <v>114</v>
      </c>
      <c r="B77" s="697" t="s">
        <v>115</v>
      </c>
      <c r="C77" s="697"/>
      <c r="D77" s="74">
        <f>SUM(D78:D80)</f>
        <v>0</v>
      </c>
      <c r="E77" s="74">
        <f>SUM(E78:E80)</f>
        <v>0</v>
      </c>
      <c r="F77" s="76">
        <f>SUM(D77:E77)</f>
        <v>0</v>
      </c>
      <c r="G77" s="73"/>
    </row>
    <row r="78" spans="1:7" ht="18.75" x14ac:dyDescent="0.3">
      <c r="A78" s="9"/>
      <c r="B78" s="55" t="s">
        <v>43</v>
      </c>
      <c r="C78" s="56" t="s">
        <v>116</v>
      </c>
      <c r="D78" s="74"/>
      <c r="E78" s="74"/>
      <c r="F78" s="76">
        <f>SUM(D78:E78)</f>
        <v>0</v>
      </c>
      <c r="G78" s="73"/>
    </row>
    <row r="79" spans="1:7" ht="18.75" x14ac:dyDescent="0.3">
      <c r="A79" s="9"/>
      <c r="B79" s="55" t="s">
        <v>45</v>
      </c>
      <c r="C79" s="56" t="s">
        <v>117</v>
      </c>
      <c r="D79" s="74"/>
      <c r="E79" s="74"/>
      <c r="F79" s="76">
        <f>SUM(D79:E79)</f>
        <v>0</v>
      </c>
      <c r="G79" s="73"/>
    </row>
    <row r="80" spans="1:7" ht="18.75" x14ac:dyDescent="0.3">
      <c r="A80" s="9"/>
      <c r="B80" s="55" t="s">
        <v>53</v>
      </c>
      <c r="C80" s="56" t="s">
        <v>118</v>
      </c>
      <c r="D80" s="74"/>
      <c r="E80" s="74"/>
      <c r="F80" s="76">
        <f>SUM(D80:E80)</f>
        <v>0</v>
      </c>
      <c r="G80" s="73"/>
    </row>
    <row r="81" spans="1:7" ht="18.75" x14ac:dyDescent="0.3">
      <c r="A81" s="9" t="s">
        <v>119</v>
      </c>
      <c r="B81" s="708"/>
      <c r="C81" s="709"/>
      <c r="D81" s="74"/>
      <c r="E81" s="74"/>
      <c r="F81" s="77"/>
      <c r="G81" s="73"/>
    </row>
    <row r="82" spans="1:7" ht="18.75" x14ac:dyDescent="0.3">
      <c r="A82" s="36" t="s">
        <v>120</v>
      </c>
      <c r="B82" s="707" t="s">
        <v>121</v>
      </c>
      <c r="C82" s="707"/>
      <c r="D82" s="66">
        <f>+D76+D77+D81</f>
        <v>0</v>
      </c>
      <c r="E82" s="66">
        <f>+E76+E77+E81</f>
        <v>0</v>
      </c>
      <c r="F82" s="71">
        <f>+F76+F77</f>
        <v>0</v>
      </c>
      <c r="G82" s="73"/>
    </row>
    <row r="83" spans="1:7" ht="18.75" x14ac:dyDescent="0.3">
      <c r="A83" s="78" t="s">
        <v>122</v>
      </c>
      <c r="B83" s="710" t="s">
        <v>123</v>
      </c>
      <c r="C83" s="710"/>
      <c r="D83" s="79">
        <f>+D30+D82</f>
        <v>670407687</v>
      </c>
      <c r="E83" s="79">
        <f>+E30+E82</f>
        <v>650915463</v>
      </c>
      <c r="F83" s="79">
        <f>F30+G30+F82</f>
        <v>19492224</v>
      </c>
      <c r="G83" s="80">
        <f>+G30+G82</f>
        <v>0</v>
      </c>
    </row>
    <row r="84" spans="1:7" ht="19.5" thickBot="1" x14ac:dyDescent="0.35">
      <c r="A84" s="81" t="s">
        <v>124</v>
      </c>
      <c r="B84" s="82" t="s">
        <v>125</v>
      </c>
      <c r="C84" s="82"/>
      <c r="D84" s="83">
        <f>+D61+D75+D63</f>
        <v>670407687</v>
      </c>
      <c r="E84" s="83">
        <f>+E61+E75+E63</f>
        <v>670407687</v>
      </c>
      <c r="F84" s="83">
        <f>+F61+F75+F63</f>
        <v>0</v>
      </c>
      <c r="G84" s="84">
        <f>+G61+G75</f>
        <v>0</v>
      </c>
    </row>
    <row r="85" spans="1:7" x14ac:dyDescent="0.25">
      <c r="B85" s="85"/>
      <c r="C85" s="85"/>
      <c r="D85" s="87">
        <f>D84-D83</f>
        <v>0</v>
      </c>
      <c r="E85" s="86"/>
      <c r="F85" s="86"/>
    </row>
    <row r="86" spans="1:7" hidden="1" x14ac:dyDescent="0.25">
      <c r="B86" s="85"/>
      <c r="C86" s="85"/>
      <c r="D86" s="87">
        <f>+D84-D83</f>
        <v>0</v>
      </c>
      <c r="E86" s="87">
        <f>+E84-E83</f>
        <v>19492224</v>
      </c>
      <c r="F86" s="87">
        <f>+F84-F83</f>
        <v>-19492224</v>
      </c>
      <c r="G86" s="87">
        <f>+G84-G83</f>
        <v>0</v>
      </c>
    </row>
    <row r="87" spans="1:7" x14ac:dyDescent="0.25">
      <c r="B87" s="85"/>
      <c r="C87" s="85"/>
      <c r="D87" s="86"/>
      <c r="E87" s="86"/>
      <c r="F87" s="86"/>
    </row>
    <row r="88" spans="1:7" x14ac:dyDescent="0.25">
      <c r="B88" s="85"/>
      <c r="C88" s="85"/>
      <c r="D88" s="86"/>
      <c r="E88" s="86"/>
      <c r="F88" s="86"/>
    </row>
    <row r="89" spans="1:7" x14ac:dyDescent="0.25">
      <c r="B89" s="85"/>
      <c r="C89" s="85"/>
      <c r="D89" s="86"/>
      <c r="E89" s="86"/>
      <c r="F89" s="86"/>
    </row>
    <row r="90" spans="1:7" x14ac:dyDescent="0.25">
      <c r="B90" s="85"/>
      <c r="C90" s="85"/>
      <c r="D90" s="86"/>
      <c r="E90" s="86"/>
      <c r="F90" s="86"/>
    </row>
    <row r="91" spans="1:7" x14ac:dyDescent="0.25">
      <c r="B91" s="85"/>
      <c r="C91" s="85"/>
      <c r="D91" s="86"/>
      <c r="E91" s="86"/>
      <c r="F91" s="86"/>
    </row>
    <row r="92" spans="1:7" x14ac:dyDescent="0.25">
      <c r="B92" s="85"/>
      <c r="C92" s="85"/>
      <c r="D92" s="86"/>
      <c r="E92" s="86"/>
      <c r="F92" s="86"/>
    </row>
    <row r="93" spans="1:7" x14ac:dyDescent="0.25">
      <c r="B93" s="85"/>
      <c r="C93" s="85"/>
      <c r="D93" s="86"/>
      <c r="E93" s="86"/>
      <c r="F93" s="86"/>
    </row>
    <row r="94" spans="1:7" x14ac:dyDescent="0.25">
      <c r="B94" s="85"/>
      <c r="C94" s="85"/>
      <c r="D94" s="86"/>
      <c r="E94" s="86"/>
      <c r="F94" s="86"/>
    </row>
    <row r="95" spans="1:7" x14ac:dyDescent="0.25">
      <c r="B95" s="85"/>
      <c r="C95" s="85"/>
      <c r="D95" s="86"/>
      <c r="E95" s="86"/>
      <c r="F95" s="86"/>
    </row>
    <row r="96" spans="1:7" x14ac:dyDescent="0.25">
      <c r="B96" s="85"/>
      <c r="C96" s="85"/>
      <c r="D96" s="86"/>
      <c r="E96" s="86"/>
      <c r="F96" s="86"/>
    </row>
    <row r="97" spans="2:6" x14ac:dyDescent="0.25">
      <c r="B97" s="85"/>
      <c r="C97" s="85"/>
      <c r="D97" s="86"/>
      <c r="E97" s="86"/>
      <c r="F97" s="86"/>
    </row>
    <row r="98" spans="2:6" x14ac:dyDescent="0.25">
      <c r="B98" s="85"/>
      <c r="C98" s="85"/>
      <c r="D98" s="86"/>
      <c r="E98" s="86"/>
      <c r="F98" s="86"/>
    </row>
    <row r="99" spans="2:6" x14ac:dyDescent="0.25">
      <c r="B99" s="85"/>
      <c r="C99" s="85"/>
      <c r="D99" s="86"/>
      <c r="E99" s="86"/>
      <c r="F99" s="86"/>
    </row>
    <row r="100" spans="2:6" x14ac:dyDescent="0.25">
      <c r="B100" s="85"/>
      <c r="C100" s="85"/>
      <c r="D100" s="86"/>
      <c r="E100" s="86"/>
      <c r="F100" s="86"/>
    </row>
    <row r="101" spans="2:6" x14ac:dyDescent="0.25">
      <c r="B101" s="85"/>
      <c r="C101" s="85"/>
      <c r="D101" s="86"/>
      <c r="E101" s="86"/>
      <c r="F101" s="86"/>
    </row>
    <row r="102" spans="2:6" x14ac:dyDescent="0.25">
      <c r="B102" s="85"/>
      <c r="C102" s="85"/>
      <c r="D102" s="86"/>
      <c r="E102" s="86"/>
      <c r="F102" s="86"/>
    </row>
    <row r="103" spans="2:6" x14ac:dyDescent="0.25">
      <c r="B103" s="85"/>
      <c r="C103" s="85"/>
      <c r="D103" s="86"/>
      <c r="E103" s="86"/>
      <c r="F103" s="86"/>
    </row>
    <row r="104" spans="2:6" x14ac:dyDescent="0.25">
      <c r="B104" s="85"/>
      <c r="C104" s="85"/>
      <c r="D104" s="86"/>
      <c r="E104" s="86"/>
      <c r="F104" s="86"/>
    </row>
    <row r="105" spans="2:6" x14ac:dyDescent="0.25">
      <c r="B105" s="85"/>
      <c r="C105" s="85"/>
      <c r="D105" s="86"/>
      <c r="E105" s="86"/>
      <c r="F105" s="86"/>
    </row>
    <row r="106" spans="2:6" x14ac:dyDescent="0.25">
      <c r="B106" s="85"/>
      <c r="C106" s="85"/>
      <c r="D106" s="86"/>
      <c r="E106" s="86"/>
      <c r="F106" s="86"/>
    </row>
  </sheetData>
  <mergeCells count="61">
    <mergeCell ref="B81:C81"/>
    <mergeCell ref="B82:C82"/>
    <mergeCell ref="B83:C83"/>
    <mergeCell ref="B68:C68"/>
    <mergeCell ref="B69:C69"/>
    <mergeCell ref="B74:C74"/>
    <mergeCell ref="B75:C75"/>
    <mergeCell ref="B76:C76"/>
    <mergeCell ref="B77:C77"/>
    <mergeCell ref="B67:C67"/>
    <mergeCell ref="B47:C47"/>
    <mergeCell ref="B48:C48"/>
    <mergeCell ref="B51:C51"/>
    <mergeCell ref="B54:C54"/>
    <mergeCell ref="B58:C58"/>
    <mergeCell ref="B59:C59"/>
    <mergeCell ref="B60:C60"/>
    <mergeCell ref="B61:C61"/>
    <mergeCell ref="B62:C62"/>
    <mergeCell ref="B63:C63"/>
    <mergeCell ref="B64:C64"/>
    <mergeCell ref="B42:C42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8:C38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G6:G7"/>
    <mergeCell ref="D8:F8"/>
    <mergeCell ref="B9:C9"/>
    <mergeCell ref="B10:C10"/>
    <mergeCell ref="B11:C11"/>
    <mergeCell ref="B12:C12"/>
    <mergeCell ref="A1:F1"/>
    <mergeCell ref="A2:F2"/>
    <mergeCell ref="A3:F3"/>
    <mergeCell ref="A4:F4"/>
    <mergeCell ref="A5:F5"/>
    <mergeCell ref="A6:A8"/>
    <mergeCell ref="B6:C8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22"/>
  <sheetViews>
    <sheetView topLeftCell="B1" workbookViewId="0">
      <selection activeCell="E22" sqref="E22"/>
    </sheetView>
  </sheetViews>
  <sheetFormatPr defaultRowHeight="15" x14ac:dyDescent="0.25"/>
  <cols>
    <col min="1" max="1" width="39" bestFit="1" customWidth="1"/>
    <col min="2" max="2" width="12" bestFit="1" customWidth="1"/>
    <col min="3" max="13" width="9.85546875" bestFit="1" customWidth="1"/>
    <col min="14" max="14" width="11.85546875" bestFit="1" customWidth="1"/>
    <col min="15" max="15" width="8.42578125" bestFit="1" customWidth="1"/>
  </cols>
  <sheetData>
    <row r="1" spans="1:15" ht="15.75" x14ac:dyDescent="0.25">
      <c r="A1" s="969" t="s">
        <v>844</v>
      </c>
      <c r="B1" s="969"/>
      <c r="C1" s="969"/>
      <c r="D1" s="969"/>
      <c r="E1" s="969"/>
      <c r="F1" s="969"/>
      <c r="G1" s="969"/>
      <c r="H1" s="969"/>
      <c r="I1" s="969"/>
      <c r="J1" s="969"/>
      <c r="K1" s="969"/>
      <c r="L1" s="969"/>
      <c r="M1" s="969"/>
      <c r="N1" s="969"/>
    </row>
    <row r="2" spans="1:15" ht="15.75" x14ac:dyDescent="0.25">
      <c r="A2" s="969" t="s">
        <v>273</v>
      </c>
      <c r="B2" s="969"/>
      <c r="C2" s="969"/>
      <c r="D2" s="969"/>
      <c r="E2" s="969"/>
      <c r="F2" s="969"/>
      <c r="G2" s="969"/>
      <c r="H2" s="969"/>
      <c r="I2" s="969"/>
      <c r="J2" s="969"/>
      <c r="K2" s="969"/>
      <c r="L2" s="969"/>
      <c r="M2" s="969"/>
      <c r="N2" s="969"/>
    </row>
    <row r="3" spans="1:15" ht="15" customHeight="1" x14ac:dyDescent="0.25">
      <c r="A3" s="970" t="s">
        <v>669</v>
      </c>
      <c r="B3" s="970"/>
      <c r="C3" s="970"/>
      <c r="D3" s="970"/>
      <c r="E3" s="970"/>
      <c r="F3" s="970"/>
      <c r="G3" s="970"/>
      <c r="H3" s="970"/>
      <c r="I3" s="970"/>
      <c r="J3" s="970"/>
      <c r="K3" s="970"/>
      <c r="L3" s="970"/>
      <c r="M3" s="970"/>
      <c r="N3" s="970"/>
    </row>
    <row r="4" spans="1:15" ht="15" customHeight="1" x14ac:dyDescent="0.25">
      <c r="A4" s="970"/>
      <c r="B4" s="970"/>
      <c r="C4" s="970"/>
      <c r="D4" s="970"/>
      <c r="E4" s="970"/>
      <c r="F4" s="970"/>
      <c r="G4" s="970"/>
      <c r="H4" s="970"/>
      <c r="I4" s="970"/>
      <c r="J4" s="970"/>
      <c r="K4" s="970"/>
      <c r="L4" s="970"/>
      <c r="M4" s="970"/>
      <c r="N4" s="970"/>
    </row>
    <row r="5" spans="1:15" ht="15.75" x14ac:dyDescent="0.25">
      <c r="A5" s="506"/>
      <c r="B5" s="506"/>
      <c r="C5" s="506"/>
      <c r="D5" s="506"/>
      <c r="E5" s="506"/>
      <c r="F5" s="506"/>
      <c r="G5" s="506"/>
      <c r="H5" s="506"/>
      <c r="I5" s="506"/>
      <c r="J5" s="506"/>
      <c r="K5" s="506"/>
      <c r="L5" s="506"/>
      <c r="M5" s="970" t="s">
        <v>357</v>
      </c>
      <c r="N5" s="970"/>
    </row>
    <row r="6" spans="1:15" ht="15.75" x14ac:dyDescent="0.25">
      <c r="A6" s="359" t="s">
        <v>7</v>
      </c>
      <c r="B6" s="360" t="s">
        <v>358</v>
      </c>
      <c r="C6" s="360" t="s">
        <v>359</v>
      </c>
      <c r="D6" s="360" t="s">
        <v>360</v>
      </c>
      <c r="E6" s="360" t="s">
        <v>361</v>
      </c>
      <c r="F6" s="360" t="s">
        <v>362</v>
      </c>
      <c r="G6" s="360" t="s">
        <v>363</v>
      </c>
      <c r="H6" s="360" t="s">
        <v>364</v>
      </c>
      <c r="I6" s="360" t="s">
        <v>365</v>
      </c>
      <c r="J6" s="360" t="s">
        <v>366</v>
      </c>
      <c r="K6" s="360" t="s">
        <v>367</v>
      </c>
      <c r="L6" s="360" t="s">
        <v>368</v>
      </c>
      <c r="M6" s="360" t="s">
        <v>369</v>
      </c>
      <c r="N6" s="359" t="s">
        <v>370</v>
      </c>
    </row>
    <row r="7" spans="1:15" x14ac:dyDescent="0.25">
      <c r="A7" s="361" t="s">
        <v>13</v>
      </c>
      <c r="B7" s="362">
        <v>3180</v>
      </c>
      <c r="C7" s="362">
        <v>3180</v>
      </c>
      <c r="D7" s="362">
        <v>3181</v>
      </c>
      <c r="E7" s="362">
        <v>3181</v>
      </c>
      <c r="F7" s="362">
        <v>3181</v>
      </c>
      <c r="G7" s="362">
        <v>3181</v>
      </c>
      <c r="H7" s="362">
        <v>3181</v>
      </c>
      <c r="I7" s="362">
        <v>3181</v>
      </c>
      <c r="J7" s="362">
        <v>3181</v>
      </c>
      <c r="K7" s="362">
        <v>3181</v>
      </c>
      <c r="L7" s="362">
        <v>3181</v>
      </c>
      <c r="M7" s="362">
        <v>3181</v>
      </c>
      <c r="N7" s="364">
        <f t="shared" ref="N7:N12" si="0">SUM(B7:M7)</f>
        <v>38170</v>
      </c>
      <c r="O7">
        <v>38170</v>
      </c>
    </row>
    <row r="8" spans="1:15" x14ac:dyDescent="0.25">
      <c r="A8" s="361" t="s">
        <v>371</v>
      </c>
      <c r="B8" s="362">
        <v>578</v>
      </c>
      <c r="C8" s="362">
        <v>578</v>
      </c>
      <c r="D8" s="362">
        <v>578</v>
      </c>
      <c r="E8" s="362">
        <v>578</v>
      </c>
      <c r="F8" s="362">
        <v>578</v>
      </c>
      <c r="G8" s="362">
        <v>578</v>
      </c>
      <c r="H8" s="362">
        <v>579</v>
      </c>
      <c r="I8" s="362">
        <v>579</v>
      </c>
      <c r="J8" s="362">
        <v>579</v>
      </c>
      <c r="K8" s="362">
        <v>579</v>
      </c>
      <c r="L8" s="362">
        <v>579</v>
      </c>
      <c r="M8" s="362">
        <v>579</v>
      </c>
      <c r="N8" s="364">
        <f t="shared" si="0"/>
        <v>6942</v>
      </c>
      <c r="O8">
        <v>6942</v>
      </c>
    </row>
    <row r="9" spans="1:15" x14ac:dyDescent="0.25">
      <c r="A9" s="361" t="s">
        <v>15</v>
      </c>
      <c r="B9" s="362">
        <v>425</v>
      </c>
      <c r="C9" s="362">
        <v>425</v>
      </c>
      <c r="D9" s="362">
        <v>425</v>
      </c>
      <c r="E9" s="362">
        <v>425</v>
      </c>
      <c r="F9" s="362">
        <v>426</v>
      </c>
      <c r="G9" s="362">
        <v>426</v>
      </c>
      <c r="H9" s="362">
        <v>426</v>
      </c>
      <c r="I9" s="362">
        <v>426</v>
      </c>
      <c r="J9" s="362">
        <v>426</v>
      </c>
      <c r="K9" s="362">
        <v>426</v>
      </c>
      <c r="L9" s="362">
        <v>426</v>
      </c>
      <c r="M9" s="362">
        <v>426</v>
      </c>
      <c r="N9" s="364">
        <f t="shared" si="0"/>
        <v>5108</v>
      </c>
      <c r="O9">
        <v>5108</v>
      </c>
    </row>
    <row r="10" spans="1:15" x14ac:dyDescent="0.25">
      <c r="A10" s="361" t="s">
        <v>372</v>
      </c>
      <c r="B10" s="363"/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4">
        <f t="shared" si="0"/>
        <v>0</v>
      </c>
    </row>
    <row r="11" spans="1:15" x14ac:dyDescent="0.25">
      <c r="A11" s="361" t="s">
        <v>373</v>
      </c>
      <c r="B11" s="363"/>
      <c r="C11" s="363"/>
      <c r="D11" s="363"/>
      <c r="E11" s="363"/>
      <c r="F11" s="363"/>
      <c r="G11" s="363"/>
      <c r="H11" s="363"/>
      <c r="I11" s="363"/>
      <c r="J11" s="363"/>
      <c r="K11" s="363"/>
      <c r="L11" s="363"/>
      <c r="M11" s="363"/>
      <c r="N11" s="364">
        <f t="shared" si="0"/>
        <v>0</v>
      </c>
    </row>
    <row r="12" spans="1:15" x14ac:dyDescent="0.25">
      <c r="A12" s="361" t="s">
        <v>374</v>
      </c>
      <c r="B12" s="363"/>
      <c r="C12" s="363">
        <v>22</v>
      </c>
      <c r="D12" s="363">
        <v>14</v>
      </c>
      <c r="E12" s="363"/>
      <c r="F12" s="363"/>
      <c r="G12" s="363">
        <v>164</v>
      </c>
      <c r="H12" s="363"/>
      <c r="I12" s="363"/>
      <c r="J12" s="363"/>
      <c r="K12" s="363"/>
      <c r="L12" s="363"/>
      <c r="M12" s="363"/>
      <c r="N12" s="364">
        <f t="shared" si="0"/>
        <v>200</v>
      </c>
      <c r="O12">
        <v>200</v>
      </c>
    </row>
    <row r="13" spans="1:15" x14ac:dyDescent="0.25">
      <c r="A13" s="361" t="s">
        <v>222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4"/>
    </row>
    <row r="14" spans="1:15" s="29" customFormat="1" ht="12.75" x14ac:dyDescent="0.2">
      <c r="A14" s="365" t="s">
        <v>375</v>
      </c>
      <c r="B14" s="371">
        <f>SUM(B7:B13)</f>
        <v>4183</v>
      </c>
      <c r="C14" s="371">
        <f t="shared" ref="C14:M14" si="1">SUM(C7:C13)</f>
        <v>4205</v>
      </c>
      <c r="D14" s="371">
        <f t="shared" si="1"/>
        <v>4198</v>
      </c>
      <c r="E14" s="371">
        <f t="shared" si="1"/>
        <v>4184</v>
      </c>
      <c r="F14" s="371">
        <f t="shared" si="1"/>
        <v>4185</v>
      </c>
      <c r="G14" s="371">
        <f t="shared" si="1"/>
        <v>4349</v>
      </c>
      <c r="H14" s="371">
        <f t="shared" si="1"/>
        <v>4186</v>
      </c>
      <c r="I14" s="371">
        <f t="shared" si="1"/>
        <v>4186</v>
      </c>
      <c r="J14" s="371">
        <f t="shared" si="1"/>
        <v>4186</v>
      </c>
      <c r="K14" s="371">
        <f t="shared" si="1"/>
        <v>4186</v>
      </c>
      <c r="L14" s="371">
        <f t="shared" si="1"/>
        <v>4186</v>
      </c>
      <c r="M14" s="371">
        <f t="shared" si="1"/>
        <v>4186</v>
      </c>
      <c r="N14" s="364">
        <f>SUM(N7:N13)</f>
        <v>50420</v>
      </c>
      <c r="O14" s="373">
        <f>SUM(O7:O13)</f>
        <v>50420</v>
      </c>
    </row>
    <row r="15" spans="1:15" x14ac:dyDescent="0.25">
      <c r="A15" s="366"/>
      <c r="B15" s="367"/>
      <c r="C15" s="367"/>
      <c r="D15" s="367"/>
      <c r="E15" s="367"/>
      <c r="F15" s="367"/>
      <c r="G15" s="367"/>
      <c r="H15" s="367"/>
      <c r="I15" s="367"/>
      <c r="J15" s="367"/>
      <c r="K15" s="367"/>
      <c r="L15" s="367"/>
      <c r="M15" s="367"/>
      <c r="N15" s="368"/>
    </row>
    <row r="16" spans="1:15" x14ac:dyDescent="0.25">
      <c r="A16" s="361" t="s">
        <v>376</v>
      </c>
      <c r="B16" s="363">
        <f>+O16/12</f>
        <v>0</v>
      </c>
      <c r="C16" s="363"/>
      <c r="D16" s="363"/>
      <c r="E16" s="363"/>
      <c r="F16" s="363"/>
      <c r="G16" s="363"/>
      <c r="H16" s="363"/>
      <c r="I16" s="363"/>
      <c r="J16" s="363"/>
      <c r="K16" s="363"/>
      <c r="L16" s="363"/>
      <c r="M16" s="363"/>
      <c r="N16" s="364">
        <f t="shared" ref="N16:N22" si="2">SUM(B16:M16)</f>
        <v>0</v>
      </c>
    </row>
    <row r="17" spans="1:15" x14ac:dyDescent="0.25">
      <c r="A17" s="361" t="s">
        <v>46</v>
      </c>
      <c r="B17" s="363">
        <f>+O17/12</f>
        <v>0</v>
      </c>
      <c r="C17" s="363"/>
      <c r="D17" s="363"/>
      <c r="E17" s="363"/>
      <c r="F17" s="363"/>
      <c r="G17" s="363"/>
      <c r="H17" s="363"/>
      <c r="I17" s="363"/>
      <c r="J17" s="363"/>
      <c r="K17" s="363"/>
      <c r="L17" s="363"/>
      <c r="M17" s="363"/>
      <c r="N17" s="364">
        <f t="shared" si="2"/>
        <v>0</v>
      </c>
    </row>
    <row r="18" spans="1:15" x14ac:dyDescent="0.25">
      <c r="A18" s="369" t="s">
        <v>377</v>
      </c>
      <c r="B18" s="362">
        <v>4192</v>
      </c>
      <c r="C18" s="362">
        <v>4192</v>
      </c>
      <c r="D18" s="362">
        <v>4193</v>
      </c>
      <c r="E18" s="362">
        <v>4193</v>
      </c>
      <c r="F18" s="362">
        <v>4193</v>
      </c>
      <c r="G18" s="362">
        <v>4193</v>
      </c>
      <c r="H18" s="362">
        <v>4193</v>
      </c>
      <c r="I18" s="362">
        <v>4193</v>
      </c>
      <c r="J18" s="362">
        <v>4193</v>
      </c>
      <c r="K18" s="362">
        <v>4193</v>
      </c>
      <c r="L18" s="362">
        <v>4193</v>
      </c>
      <c r="M18" s="362">
        <v>4193</v>
      </c>
      <c r="N18" s="364">
        <f t="shared" si="2"/>
        <v>50314</v>
      </c>
      <c r="O18">
        <v>50314</v>
      </c>
    </row>
    <row r="19" spans="1:15" x14ac:dyDescent="0.25">
      <c r="A19" s="361" t="s">
        <v>378</v>
      </c>
      <c r="B19" s="363"/>
      <c r="C19" s="363"/>
      <c r="D19" s="363"/>
      <c r="E19" s="363"/>
      <c r="F19" s="363"/>
      <c r="G19" s="363"/>
      <c r="H19" s="363"/>
      <c r="I19" s="363"/>
      <c r="J19" s="363"/>
      <c r="K19" s="363"/>
      <c r="L19" s="363"/>
      <c r="M19" s="363"/>
      <c r="N19" s="364">
        <f t="shared" si="2"/>
        <v>0</v>
      </c>
    </row>
    <row r="20" spans="1:15" x14ac:dyDescent="0.25">
      <c r="A20" s="361" t="s">
        <v>71</v>
      </c>
      <c r="B20" s="363">
        <f>+O20/12</f>
        <v>0</v>
      </c>
      <c r="C20" s="363"/>
      <c r="D20" s="363"/>
      <c r="E20" s="363"/>
      <c r="F20" s="363"/>
      <c r="G20" s="363"/>
      <c r="H20" s="363"/>
      <c r="I20" s="363"/>
      <c r="J20" s="363"/>
      <c r="K20" s="363"/>
      <c r="L20" s="363"/>
      <c r="M20" s="363"/>
      <c r="N20" s="364">
        <f t="shared" si="2"/>
        <v>0</v>
      </c>
    </row>
    <row r="21" spans="1:15" x14ac:dyDescent="0.25">
      <c r="A21" s="361" t="s">
        <v>95</v>
      </c>
      <c r="B21" s="363"/>
      <c r="C21" s="363">
        <v>22</v>
      </c>
      <c r="D21" s="363">
        <v>14</v>
      </c>
      <c r="E21" s="363">
        <v>70</v>
      </c>
      <c r="F21" s="363"/>
      <c r="G21" s="363"/>
      <c r="H21" s="363"/>
      <c r="I21" s="363"/>
      <c r="J21" s="363"/>
      <c r="K21" s="363"/>
      <c r="L21" s="363"/>
      <c r="M21" s="363"/>
      <c r="N21" s="374">
        <f t="shared" si="2"/>
        <v>106</v>
      </c>
      <c r="O21">
        <v>106</v>
      </c>
    </row>
    <row r="22" spans="1:15" s="29" customFormat="1" ht="14.25" x14ac:dyDescent="0.2">
      <c r="A22" s="370" t="s">
        <v>379</v>
      </c>
      <c r="B22" s="371">
        <f>+B16+B17+B18+B19+B20+B21</f>
        <v>4192</v>
      </c>
      <c r="C22" s="371">
        <f>+C16+C17+C18+C19+C20+C21</f>
        <v>4214</v>
      </c>
      <c r="D22" s="371">
        <f t="shared" ref="D22:L22" si="3">+D16+D17+D18+D19+D20+D21</f>
        <v>4207</v>
      </c>
      <c r="E22" s="371">
        <f t="shared" si="3"/>
        <v>4263</v>
      </c>
      <c r="F22" s="371">
        <f t="shared" si="3"/>
        <v>4193</v>
      </c>
      <c r="G22" s="371">
        <f t="shared" si="3"/>
        <v>4193</v>
      </c>
      <c r="H22" s="371">
        <f t="shared" si="3"/>
        <v>4193</v>
      </c>
      <c r="I22" s="371">
        <f t="shared" si="3"/>
        <v>4193</v>
      </c>
      <c r="J22" s="371">
        <f t="shared" si="3"/>
        <v>4193</v>
      </c>
      <c r="K22" s="371">
        <f t="shared" si="3"/>
        <v>4193</v>
      </c>
      <c r="L22" s="371">
        <f t="shared" si="3"/>
        <v>4193</v>
      </c>
      <c r="M22" s="371">
        <f>SUM(M16:M20)+M21</f>
        <v>4193</v>
      </c>
      <c r="N22" s="364">
        <f t="shared" si="2"/>
        <v>50420</v>
      </c>
      <c r="O22" s="29">
        <f>O16+O17+O18+O19+O20+O21</f>
        <v>50420</v>
      </c>
    </row>
  </sheetData>
  <mergeCells count="4">
    <mergeCell ref="A1:N1"/>
    <mergeCell ref="A2:N2"/>
    <mergeCell ref="A3:N4"/>
    <mergeCell ref="M5:N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86"/>
  <sheetViews>
    <sheetView workbookViewId="0">
      <selection activeCell="G11" sqref="G11"/>
    </sheetView>
  </sheetViews>
  <sheetFormatPr defaultRowHeight="15" x14ac:dyDescent="0.25"/>
  <cols>
    <col min="3" max="3" width="54.85546875" bestFit="1" customWidth="1"/>
    <col min="4" max="4" width="24.5703125" customWidth="1"/>
  </cols>
  <sheetData>
    <row r="1" spans="1:4" ht="18.75" customHeight="1" x14ac:dyDescent="0.25">
      <c r="A1" s="670" t="s">
        <v>880</v>
      </c>
      <c r="B1" s="670"/>
      <c r="C1" s="670"/>
    </row>
    <row r="2" spans="1:4" ht="15.75" customHeight="1" x14ac:dyDescent="0.25">
      <c r="A2" s="670"/>
      <c r="B2" s="670"/>
      <c r="C2" s="670"/>
    </row>
    <row r="3" spans="1:4" ht="15.75" x14ac:dyDescent="0.25">
      <c r="A3" s="672" t="s">
        <v>3</v>
      </c>
      <c r="B3" s="672"/>
      <c r="C3" s="672"/>
    </row>
    <row r="4" spans="1:4" ht="15.75" x14ac:dyDescent="0.25">
      <c r="A4" s="663" t="s">
        <v>716</v>
      </c>
      <c r="B4" s="663"/>
      <c r="C4" s="663"/>
    </row>
    <row r="5" spans="1:4" ht="15.75" thickBot="1" x14ac:dyDescent="0.3"/>
    <row r="6" spans="1:4" ht="15.75" customHeight="1" x14ac:dyDescent="0.25">
      <c r="A6" s="674" t="s">
        <v>6</v>
      </c>
      <c r="B6" s="677" t="s">
        <v>7</v>
      </c>
      <c r="C6" s="677"/>
      <c r="D6" s="990" t="s">
        <v>879</v>
      </c>
    </row>
    <row r="7" spans="1:4" x14ac:dyDescent="0.25">
      <c r="A7" s="675"/>
      <c r="B7" s="678"/>
      <c r="C7" s="678"/>
      <c r="D7" s="991"/>
    </row>
    <row r="8" spans="1:4" ht="15.75" thickBot="1" x14ac:dyDescent="0.3">
      <c r="A8" s="868"/>
      <c r="B8" s="869"/>
      <c r="C8" s="869"/>
      <c r="D8" s="572" t="s">
        <v>881</v>
      </c>
    </row>
    <row r="9" spans="1:4" ht="15.75" x14ac:dyDescent="0.25">
      <c r="A9" s="567"/>
      <c r="B9" s="677" t="s">
        <v>12</v>
      </c>
      <c r="C9" s="677"/>
      <c r="D9" s="330"/>
    </row>
    <row r="10" spans="1:4" ht="15.75" x14ac:dyDescent="0.25">
      <c r="A10" s="9">
        <v>1</v>
      </c>
      <c r="B10" s="669" t="s">
        <v>13</v>
      </c>
      <c r="C10" s="669"/>
      <c r="D10" s="23">
        <v>47480459</v>
      </c>
    </row>
    <row r="11" spans="1:4" ht="15.75" x14ac:dyDescent="0.25">
      <c r="A11" s="9">
        <v>2</v>
      </c>
      <c r="B11" s="669" t="s">
        <v>14</v>
      </c>
      <c r="C11" s="669"/>
      <c r="D11" s="23">
        <v>8364533</v>
      </c>
    </row>
    <row r="12" spans="1:4" ht="15.75" x14ac:dyDescent="0.25">
      <c r="A12" s="9">
        <v>3</v>
      </c>
      <c r="B12" s="669" t="s">
        <v>15</v>
      </c>
      <c r="C12" s="669"/>
      <c r="D12" s="23">
        <v>61223460</v>
      </c>
    </row>
    <row r="13" spans="1:4" ht="15.75" x14ac:dyDescent="0.25">
      <c r="A13" s="9" t="s">
        <v>16</v>
      </c>
      <c r="B13" s="669" t="s">
        <v>17</v>
      </c>
      <c r="C13" s="669"/>
      <c r="D13" s="23"/>
    </row>
    <row r="14" spans="1:4" ht="15.75" x14ac:dyDescent="0.25">
      <c r="A14" s="9" t="s">
        <v>18</v>
      </c>
      <c r="B14" s="688" t="s">
        <v>19</v>
      </c>
      <c r="C14" s="688"/>
      <c r="D14" s="23">
        <f>D15+D17+D18+D19</f>
        <v>32067719</v>
      </c>
    </row>
    <row r="15" spans="1:4" ht="15.75" x14ac:dyDescent="0.25">
      <c r="A15" s="9" t="s">
        <v>20</v>
      </c>
      <c r="B15" s="689" t="s">
        <v>130</v>
      </c>
      <c r="C15" s="689"/>
      <c r="D15" s="23"/>
    </row>
    <row r="16" spans="1:4" ht="15.75" x14ac:dyDescent="0.25">
      <c r="A16" s="9"/>
      <c r="B16" s="566"/>
      <c r="C16" s="566" t="s">
        <v>875</v>
      </c>
      <c r="D16" s="23"/>
    </row>
    <row r="17" spans="1:4" ht="15.75" x14ac:dyDescent="0.25">
      <c r="A17" s="9" t="s">
        <v>21</v>
      </c>
      <c r="B17" s="689" t="s">
        <v>22</v>
      </c>
      <c r="C17" s="689"/>
      <c r="D17" s="23">
        <v>18646719</v>
      </c>
    </row>
    <row r="18" spans="1:4" ht="15.75" x14ac:dyDescent="0.25">
      <c r="A18" s="9"/>
      <c r="B18" s="690"/>
      <c r="C18" s="691"/>
      <c r="D18" s="23"/>
    </row>
    <row r="19" spans="1:4" ht="15.75" x14ac:dyDescent="0.25">
      <c r="A19" s="9" t="s">
        <v>23</v>
      </c>
      <c r="B19" s="692" t="s">
        <v>24</v>
      </c>
      <c r="C19" s="692"/>
      <c r="D19" s="23">
        <v>13421000</v>
      </c>
    </row>
    <row r="20" spans="1:4" ht="15.75" x14ac:dyDescent="0.25">
      <c r="A20" s="9"/>
      <c r="B20" s="692" t="s">
        <v>132</v>
      </c>
      <c r="C20" s="872"/>
      <c r="D20" s="550"/>
    </row>
    <row r="21" spans="1:4" ht="15.75" x14ac:dyDescent="0.25">
      <c r="A21" s="9" t="s">
        <v>876</v>
      </c>
      <c r="B21" s="669" t="s">
        <v>500</v>
      </c>
      <c r="C21" s="669"/>
      <c r="D21" s="23">
        <v>0</v>
      </c>
    </row>
    <row r="22" spans="1:4" ht="15.75" x14ac:dyDescent="0.25">
      <c r="A22" s="9"/>
      <c r="B22" s="669" t="s">
        <v>501</v>
      </c>
      <c r="C22" s="669"/>
      <c r="D22" s="25">
        <v>405607614</v>
      </c>
    </row>
    <row r="23" spans="1:4" ht="15.75" x14ac:dyDescent="0.25">
      <c r="A23" s="9" t="s">
        <v>1</v>
      </c>
      <c r="B23" s="565" t="s">
        <v>28</v>
      </c>
      <c r="C23" s="335"/>
      <c r="D23" s="23">
        <f>D10+D11+D12+D14+D20</f>
        <v>149136171</v>
      </c>
    </row>
    <row r="24" spans="1:4" ht="15.75" x14ac:dyDescent="0.25">
      <c r="A24" s="9" t="s">
        <v>29</v>
      </c>
      <c r="B24" s="669" t="s">
        <v>30</v>
      </c>
      <c r="C24" s="669"/>
      <c r="D24" s="32">
        <v>0</v>
      </c>
    </row>
    <row r="25" spans="1:4" ht="15.75" x14ac:dyDescent="0.25">
      <c r="A25" s="9" t="s">
        <v>31</v>
      </c>
      <c r="B25" s="669" t="s">
        <v>32</v>
      </c>
      <c r="C25" s="669"/>
      <c r="D25" s="32">
        <v>0</v>
      </c>
    </row>
    <row r="26" spans="1:4" ht="15.75" x14ac:dyDescent="0.25">
      <c r="A26" s="9" t="s">
        <v>33</v>
      </c>
      <c r="B26" s="669" t="s">
        <v>34</v>
      </c>
      <c r="C26" s="669"/>
      <c r="D26" s="32"/>
    </row>
    <row r="27" spans="1:4" ht="15.75" x14ac:dyDescent="0.25">
      <c r="A27" s="9" t="s">
        <v>35</v>
      </c>
      <c r="B27" s="669" t="s">
        <v>36</v>
      </c>
      <c r="C27" s="669"/>
      <c r="D27" s="32">
        <f t="shared" ref="D27" si="0">SUM(D24:D26)</f>
        <v>0</v>
      </c>
    </row>
    <row r="28" spans="1:4" ht="15.75" x14ac:dyDescent="0.25">
      <c r="A28" s="9" t="s">
        <v>37</v>
      </c>
      <c r="B28" s="669"/>
      <c r="C28" s="669"/>
      <c r="D28" s="32"/>
    </row>
    <row r="29" spans="1:4" ht="15.75" x14ac:dyDescent="0.25">
      <c r="A29" s="9" t="s">
        <v>38</v>
      </c>
      <c r="B29" s="699" t="s">
        <v>877</v>
      </c>
      <c r="C29" s="699"/>
      <c r="D29" s="34">
        <v>6152289</v>
      </c>
    </row>
    <row r="30" spans="1:4" ht="15.75" x14ac:dyDescent="0.25">
      <c r="A30" s="9" t="s">
        <v>39</v>
      </c>
      <c r="B30" s="699"/>
      <c r="C30" s="699"/>
      <c r="D30" s="35"/>
    </row>
    <row r="31" spans="1:4" ht="19.5" x14ac:dyDescent="0.3">
      <c r="A31" s="36" t="s">
        <v>40</v>
      </c>
      <c r="B31" s="703" t="s">
        <v>302</v>
      </c>
      <c r="C31" s="703"/>
      <c r="D31" s="66">
        <f>+D23+D27+D28+D29+D30+D22</f>
        <v>560896074</v>
      </c>
    </row>
    <row r="32" spans="1:4" ht="15.75" x14ac:dyDescent="0.25">
      <c r="A32" s="40"/>
      <c r="B32" s="753"/>
      <c r="C32" s="753"/>
      <c r="D32" s="375"/>
    </row>
    <row r="33" spans="1:4" ht="15.75" x14ac:dyDescent="0.25">
      <c r="A33" s="9"/>
      <c r="B33" s="722" t="s">
        <v>42</v>
      </c>
      <c r="C33" s="722"/>
      <c r="D33" s="25"/>
    </row>
    <row r="34" spans="1:4" ht="15.75" x14ac:dyDescent="0.25">
      <c r="A34" s="9" t="s">
        <v>43</v>
      </c>
      <c r="B34" s="697" t="s">
        <v>44</v>
      </c>
      <c r="C34" s="697"/>
      <c r="D34" s="48">
        <v>15019774</v>
      </c>
    </row>
    <row r="35" spans="1:4" ht="15.75" x14ac:dyDescent="0.25">
      <c r="A35" s="9" t="s">
        <v>45</v>
      </c>
      <c r="B35" s="697" t="s">
        <v>46</v>
      </c>
      <c r="C35" s="697"/>
      <c r="D35" s="48">
        <f t="shared" ref="D35" si="1">SUM(D36:D38)</f>
        <v>44385000</v>
      </c>
    </row>
    <row r="36" spans="1:4" ht="15.75" x14ac:dyDescent="0.25">
      <c r="A36" s="9"/>
      <c r="B36" s="51" t="s">
        <v>47</v>
      </c>
      <c r="C36" s="52" t="s">
        <v>48</v>
      </c>
      <c r="D36" s="48">
        <v>40500000</v>
      </c>
    </row>
    <row r="37" spans="1:4" ht="15.75" x14ac:dyDescent="0.25">
      <c r="A37" s="9"/>
      <c r="B37" s="51" t="s">
        <v>49</v>
      </c>
      <c r="C37" s="52" t="s">
        <v>50</v>
      </c>
      <c r="D37" s="48">
        <v>3300000</v>
      </c>
    </row>
    <row r="38" spans="1:4" ht="15.75" x14ac:dyDescent="0.25">
      <c r="A38" s="9"/>
      <c r="B38" s="51" t="s">
        <v>51</v>
      </c>
      <c r="C38" s="52" t="s">
        <v>52</v>
      </c>
      <c r="D38" s="48">
        <v>585000</v>
      </c>
    </row>
    <row r="39" spans="1:4" ht="15.75" x14ac:dyDescent="0.25">
      <c r="A39" s="9" t="s">
        <v>53</v>
      </c>
      <c r="B39" s="697" t="s">
        <v>54</v>
      </c>
      <c r="C39" s="697"/>
      <c r="D39" s="53">
        <f t="shared" ref="D39" si="2">SUM(D40:D42)</f>
        <v>153807216</v>
      </c>
    </row>
    <row r="40" spans="1:4" ht="15.75" x14ac:dyDescent="0.25">
      <c r="A40" s="9"/>
      <c r="B40" s="55" t="s">
        <v>55</v>
      </c>
      <c r="C40" s="564" t="s">
        <v>56</v>
      </c>
      <c r="D40" s="53">
        <v>153807216</v>
      </c>
    </row>
    <row r="41" spans="1:4" ht="15.75" x14ac:dyDescent="0.25">
      <c r="A41" s="9"/>
      <c r="B41" s="55" t="s">
        <v>57</v>
      </c>
      <c r="C41" s="564" t="s">
        <v>58</v>
      </c>
      <c r="D41" s="53">
        <v>0</v>
      </c>
    </row>
    <row r="42" spans="1:4" ht="15.75" x14ac:dyDescent="0.25">
      <c r="A42" s="9"/>
      <c r="B42" s="55" t="s">
        <v>59</v>
      </c>
      <c r="C42" s="564" t="s">
        <v>60</v>
      </c>
      <c r="D42" s="53">
        <v>0</v>
      </c>
    </row>
    <row r="43" spans="1:4" ht="15.75" x14ac:dyDescent="0.25">
      <c r="A43" s="9" t="s">
        <v>16</v>
      </c>
      <c r="B43" s="697" t="s">
        <v>61</v>
      </c>
      <c r="C43" s="697"/>
      <c r="D43" s="49">
        <f t="shared" ref="D43" si="3">D45+D44+D46</f>
        <v>11232078</v>
      </c>
    </row>
    <row r="44" spans="1:4" ht="15.75" x14ac:dyDescent="0.25">
      <c r="A44" s="9"/>
      <c r="B44" s="55" t="s">
        <v>62</v>
      </c>
      <c r="C44" s="564" t="s">
        <v>63</v>
      </c>
      <c r="D44" s="53">
        <v>10232078</v>
      </c>
    </row>
    <row r="45" spans="1:4" ht="15.75" x14ac:dyDescent="0.25">
      <c r="A45" s="9"/>
      <c r="B45" s="55" t="s">
        <v>64</v>
      </c>
      <c r="C45" s="564" t="s">
        <v>65</v>
      </c>
      <c r="D45" s="53"/>
    </row>
    <row r="46" spans="1:4" ht="15.75" x14ac:dyDescent="0.25">
      <c r="A46" s="9"/>
      <c r="B46" s="55" t="s">
        <v>66</v>
      </c>
      <c r="C46" s="564" t="s">
        <v>67</v>
      </c>
      <c r="D46" s="53">
        <v>1000000</v>
      </c>
    </row>
    <row r="47" spans="1:4" ht="15.75" x14ac:dyDescent="0.25">
      <c r="A47" s="9"/>
      <c r="B47" s="55" t="s">
        <v>68</v>
      </c>
      <c r="C47" s="564" t="s">
        <v>69</v>
      </c>
      <c r="D47" s="53"/>
    </row>
    <row r="48" spans="1:4" ht="15.75" x14ac:dyDescent="0.25">
      <c r="A48" s="26" t="s">
        <v>1</v>
      </c>
      <c r="B48" s="705" t="s">
        <v>70</v>
      </c>
      <c r="C48" s="705"/>
      <c r="D48" s="60">
        <f>D34+D35+D39+D43</f>
        <v>224444068</v>
      </c>
    </row>
    <row r="49" spans="1:4" ht="15.75" x14ac:dyDescent="0.25">
      <c r="A49" s="9" t="s">
        <v>18</v>
      </c>
      <c r="B49" s="697" t="s">
        <v>71</v>
      </c>
      <c r="C49" s="697"/>
      <c r="D49" s="49">
        <f t="shared" ref="D49" si="4">D50+D51</f>
        <v>7867898</v>
      </c>
    </row>
    <row r="50" spans="1:4" ht="15.75" x14ac:dyDescent="0.25">
      <c r="A50" s="9"/>
      <c r="B50" s="55" t="s">
        <v>72</v>
      </c>
      <c r="C50" s="564" t="s">
        <v>73</v>
      </c>
      <c r="D50" s="53">
        <v>3518600</v>
      </c>
    </row>
    <row r="51" spans="1:4" ht="15.75" x14ac:dyDescent="0.25">
      <c r="A51" s="9"/>
      <c r="B51" s="55" t="s">
        <v>74</v>
      </c>
      <c r="C51" s="564" t="s">
        <v>75</v>
      </c>
      <c r="D51" s="53">
        <v>4349298</v>
      </c>
    </row>
    <row r="52" spans="1:4" ht="15.75" x14ac:dyDescent="0.25">
      <c r="A52" s="9" t="s">
        <v>29</v>
      </c>
      <c r="B52" s="697" t="s">
        <v>76</v>
      </c>
      <c r="C52" s="697"/>
      <c r="D52" s="53">
        <f t="shared" ref="D52" si="5">SUM(D53:D54)</f>
        <v>0</v>
      </c>
    </row>
    <row r="53" spans="1:4" ht="15.75" x14ac:dyDescent="0.25">
      <c r="A53" s="9"/>
      <c r="B53" s="55" t="s">
        <v>77</v>
      </c>
      <c r="C53" s="564" t="s">
        <v>78</v>
      </c>
      <c r="D53" s="53"/>
    </row>
    <row r="54" spans="1:4" ht="15.75" x14ac:dyDescent="0.25">
      <c r="A54" s="9"/>
      <c r="B54" s="55" t="s">
        <v>79</v>
      </c>
      <c r="C54" s="564" t="s">
        <v>80</v>
      </c>
      <c r="D54" s="53">
        <v>0</v>
      </c>
    </row>
    <row r="55" spans="1:4" ht="15.75" x14ac:dyDescent="0.25">
      <c r="A55" s="9" t="s">
        <v>31</v>
      </c>
      <c r="B55" s="697" t="s">
        <v>81</v>
      </c>
      <c r="C55" s="697"/>
      <c r="D55" s="53">
        <f t="shared" ref="D55" si="6">SUM(D56:D58)</f>
        <v>32488107</v>
      </c>
    </row>
    <row r="56" spans="1:4" ht="15.75" x14ac:dyDescent="0.25">
      <c r="A56" s="9"/>
      <c r="B56" s="55" t="s">
        <v>82</v>
      </c>
      <c r="C56" s="564" t="s">
        <v>83</v>
      </c>
      <c r="D56" s="53">
        <v>32488107</v>
      </c>
    </row>
    <row r="57" spans="1:4" ht="15.75" x14ac:dyDescent="0.25">
      <c r="A57" s="9"/>
      <c r="B57" s="55" t="s">
        <v>84</v>
      </c>
      <c r="C57" s="564" t="s">
        <v>85</v>
      </c>
      <c r="D57" s="53">
        <v>0</v>
      </c>
    </row>
    <row r="58" spans="1:4" ht="15.75" x14ac:dyDescent="0.25">
      <c r="A58" s="9"/>
      <c r="B58" s="55" t="s">
        <v>86</v>
      </c>
      <c r="C58" s="564" t="s">
        <v>87</v>
      </c>
      <c r="D58" s="53"/>
    </row>
    <row r="59" spans="1:4" ht="15.75" x14ac:dyDescent="0.25">
      <c r="A59" s="26" t="s">
        <v>35</v>
      </c>
      <c r="B59" s="705" t="s">
        <v>88</v>
      </c>
      <c r="C59" s="705"/>
      <c r="D59" s="53">
        <f t="shared" ref="D59" si="7">+D49+D52+D55</f>
        <v>40356005</v>
      </c>
    </row>
    <row r="60" spans="1:4" ht="15.75" x14ac:dyDescent="0.25">
      <c r="A60" s="26" t="s">
        <v>37</v>
      </c>
      <c r="B60" s="705" t="s">
        <v>89</v>
      </c>
      <c r="C60" s="705"/>
      <c r="D60" s="60"/>
    </row>
    <row r="61" spans="1:4" ht="15.75" x14ac:dyDescent="0.25">
      <c r="A61" s="26" t="s">
        <v>38</v>
      </c>
      <c r="B61" s="705" t="s">
        <v>90</v>
      </c>
      <c r="C61" s="705"/>
      <c r="D61" s="60"/>
    </row>
    <row r="62" spans="1:4" ht="18.75" x14ac:dyDescent="0.3">
      <c r="A62" s="36" t="s">
        <v>91</v>
      </c>
      <c r="B62" s="707" t="s">
        <v>92</v>
      </c>
      <c r="C62" s="707"/>
      <c r="D62" s="377">
        <f>D48+D59</f>
        <v>264800073</v>
      </c>
    </row>
    <row r="63" spans="1:4" ht="18.75" x14ac:dyDescent="0.3">
      <c r="A63" s="36"/>
      <c r="B63" s="707" t="s">
        <v>93</v>
      </c>
      <c r="C63" s="707"/>
      <c r="D63" s="66">
        <f t="shared" ref="D63" si="8">+D31-D62</f>
        <v>296096001</v>
      </c>
    </row>
    <row r="64" spans="1:4" ht="18.75" x14ac:dyDescent="0.3">
      <c r="A64" s="36"/>
      <c r="B64" s="697" t="s">
        <v>94</v>
      </c>
      <c r="C64" s="697"/>
      <c r="D64" s="66"/>
    </row>
    <row r="65" spans="1:4" ht="15.75" x14ac:dyDescent="0.25">
      <c r="A65" s="26" t="s">
        <v>39</v>
      </c>
      <c r="B65" s="697" t="s">
        <v>95</v>
      </c>
      <c r="C65" s="697"/>
      <c r="D65" s="33">
        <f t="shared" ref="D65" si="9">SUM(D66:D67)</f>
        <v>405607614</v>
      </c>
    </row>
    <row r="66" spans="1:4" ht="18.75" x14ac:dyDescent="0.25">
      <c r="A66" s="36"/>
      <c r="B66" s="68" t="s">
        <v>43</v>
      </c>
      <c r="C66" s="564" t="s">
        <v>96</v>
      </c>
      <c r="D66" s="25">
        <v>23402871</v>
      </c>
    </row>
    <row r="67" spans="1:4" ht="18.75" x14ac:dyDescent="0.3">
      <c r="A67" s="36"/>
      <c r="B67" s="68" t="s">
        <v>45</v>
      </c>
      <c r="C67" s="564" t="s">
        <v>97</v>
      </c>
      <c r="D67" s="551">
        <v>382204743</v>
      </c>
    </row>
    <row r="68" spans="1:4" ht="18.75" x14ac:dyDescent="0.3">
      <c r="A68" s="36" t="s">
        <v>98</v>
      </c>
      <c r="B68" s="703" t="s">
        <v>99</v>
      </c>
      <c r="C68" s="756"/>
      <c r="D68" s="66">
        <f t="shared" ref="D68" si="10">D65</f>
        <v>405607614</v>
      </c>
    </row>
    <row r="69" spans="1:4" ht="18.75" x14ac:dyDescent="0.3">
      <c r="A69" s="9" t="s">
        <v>100</v>
      </c>
      <c r="B69" s="697" t="s">
        <v>101</v>
      </c>
      <c r="C69" s="697"/>
      <c r="D69" s="552"/>
    </row>
    <row r="70" spans="1:4" ht="18.75" x14ac:dyDescent="0.3">
      <c r="A70" s="9" t="s">
        <v>102</v>
      </c>
      <c r="B70" s="697" t="s">
        <v>103</v>
      </c>
      <c r="C70" s="697"/>
      <c r="D70" s="66">
        <f t="shared" ref="D70" si="11">SUM(D71:D74)</f>
        <v>0</v>
      </c>
    </row>
    <row r="71" spans="1:4" ht="18.75" x14ac:dyDescent="0.3">
      <c r="A71" s="9"/>
      <c r="B71" s="55" t="s">
        <v>43</v>
      </c>
      <c r="C71" s="564" t="s">
        <v>304</v>
      </c>
      <c r="D71" s="74"/>
    </row>
    <row r="72" spans="1:4" ht="18.75" x14ac:dyDescent="0.3">
      <c r="A72" s="9"/>
      <c r="B72" s="55" t="s">
        <v>45</v>
      </c>
      <c r="C72" s="564" t="s">
        <v>105</v>
      </c>
      <c r="D72" s="66"/>
    </row>
    <row r="73" spans="1:4" ht="18.75" x14ac:dyDescent="0.3">
      <c r="A73" s="9"/>
      <c r="B73" s="55" t="s">
        <v>53</v>
      </c>
      <c r="C73" s="564" t="s">
        <v>106</v>
      </c>
      <c r="D73" s="74"/>
    </row>
    <row r="74" spans="1:4" ht="18.75" x14ac:dyDescent="0.3">
      <c r="A74" s="9"/>
      <c r="B74" s="55" t="s">
        <v>16</v>
      </c>
      <c r="C74" s="564" t="s">
        <v>107</v>
      </c>
      <c r="D74" s="74"/>
    </row>
    <row r="75" spans="1:4" ht="19.5" x14ac:dyDescent="0.3">
      <c r="A75" s="36" t="s">
        <v>108</v>
      </c>
      <c r="B75" s="712" t="s">
        <v>109</v>
      </c>
      <c r="C75" s="712"/>
      <c r="D75" s="66">
        <f t="shared" ref="D75" si="12">+D69+D70</f>
        <v>0</v>
      </c>
    </row>
    <row r="76" spans="1:4" ht="18.75" x14ac:dyDescent="0.3">
      <c r="A76" s="36" t="s">
        <v>110</v>
      </c>
      <c r="B76" s="707" t="s">
        <v>111</v>
      </c>
      <c r="C76" s="707"/>
      <c r="D76" s="66">
        <f t="shared" ref="D76" si="13">+D68+D75</f>
        <v>405607614</v>
      </c>
    </row>
    <row r="77" spans="1:4" ht="18.75" x14ac:dyDescent="0.3">
      <c r="A77" s="9" t="s">
        <v>112</v>
      </c>
      <c r="B77" s="697" t="s">
        <v>113</v>
      </c>
      <c r="C77" s="697"/>
      <c r="D77" s="66">
        <f>50313977+59197636</f>
        <v>109511613</v>
      </c>
    </row>
    <row r="78" spans="1:4" ht="18.75" x14ac:dyDescent="0.3">
      <c r="A78" s="9" t="s">
        <v>114</v>
      </c>
      <c r="B78" s="697" t="s">
        <v>115</v>
      </c>
      <c r="C78" s="697"/>
      <c r="D78" s="74">
        <v>0</v>
      </c>
    </row>
    <row r="79" spans="1:4" ht="18.75" x14ac:dyDescent="0.3">
      <c r="A79" s="9"/>
      <c r="B79" s="55" t="s">
        <v>43</v>
      </c>
      <c r="C79" s="564" t="s">
        <v>306</v>
      </c>
      <c r="D79" s="74"/>
    </row>
    <row r="80" spans="1:4" ht="18.75" x14ac:dyDescent="0.3">
      <c r="A80" s="9"/>
      <c r="B80" s="55" t="s">
        <v>45</v>
      </c>
      <c r="C80" s="564" t="s">
        <v>307</v>
      </c>
      <c r="D80" s="74"/>
    </row>
    <row r="81" spans="1:4" ht="18.75" x14ac:dyDescent="0.3">
      <c r="A81" s="9" t="s">
        <v>119</v>
      </c>
      <c r="B81" s="708" t="s">
        <v>878</v>
      </c>
      <c r="C81" s="709"/>
      <c r="D81" s="74"/>
    </row>
    <row r="82" spans="1:4" ht="18.75" x14ac:dyDescent="0.3">
      <c r="A82" s="36" t="s">
        <v>120</v>
      </c>
      <c r="B82" s="707" t="s">
        <v>308</v>
      </c>
      <c r="C82" s="707"/>
      <c r="D82" s="66">
        <f t="shared" ref="D82" si="14">D77+D78</f>
        <v>109511613</v>
      </c>
    </row>
    <row r="83" spans="1:4" ht="18.75" x14ac:dyDescent="0.3">
      <c r="A83" s="36" t="s">
        <v>122</v>
      </c>
      <c r="B83" s="707" t="s">
        <v>123</v>
      </c>
      <c r="C83" s="707"/>
      <c r="D83" s="379">
        <f t="shared" ref="D83" si="15">+D31+D82</f>
        <v>670407687</v>
      </c>
    </row>
    <row r="84" spans="1:4" ht="19.5" thickBot="1" x14ac:dyDescent="0.35">
      <c r="A84" s="346" t="s">
        <v>124</v>
      </c>
      <c r="B84" s="347" t="s">
        <v>125</v>
      </c>
      <c r="C84" s="347"/>
      <c r="D84" s="348">
        <f>D62+D76</f>
        <v>670407687</v>
      </c>
    </row>
    <row r="85" spans="1:4" ht="15.75" x14ac:dyDescent="0.25">
      <c r="A85" s="2"/>
      <c r="B85" s="85"/>
      <c r="C85" s="85"/>
    </row>
    <row r="86" spans="1:4" ht="15.75" x14ac:dyDescent="0.25">
      <c r="A86" s="2"/>
      <c r="B86" s="85"/>
      <c r="C86" s="85"/>
      <c r="D86" s="87">
        <f t="shared" ref="D86" si="16">+D84-D83</f>
        <v>0</v>
      </c>
    </row>
  </sheetData>
  <mergeCells count="54">
    <mergeCell ref="B65:C65"/>
    <mergeCell ref="B70:C70"/>
    <mergeCell ref="B78:C78"/>
    <mergeCell ref="B83:C83"/>
    <mergeCell ref="A4:C4"/>
    <mergeCell ref="B22:C22"/>
    <mergeCell ref="B35:C35"/>
    <mergeCell ref="B39:C39"/>
    <mergeCell ref="B43:C43"/>
    <mergeCell ref="B81:C81"/>
    <mergeCell ref="B82:C82"/>
    <mergeCell ref="B69:C69"/>
    <mergeCell ref="B75:C75"/>
    <mergeCell ref="B76:C76"/>
    <mergeCell ref="B77:C77"/>
    <mergeCell ref="B68:C68"/>
    <mergeCell ref="B48:C48"/>
    <mergeCell ref="B59:C59"/>
    <mergeCell ref="B60:C60"/>
    <mergeCell ref="B61:C61"/>
    <mergeCell ref="B31:C31"/>
    <mergeCell ref="B32:C32"/>
    <mergeCell ref="B33:C33"/>
    <mergeCell ref="B34:C34"/>
    <mergeCell ref="B62:C62"/>
    <mergeCell ref="B63:C63"/>
    <mergeCell ref="B64:C64"/>
    <mergeCell ref="B49:C49"/>
    <mergeCell ref="B52:C52"/>
    <mergeCell ref="B55:C55"/>
    <mergeCell ref="B26:C26"/>
    <mergeCell ref="B27:C27"/>
    <mergeCell ref="B28:C28"/>
    <mergeCell ref="B29:C29"/>
    <mergeCell ref="B30:C30"/>
    <mergeCell ref="B25:C25"/>
    <mergeCell ref="B13:C13"/>
    <mergeCell ref="B14:C14"/>
    <mergeCell ref="B15:C15"/>
    <mergeCell ref="B17:C17"/>
    <mergeCell ref="B18:C18"/>
    <mergeCell ref="B19:C19"/>
    <mergeCell ref="B20:C20"/>
    <mergeCell ref="B21:C21"/>
    <mergeCell ref="B24:C24"/>
    <mergeCell ref="D6:D7"/>
    <mergeCell ref="A1:C2"/>
    <mergeCell ref="A3:C3"/>
    <mergeCell ref="B12:C12"/>
    <mergeCell ref="A6:A8"/>
    <mergeCell ref="B6:C8"/>
    <mergeCell ref="B9:C9"/>
    <mergeCell ref="B10:C10"/>
    <mergeCell ref="B11:C1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68"/>
  <sheetViews>
    <sheetView workbookViewId="0">
      <selection activeCell="B27" sqref="B27"/>
    </sheetView>
  </sheetViews>
  <sheetFormatPr defaultColWidth="9.140625" defaultRowHeight="15.75" x14ac:dyDescent="0.25"/>
  <cols>
    <col min="1" max="1" width="38.42578125" style="389" customWidth="1"/>
    <col min="2" max="2" width="10.42578125" style="389" customWidth="1"/>
    <col min="3" max="5" width="9.7109375" style="389" customWidth="1"/>
    <col min="6" max="6" width="10.28515625" style="389" customWidth="1"/>
    <col min="7" max="7" width="10.140625" style="389" customWidth="1"/>
    <col min="8" max="8" width="9.140625" style="389" customWidth="1"/>
    <col min="9" max="9" width="8.85546875" style="389" bestFit="1" customWidth="1"/>
    <col min="10" max="10" width="12.28515625" style="389" bestFit="1" customWidth="1"/>
    <col min="11" max="11" width="8.140625" style="389" customWidth="1"/>
    <col min="12" max="12" width="8.5703125" style="389" bestFit="1" customWidth="1"/>
    <col min="13" max="13" width="8.28515625" style="389" bestFit="1" customWidth="1"/>
    <col min="14" max="14" width="9.42578125" style="389" bestFit="1" customWidth="1"/>
    <col min="15" max="15" width="9.42578125" style="380" bestFit="1" customWidth="1"/>
    <col min="16" max="16384" width="9.140625" style="381"/>
  </cols>
  <sheetData>
    <row r="1" spans="1:15" x14ac:dyDescent="0.25">
      <c r="A1" s="969" t="s">
        <v>882</v>
      </c>
      <c r="B1" s="969"/>
      <c r="C1" s="969"/>
      <c r="D1" s="969"/>
      <c r="E1" s="969"/>
      <c r="F1" s="969"/>
      <c r="G1" s="969"/>
      <c r="H1" s="969"/>
      <c r="I1" s="969"/>
      <c r="J1" s="969"/>
      <c r="K1" s="969"/>
      <c r="L1" s="969"/>
      <c r="M1" s="969"/>
      <c r="N1" s="969"/>
    </row>
    <row r="2" spans="1:15" x14ac:dyDescent="0.25">
      <c r="A2" s="969" t="s">
        <v>392</v>
      </c>
      <c r="B2" s="969"/>
      <c r="C2" s="969"/>
      <c r="D2" s="969"/>
      <c r="E2" s="969"/>
      <c r="F2" s="969"/>
      <c r="G2" s="969"/>
      <c r="H2" s="969"/>
      <c r="I2" s="969"/>
      <c r="J2" s="969"/>
      <c r="K2" s="969"/>
      <c r="L2" s="969"/>
      <c r="M2" s="969"/>
      <c r="N2" s="969"/>
    </row>
    <row r="3" spans="1:15" ht="11.25" x14ac:dyDescent="0.25">
      <c r="A3" s="970" t="s">
        <v>393</v>
      </c>
      <c r="B3" s="970"/>
      <c r="C3" s="970"/>
      <c r="D3" s="970"/>
      <c r="E3" s="970"/>
      <c r="F3" s="970"/>
      <c r="G3" s="970"/>
      <c r="H3" s="970"/>
      <c r="I3" s="970"/>
      <c r="J3" s="970"/>
      <c r="K3" s="970"/>
      <c r="L3" s="970"/>
      <c r="M3" s="970"/>
      <c r="N3" s="970"/>
    </row>
    <row r="4" spans="1:15" ht="11.25" x14ac:dyDescent="0.25">
      <c r="A4" s="970"/>
      <c r="B4" s="970"/>
      <c r="C4" s="970"/>
      <c r="D4" s="970"/>
      <c r="E4" s="970"/>
      <c r="F4" s="970"/>
      <c r="G4" s="970"/>
      <c r="H4" s="970"/>
      <c r="I4" s="970"/>
      <c r="J4" s="970"/>
      <c r="K4" s="970"/>
      <c r="L4" s="970"/>
      <c r="M4" s="970"/>
      <c r="N4" s="970"/>
    </row>
    <row r="5" spans="1:15" x14ac:dyDescent="0.25">
      <c r="A5" s="358"/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970" t="s">
        <v>357</v>
      </c>
      <c r="N5" s="970"/>
    </row>
    <row r="6" spans="1:15" x14ac:dyDescent="0.25">
      <c r="A6" s="359" t="s">
        <v>7</v>
      </c>
      <c r="B6" s="360" t="s">
        <v>358</v>
      </c>
      <c r="C6" s="360" t="s">
        <v>359</v>
      </c>
      <c r="D6" s="360" t="s">
        <v>360</v>
      </c>
      <c r="E6" s="360" t="s">
        <v>361</v>
      </c>
      <c r="F6" s="360" t="s">
        <v>362</v>
      </c>
      <c r="G6" s="360" t="s">
        <v>363</v>
      </c>
      <c r="H6" s="360" t="s">
        <v>364</v>
      </c>
      <c r="I6" s="360" t="s">
        <v>365</v>
      </c>
      <c r="J6" s="360" t="s">
        <v>366</v>
      </c>
      <c r="K6" s="360" t="s">
        <v>367</v>
      </c>
      <c r="L6" s="360" t="s">
        <v>368</v>
      </c>
      <c r="M6" s="360" t="s">
        <v>369</v>
      </c>
      <c r="N6" s="359" t="s">
        <v>370</v>
      </c>
    </row>
    <row r="7" spans="1:15" ht="12.75" x14ac:dyDescent="0.25">
      <c r="A7" s="361" t="s">
        <v>13</v>
      </c>
      <c r="B7" s="362">
        <v>3956</v>
      </c>
      <c r="C7" s="362">
        <v>3956</v>
      </c>
      <c r="D7" s="362">
        <v>3956</v>
      </c>
      <c r="E7" s="362">
        <v>3956</v>
      </c>
      <c r="F7" s="362">
        <v>3957</v>
      </c>
      <c r="G7" s="362">
        <v>3957</v>
      </c>
      <c r="H7" s="362">
        <v>3957</v>
      </c>
      <c r="I7" s="362">
        <v>3957</v>
      </c>
      <c r="J7" s="362">
        <v>3957</v>
      </c>
      <c r="K7" s="362">
        <v>3957</v>
      </c>
      <c r="L7" s="362">
        <v>3957</v>
      </c>
      <c r="M7" s="362">
        <v>3957</v>
      </c>
      <c r="N7" s="364">
        <f>B7+C7+D7+E7+F7+G7+H7+I7+J7+K7+M7+L7</f>
        <v>47480</v>
      </c>
      <c r="O7" s="382">
        <v>47480</v>
      </c>
    </row>
    <row r="8" spans="1:15" ht="12.75" x14ac:dyDescent="0.25">
      <c r="A8" s="361" t="s">
        <v>371</v>
      </c>
      <c r="B8" s="362">
        <v>697</v>
      </c>
      <c r="C8" s="362">
        <v>697</v>
      </c>
      <c r="D8" s="362">
        <v>697</v>
      </c>
      <c r="E8" s="362">
        <v>697</v>
      </c>
      <c r="F8" s="362">
        <v>697</v>
      </c>
      <c r="G8" s="362">
        <v>697</v>
      </c>
      <c r="H8" s="362">
        <v>697</v>
      </c>
      <c r="I8" s="362">
        <v>697</v>
      </c>
      <c r="J8" s="362">
        <v>697</v>
      </c>
      <c r="K8" s="362">
        <v>697</v>
      </c>
      <c r="L8" s="362">
        <v>697</v>
      </c>
      <c r="M8" s="362">
        <v>698</v>
      </c>
      <c r="N8" s="364">
        <f t="shared" ref="N8:N17" si="0">B8+C8+D8+E8+F8+G8+H8+I8+J8+K8+M8+L8</f>
        <v>8365</v>
      </c>
      <c r="O8" s="382">
        <v>8365</v>
      </c>
    </row>
    <row r="9" spans="1:15" ht="12.75" x14ac:dyDescent="0.25">
      <c r="A9" s="361" t="s">
        <v>15</v>
      </c>
      <c r="B9" s="362">
        <v>5101</v>
      </c>
      <c r="C9" s="362">
        <v>5102</v>
      </c>
      <c r="D9" s="362">
        <v>5102</v>
      </c>
      <c r="E9" s="362">
        <v>5102</v>
      </c>
      <c r="F9" s="362">
        <v>5102</v>
      </c>
      <c r="G9" s="362">
        <v>5102</v>
      </c>
      <c r="H9" s="362">
        <v>5102</v>
      </c>
      <c r="I9" s="362">
        <v>5102</v>
      </c>
      <c r="J9" s="362">
        <v>5102</v>
      </c>
      <c r="K9" s="362">
        <v>5102</v>
      </c>
      <c r="L9" s="362">
        <v>5102</v>
      </c>
      <c r="M9" s="362">
        <v>5102</v>
      </c>
      <c r="N9" s="364">
        <f t="shared" si="0"/>
        <v>61223</v>
      </c>
      <c r="O9" s="382">
        <v>61223</v>
      </c>
    </row>
    <row r="10" spans="1:15" ht="12.75" x14ac:dyDescent="0.25">
      <c r="A10" s="361" t="s">
        <v>372</v>
      </c>
      <c r="B10" s="362">
        <v>1554</v>
      </c>
      <c r="C10" s="362">
        <v>1554</v>
      </c>
      <c r="D10" s="362">
        <v>1554</v>
      </c>
      <c r="E10" s="362">
        <v>1554</v>
      </c>
      <c r="F10" s="362">
        <v>1554</v>
      </c>
      <c r="G10" s="362">
        <v>1554</v>
      </c>
      <c r="H10" s="362">
        <v>1554</v>
      </c>
      <c r="I10" s="362">
        <v>1554</v>
      </c>
      <c r="J10" s="362">
        <v>1554</v>
      </c>
      <c r="K10" s="362">
        <v>1554</v>
      </c>
      <c r="L10" s="362">
        <v>1554</v>
      </c>
      <c r="M10" s="362">
        <v>1552</v>
      </c>
      <c r="N10" s="364">
        <f t="shared" si="0"/>
        <v>18646</v>
      </c>
      <c r="O10" s="382">
        <v>18646</v>
      </c>
    </row>
    <row r="11" spans="1:15" ht="12.75" x14ac:dyDescent="0.25">
      <c r="A11" s="361" t="s">
        <v>373</v>
      </c>
      <c r="B11" s="362">
        <v>1118</v>
      </c>
      <c r="C11" s="362">
        <v>1118</v>
      </c>
      <c r="D11" s="362">
        <v>1118</v>
      </c>
      <c r="E11" s="362">
        <v>1118</v>
      </c>
      <c r="F11" s="362">
        <v>1118</v>
      </c>
      <c r="G11" s="362">
        <v>1118</v>
      </c>
      <c r="H11" s="362">
        <v>1118</v>
      </c>
      <c r="I11" s="362">
        <v>1118</v>
      </c>
      <c r="J11" s="362">
        <v>1118</v>
      </c>
      <c r="K11" s="362">
        <v>1118</v>
      </c>
      <c r="L11" s="362">
        <v>1118</v>
      </c>
      <c r="M11" s="362">
        <v>1123</v>
      </c>
      <c r="N11" s="364">
        <f t="shared" si="0"/>
        <v>13421</v>
      </c>
      <c r="O11" s="382">
        <v>13421</v>
      </c>
    </row>
    <row r="12" spans="1:15" ht="12.75" x14ac:dyDescent="0.25">
      <c r="A12" s="361" t="s">
        <v>394</v>
      </c>
      <c r="B12" s="362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4">
        <f t="shared" si="0"/>
        <v>0</v>
      </c>
      <c r="O12" s="382"/>
    </row>
    <row r="13" spans="1:15" ht="12.75" x14ac:dyDescent="0.25">
      <c r="A13" s="361" t="s">
        <v>374</v>
      </c>
      <c r="B13" s="362"/>
      <c r="C13" s="362"/>
      <c r="D13" s="362"/>
      <c r="E13" s="362"/>
      <c r="F13" s="362"/>
      <c r="G13" s="362"/>
      <c r="H13" s="362"/>
      <c r="I13" s="362"/>
      <c r="J13" s="362"/>
      <c r="K13" s="362"/>
      <c r="L13" s="362"/>
      <c r="M13" s="362"/>
      <c r="N13" s="364">
        <f t="shared" si="0"/>
        <v>0</v>
      </c>
      <c r="O13" s="382">
        <v>0</v>
      </c>
    </row>
    <row r="14" spans="1:15" ht="12.75" x14ac:dyDescent="0.25">
      <c r="A14" s="361" t="s">
        <v>717</v>
      </c>
      <c r="B14" s="362"/>
      <c r="C14" s="362">
        <v>200000</v>
      </c>
      <c r="D14" s="362">
        <v>34268</v>
      </c>
      <c r="E14" s="362">
        <v>34268</v>
      </c>
      <c r="F14" s="362">
        <v>34268</v>
      </c>
      <c r="G14" s="362">
        <v>34268</v>
      </c>
      <c r="H14" s="362">
        <v>34268</v>
      </c>
      <c r="I14" s="362">
        <v>34268</v>
      </c>
      <c r="J14" s="362"/>
      <c r="K14" s="362"/>
      <c r="L14" s="362"/>
      <c r="M14" s="362"/>
      <c r="N14" s="364">
        <f t="shared" si="0"/>
        <v>405608</v>
      </c>
      <c r="O14" s="382">
        <v>405608</v>
      </c>
    </row>
    <row r="15" spans="1:15" ht="12.75" x14ac:dyDescent="0.2">
      <c r="A15" s="383" t="s">
        <v>883</v>
      </c>
      <c r="B15" s="362">
        <v>6152</v>
      </c>
      <c r="C15" s="363"/>
      <c r="D15" s="363"/>
      <c r="E15" s="363"/>
      <c r="F15" s="363"/>
      <c r="G15" s="363"/>
      <c r="H15" s="363"/>
      <c r="I15" s="363"/>
      <c r="J15" s="363"/>
      <c r="K15" s="363"/>
      <c r="L15" s="363"/>
      <c r="M15" s="363"/>
      <c r="N15" s="364">
        <f t="shared" si="0"/>
        <v>6152</v>
      </c>
      <c r="O15" s="382">
        <v>6152</v>
      </c>
    </row>
    <row r="16" spans="1:15" ht="12.75" x14ac:dyDescent="0.25">
      <c r="A16" s="361" t="s">
        <v>395</v>
      </c>
      <c r="B16" s="362">
        <v>9126</v>
      </c>
      <c r="C16" s="362">
        <v>9126</v>
      </c>
      <c r="D16" s="362">
        <v>9126</v>
      </c>
      <c r="E16" s="362">
        <v>9126</v>
      </c>
      <c r="F16" s="362">
        <v>9126</v>
      </c>
      <c r="G16" s="362">
        <v>9126</v>
      </c>
      <c r="H16" s="362">
        <v>9126</v>
      </c>
      <c r="I16" s="362">
        <v>9126</v>
      </c>
      <c r="J16" s="362">
        <v>9126</v>
      </c>
      <c r="K16" s="362">
        <v>9126</v>
      </c>
      <c r="L16" s="362">
        <v>9126</v>
      </c>
      <c r="M16" s="362">
        <v>9127</v>
      </c>
      <c r="N16" s="364">
        <f t="shared" si="0"/>
        <v>109513</v>
      </c>
      <c r="O16" s="382">
        <v>109513</v>
      </c>
    </row>
    <row r="17" spans="1:16" ht="12.75" x14ac:dyDescent="0.25">
      <c r="A17" s="361" t="s">
        <v>396</v>
      </c>
      <c r="B17" s="362"/>
      <c r="C17" s="363"/>
      <c r="D17" s="363"/>
      <c r="E17" s="363"/>
      <c r="F17" s="363"/>
      <c r="G17" s="363"/>
      <c r="H17" s="363"/>
      <c r="I17" s="363"/>
      <c r="J17" s="363"/>
      <c r="K17" s="363"/>
      <c r="L17" s="363"/>
      <c r="M17" s="363"/>
      <c r="N17" s="364">
        <f t="shared" si="0"/>
        <v>0</v>
      </c>
      <c r="O17" s="382"/>
    </row>
    <row r="18" spans="1:16" ht="12.75" x14ac:dyDescent="0.25">
      <c r="A18" s="365" t="s">
        <v>375</v>
      </c>
      <c r="B18" s="362">
        <f>SUM(B7:B17)</f>
        <v>27704</v>
      </c>
      <c r="C18" s="363">
        <f t="shared" ref="C18:K18" si="1">SUM(C7:C16)</f>
        <v>221553</v>
      </c>
      <c r="D18" s="363">
        <f t="shared" si="1"/>
        <v>55821</v>
      </c>
      <c r="E18" s="363">
        <f t="shared" si="1"/>
        <v>55821</v>
      </c>
      <c r="F18" s="363">
        <f t="shared" si="1"/>
        <v>55822</v>
      </c>
      <c r="G18" s="363">
        <f t="shared" si="1"/>
        <v>55822</v>
      </c>
      <c r="H18" s="363">
        <f>SUM(H7:H17)</f>
        <v>55822</v>
      </c>
      <c r="I18" s="363">
        <f t="shared" si="1"/>
        <v>55822</v>
      </c>
      <c r="J18" s="363">
        <f t="shared" si="1"/>
        <v>21554</v>
      </c>
      <c r="K18" s="363">
        <f t="shared" si="1"/>
        <v>21554</v>
      </c>
      <c r="L18" s="363">
        <f>SUM(L7:L16)</f>
        <v>21554</v>
      </c>
      <c r="M18" s="363">
        <f>SUM(M7:M16)</f>
        <v>21559</v>
      </c>
      <c r="N18" s="364">
        <f>SUM(N7:N17)</f>
        <v>670408</v>
      </c>
      <c r="O18" s="384">
        <f>SUM(O7:O17)</f>
        <v>670408</v>
      </c>
    </row>
    <row r="19" spans="1:16" ht="15" x14ac:dyDescent="0.25">
      <c r="A19" s="366"/>
      <c r="B19" s="367"/>
      <c r="C19" s="367"/>
      <c r="D19" s="367"/>
      <c r="E19" s="367"/>
      <c r="F19" s="367"/>
      <c r="G19" s="367"/>
      <c r="H19" s="367"/>
      <c r="I19" s="367"/>
      <c r="J19" s="367"/>
      <c r="K19" s="367"/>
      <c r="L19" s="367"/>
      <c r="M19" s="367"/>
      <c r="N19" s="368"/>
    </row>
    <row r="20" spans="1:16" ht="12.75" x14ac:dyDescent="0.25">
      <c r="A20" s="361" t="s">
        <v>376</v>
      </c>
      <c r="B20" s="363">
        <v>1697</v>
      </c>
      <c r="C20" s="363">
        <v>1697</v>
      </c>
      <c r="D20" s="363">
        <v>1697</v>
      </c>
      <c r="E20" s="363">
        <v>1697</v>
      </c>
      <c r="F20" s="363">
        <v>1697</v>
      </c>
      <c r="G20" s="363">
        <v>1697</v>
      </c>
      <c r="H20" s="363">
        <v>1697</v>
      </c>
      <c r="I20" s="363">
        <v>1697</v>
      </c>
      <c r="J20" s="363">
        <v>1697</v>
      </c>
      <c r="K20" s="363">
        <v>1697</v>
      </c>
      <c r="L20" s="363">
        <v>1697</v>
      </c>
      <c r="M20" s="363">
        <v>1697</v>
      </c>
      <c r="N20" s="364">
        <f t="shared" ref="N20:N26" si="2">SUM(B20:M20)</f>
        <v>20364</v>
      </c>
      <c r="O20" s="380">
        <v>20369</v>
      </c>
    </row>
    <row r="21" spans="1:16" ht="12.75" x14ac:dyDescent="0.25">
      <c r="A21" s="361" t="s">
        <v>46</v>
      </c>
      <c r="B21" s="363"/>
      <c r="C21" s="363">
        <v>11096</v>
      </c>
      <c r="D21" s="363">
        <v>11096</v>
      </c>
      <c r="E21" s="363"/>
      <c r="F21" s="363"/>
      <c r="G21" s="363"/>
      <c r="H21" s="363"/>
      <c r="I21" s="363">
        <v>11096</v>
      </c>
      <c r="J21" s="363">
        <v>11097</v>
      </c>
      <c r="K21" s="363"/>
      <c r="L21" s="363"/>
      <c r="M21" s="363"/>
      <c r="N21" s="364">
        <f t="shared" si="2"/>
        <v>44385</v>
      </c>
      <c r="O21" s="380">
        <v>44385</v>
      </c>
    </row>
    <row r="22" spans="1:16" ht="12.75" x14ac:dyDescent="0.25">
      <c r="A22" s="369" t="s">
        <v>54</v>
      </c>
      <c r="B22" s="362">
        <v>12817</v>
      </c>
      <c r="C22" s="362">
        <v>12817</v>
      </c>
      <c r="D22" s="362">
        <v>12817</v>
      </c>
      <c r="E22" s="362">
        <v>12817</v>
      </c>
      <c r="F22" s="362">
        <v>12818</v>
      </c>
      <c r="G22" s="362">
        <v>12818</v>
      </c>
      <c r="H22" s="362">
        <v>12818</v>
      </c>
      <c r="I22" s="362">
        <v>12817</v>
      </c>
      <c r="J22" s="362">
        <v>12817</v>
      </c>
      <c r="K22" s="362">
        <v>12817</v>
      </c>
      <c r="L22" s="362">
        <v>12817</v>
      </c>
      <c r="M22" s="362">
        <v>12817</v>
      </c>
      <c r="N22" s="364">
        <f t="shared" si="2"/>
        <v>153807</v>
      </c>
      <c r="O22" s="380">
        <v>153807</v>
      </c>
    </row>
    <row r="23" spans="1:16" ht="12.75" x14ac:dyDescent="0.25">
      <c r="A23" s="361" t="s">
        <v>378</v>
      </c>
      <c r="B23" s="362">
        <v>10232</v>
      </c>
      <c r="C23" s="362"/>
      <c r="D23" s="362"/>
      <c r="E23" s="362"/>
      <c r="F23" s="362"/>
      <c r="G23" s="362"/>
      <c r="H23" s="362"/>
      <c r="I23" s="362"/>
      <c r="J23" s="362"/>
      <c r="K23" s="362"/>
      <c r="L23" s="362"/>
      <c r="M23" s="362"/>
      <c r="N23" s="364">
        <f t="shared" si="2"/>
        <v>10232</v>
      </c>
      <c r="O23" s="380">
        <v>10232</v>
      </c>
      <c r="P23" s="385"/>
    </row>
    <row r="24" spans="1:16" ht="12.75" x14ac:dyDescent="0.25">
      <c r="A24" s="361" t="s">
        <v>71</v>
      </c>
      <c r="B24" s="362">
        <v>293</v>
      </c>
      <c r="C24" s="362">
        <v>293</v>
      </c>
      <c r="D24" s="362">
        <v>293</v>
      </c>
      <c r="E24" s="362">
        <v>293</v>
      </c>
      <c r="F24" s="362">
        <v>293</v>
      </c>
      <c r="G24" s="362">
        <v>293</v>
      </c>
      <c r="H24" s="362">
        <v>293</v>
      </c>
      <c r="I24" s="362">
        <v>293</v>
      </c>
      <c r="J24" s="362">
        <v>293</v>
      </c>
      <c r="K24" s="362">
        <v>294</v>
      </c>
      <c r="L24" s="362">
        <v>294</v>
      </c>
      <c r="M24" s="362">
        <v>294</v>
      </c>
      <c r="N24" s="364">
        <f t="shared" si="2"/>
        <v>3519</v>
      </c>
      <c r="O24" s="380">
        <v>3519</v>
      </c>
    </row>
    <row r="25" spans="1:16" ht="12.75" x14ac:dyDescent="0.25">
      <c r="A25" s="361" t="s">
        <v>81</v>
      </c>
      <c r="B25" s="362"/>
      <c r="C25" s="362"/>
      <c r="D25" s="362"/>
      <c r="E25" s="362"/>
      <c r="F25" s="362">
        <v>32488</v>
      </c>
      <c r="G25" s="362"/>
      <c r="H25" s="362"/>
      <c r="I25" s="362"/>
      <c r="J25" s="362"/>
      <c r="K25" s="362"/>
      <c r="L25" s="362"/>
      <c r="M25" s="362"/>
      <c r="N25" s="364">
        <f t="shared" si="2"/>
        <v>32488</v>
      </c>
      <c r="O25" s="380">
        <v>32488</v>
      </c>
    </row>
    <row r="26" spans="1:16" ht="12.75" x14ac:dyDescent="0.25">
      <c r="A26" s="361" t="s">
        <v>95</v>
      </c>
      <c r="B26" s="362">
        <v>12715</v>
      </c>
      <c r="C26" s="362">
        <v>221553</v>
      </c>
      <c r="D26" s="362">
        <v>34268</v>
      </c>
      <c r="E26" s="362">
        <v>34268</v>
      </c>
      <c r="F26" s="362">
        <v>34268</v>
      </c>
      <c r="G26" s="362">
        <v>34268</v>
      </c>
      <c r="H26" s="362">
        <v>34268</v>
      </c>
      <c r="I26" s="362"/>
      <c r="J26" s="362"/>
      <c r="K26" s="362"/>
      <c r="L26" s="362"/>
      <c r="M26" s="362"/>
      <c r="N26" s="364">
        <f t="shared" si="2"/>
        <v>405608</v>
      </c>
      <c r="O26" s="380">
        <v>405608</v>
      </c>
    </row>
    <row r="27" spans="1:16" ht="12.75" x14ac:dyDescent="0.25">
      <c r="A27" s="361" t="s">
        <v>396</v>
      </c>
      <c r="B27" s="362"/>
      <c r="C27" s="363"/>
      <c r="D27" s="363"/>
      <c r="E27" s="363"/>
      <c r="F27" s="363"/>
      <c r="G27" s="363"/>
      <c r="H27" s="363"/>
      <c r="I27" s="363"/>
      <c r="J27" s="363"/>
      <c r="K27" s="363"/>
      <c r="L27" s="363"/>
      <c r="M27" s="363"/>
      <c r="N27" s="364">
        <v>0</v>
      </c>
    </row>
    <row r="28" spans="1:16" ht="14.25" x14ac:dyDescent="0.25">
      <c r="A28" s="370" t="s">
        <v>379</v>
      </c>
      <c r="B28" s="371">
        <f>+B20+B21+B22+B23+B24+B26+B25</f>
        <v>37754</v>
      </c>
      <c r="C28" s="371">
        <f t="shared" ref="C28:L28" si="3">+C20+C21+C22+C23+C24+C26+C25</f>
        <v>247456</v>
      </c>
      <c r="D28" s="371">
        <f t="shared" si="3"/>
        <v>60171</v>
      </c>
      <c r="E28" s="371">
        <f t="shared" si="3"/>
        <v>49075</v>
      </c>
      <c r="F28" s="371">
        <f t="shared" si="3"/>
        <v>81564</v>
      </c>
      <c r="G28" s="371">
        <f t="shared" si="3"/>
        <v>49076</v>
      </c>
      <c r="H28" s="371">
        <f t="shared" si="3"/>
        <v>49076</v>
      </c>
      <c r="I28" s="371">
        <f t="shared" si="3"/>
        <v>25903</v>
      </c>
      <c r="J28" s="371">
        <f t="shared" si="3"/>
        <v>25904</v>
      </c>
      <c r="K28" s="371">
        <f t="shared" si="3"/>
        <v>14808</v>
      </c>
      <c r="L28" s="371">
        <f t="shared" si="3"/>
        <v>14808</v>
      </c>
      <c r="M28" s="371">
        <f>+M20+M21+M22+M23+M24+M26+M25+M27</f>
        <v>14808</v>
      </c>
      <c r="N28" s="364">
        <f>N20+N21+N22+N23+N24+N25+N26+N27</f>
        <v>670403</v>
      </c>
      <c r="O28" s="364">
        <f>O20+O21+O22+O23+O24+O25+O26+O27</f>
        <v>670408</v>
      </c>
    </row>
    <row r="29" spans="1:16" ht="14.25" hidden="1" x14ac:dyDescent="0.25">
      <c r="A29" s="386"/>
      <c r="B29" s="387">
        <f t="shared" ref="B29:M29" si="4">+B18-B28</f>
        <v>-10050</v>
      </c>
      <c r="C29" s="387">
        <f t="shared" si="4"/>
        <v>-25903</v>
      </c>
      <c r="D29" s="387">
        <f t="shared" si="4"/>
        <v>-4350</v>
      </c>
      <c r="E29" s="387">
        <f t="shared" si="4"/>
        <v>6746</v>
      </c>
      <c r="F29" s="387">
        <f t="shared" si="4"/>
        <v>-25742</v>
      </c>
      <c r="G29" s="387">
        <f t="shared" si="4"/>
        <v>6746</v>
      </c>
      <c r="H29" s="387">
        <f t="shared" si="4"/>
        <v>6746</v>
      </c>
      <c r="I29" s="387">
        <f t="shared" si="4"/>
        <v>29919</v>
      </c>
      <c r="J29" s="387">
        <f t="shared" si="4"/>
        <v>-4350</v>
      </c>
      <c r="K29" s="387">
        <f t="shared" si="4"/>
        <v>6746</v>
      </c>
      <c r="L29" s="387">
        <f t="shared" si="4"/>
        <v>6746</v>
      </c>
      <c r="M29" s="387">
        <f t="shared" si="4"/>
        <v>6751</v>
      </c>
      <c r="N29" s="388">
        <f>SUM(N20:N27)</f>
        <v>670403</v>
      </c>
    </row>
    <row r="30" spans="1:16" ht="14.25" x14ac:dyDescent="0.25">
      <c r="A30" s="386"/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8"/>
    </row>
    <row r="31" spans="1:16" ht="14.25" x14ac:dyDescent="0.25">
      <c r="A31" s="386"/>
      <c r="B31" s="387"/>
      <c r="C31" s="387"/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8"/>
    </row>
    <row r="32" spans="1:16" ht="14.25" x14ac:dyDescent="0.25">
      <c r="A32" s="386"/>
      <c r="B32" s="387"/>
      <c r="C32" s="387"/>
      <c r="D32" s="387"/>
      <c r="E32" s="387"/>
      <c r="F32" s="387"/>
      <c r="G32" s="387"/>
      <c r="H32" s="387"/>
      <c r="I32" s="387"/>
      <c r="J32" s="387"/>
      <c r="K32" s="387"/>
      <c r="L32" s="387"/>
      <c r="M32" s="387"/>
      <c r="N32" s="388"/>
    </row>
    <row r="33" spans="1:14" ht="14.25" x14ac:dyDescent="0.25">
      <c r="A33" s="386"/>
      <c r="B33" s="387"/>
      <c r="C33" s="387"/>
      <c r="D33" s="387"/>
      <c r="E33" s="387"/>
      <c r="F33" s="387"/>
      <c r="G33" s="387"/>
      <c r="H33" s="387"/>
      <c r="I33" s="387"/>
      <c r="J33" s="387"/>
      <c r="K33" s="387"/>
      <c r="L33" s="387"/>
      <c r="M33" s="387"/>
      <c r="N33" s="388"/>
    </row>
    <row r="34" spans="1:14" ht="14.25" x14ac:dyDescent="0.25">
      <c r="A34" s="386"/>
      <c r="B34" s="387"/>
      <c r="C34" s="387"/>
      <c r="D34" s="387"/>
      <c r="E34" s="387"/>
      <c r="F34" s="387"/>
      <c r="G34" s="387"/>
      <c r="H34" s="387"/>
      <c r="I34" s="387"/>
      <c r="J34" s="387"/>
      <c r="K34" s="387"/>
      <c r="L34" s="387"/>
      <c r="M34" s="387"/>
      <c r="N34" s="388"/>
    </row>
    <row r="35" spans="1:14" ht="14.25" x14ac:dyDescent="0.25">
      <c r="A35" s="386"/>
      <c r="B35" s="387"/>
      <c r="C35" s="387"/>
      <c r="D35" s="387"/>
      <c r="E35" s="387"/>
      <c r="F35" s="387"/>
      <c r="G35" s="387"/>
      <c r="H35" s="387"/>
      <c r="I35" s="387"/>
      <c r="J35" s="387"/>
      <c r="K35" s="387"/>
      <c r="L35" s="387"/>
      <c r="M35" s="387"/>
      <c r="N35" s="388"/>
    </row>
    <row r="36" spans="1:14" ht="14.25" x14ac:dyDescent="0.25">
      <c r="A36" s="386"/>
      <c r="B36" s="387"/>
      <c r="C36" s="387"/>
      <c r="D36" s="387"/>
      <c r="E36" s="387"/>
      <c r="F36" s="387"/>
      <c r="G36" s="387"/>
      <c r="H36" s="387"/>
      <c r="I36" s="387"/>
      <c r="J36" s="387"/>
      <c r="K36" s="387"/>
      <c r="L36" s="387"/>
      <c r="M36" s="387"/>
      <c r="N36" s="388"/>
    </row>
    <row r="37" spans="1:14" ht="14.25" x14ac:dyDescent="0.25">
      <c r="A37" s="386"/>
      <c r="B37" s="387"/>
      <c r="C37" s="387"/>
      <c r="D37" s="387"/>
      <c r="E37" s="387"/>
      <c r="F37" s="387"/>
      <c r="G37" s="387"/>
      <c r="H37" s="387"/>
      <c r="I37" s="387"/>
      <c r="J37" s="387"/>
      <c r="K37" s="387"/>
      <c r="L37" s="387"/>
      <c r="M37" s="387"/>
      <c r="N37" s="388"/>
    </row>
    <row r="38" spans="1:14" x14ac:dyDescent="0.25">
      <c r="B38" s="390"/>
      <c r="C38" s="390"/>
      <c r="D38" s="390"/>
      <c r="E38" s="390"/>
      <c r="F38" s="390"/>
      <c r="G38" s="390"/>
      <c r="H38" s="390"/>
      <c r="I38" s="390"/>
      <c r="J38" s="390"/>
      <c r="K38" s="390"/>
      <c r="L38" s="390"/>
      <c r="M38" s="390"/>
      <c r="N38" s="390"/>
    </row>
    <row r="44" spans="1:14" x14ac:dyDescent="0.25">
      <c r="A44" s="391"/>
    </row>
    <row r="45" spans="1:14" x14ac:dyDescent="0.25">
      <c r="A45" s="391"/>
    </row>
    <row r="46" spans="1:14" x14ac:dyDescent="0.25">
      <c r="A46" s="391"/>
    </row>
    <row r="47" spans="1:14" x14ac:dyDescent="0.25">
      <c r="A47" s="391"/>
    </row>
    <row r="48" spans="1:14" x14ac:dyDescent="0.25">
      <c r="A48" s="391"/>
    </row>
    <row r="49" spans="1:17" x14ac:dyDescent="0.25">
      <c r="A49" s="391"/>
    </row>
    <row r="50" spans="1:17" x14ac:dyDescent="0.25">
      <c r="A50" s="391"/>
    </row>
    <row r="51" spans="1:17" x14ac:dyDescent="0.25">
      <c r="A51" s="391"/>
    </row>
    <row r="52" spans="1:17" x14ac:dyDescent="0.25">
      <c r="A52" s="391"/>
    </row>
    <row r="53" spans="1:17" x14ac:dyDescent="0.25">
      <c r="A53" s="391"/>
    </row>
    <row r="54" spans="1:17" x14ac:dyDescent="0.25">
      <c r="A54" s="391"/>
    </row>
    <row r="55" spans="1:17" x14ac:dyDescent="0.25">
      <c r="A55" s="391"/>
      <c r="Q55" s="381">
        <f>+O55+O45</f>
        <v>0</v>
      </c>
    </row>
    <row r="56" spans="1:17" x14ac:dyDescent="0.25">
      <c r="A56" s="391"/>
    </row>
    <row r="57" spans="1:17" x14ac:dyDescent="0.25">
      <c r="A57" s="391"/>
    </row>
    <row r="58" spans="1:17" x14ac:dyDescent="0.25">
      <c r="A58" s="391"/>
    </row>
    <row r="59" spans="1:17" x14ac:dyDescent="0.25">
      <c r="A59" s="391"/>
    </row>
    <row r="60" spans="1:17" x14ac:dyDescent="0.25">
      <c r="A60" s="391"/>
    </row>
    <row r="61" spans="1:17" x14ac:dyDescent="0.25">
      <c r="A61" s="391"/>
    </row>
    <row r="62" spans="1:17" x14ac:dyDescent="0.25">
      <c r="A62" s="391"/>
    </row>
    <row r="63" spans="1:17" x14ac:dyDescent="0.25">
      <c r="A63" s="391"/>
    </row>
    <row r="64" spans="1:17" x14ac:dyDescent="0.25">
      <c r="A64" s="391"/>
    </row>
    <row r="68" spans="12:12" x14ac:dyDescent="0.25">
      <c r="L68" s="392"/>
    </row>
  </sheetData>
  <mergeCells count="4">
    <mergeCell ref="A1:N1"/>
    <mergeCell ref="A2:N2"/>
    <mergeCell ref="A3:N4"/>
    <mergeCell ref="M5:N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Z39"/>
  <sheetViews>
    <sheetView topLeftCell="A31" workbookViewId="0">
      <selection activeCell="X4" sqref="X4"/>
    </sheetView>
  </sheetViews>
  <sheetFormatPr defaultRowHeight="15.75" x14ac:dyDescent="0.25"/>
  <cols>
    <col min="1" max="17" width="3.140625" style="586" customWidth="1"/>
    <col min="18" max="18" width="2.140625" style="586" customWidth="1"/>
    <col min="19" max="19" width="9.7109375" style="586" customWidth="1"/>
    <col min="20" max="21" width="3.140625" style="586" customWidth="1"/>
    <col min="22" max="22" width="10.42578125" style="586" customWidth="1"/>
    <col min="23" max="23" width="8.85546875" style="586" customWidth="1"/>
    <col min="24" max="24" width="14.85546875" style="586" customWidth="1"/>
    <col min="25" max="26" width="11" style="596" customWidth="1"/>
    <col min="27" max="27" width="14.42578125" style="646" customWidth="1"/>
    <col min="28" max="28" width="14.28515625" style="646" customWidth="1"/>
    <col min="29" max="30" width="13.28515625" style="557" customWidth="1"/>
    <col min="31" max="34" width="14.28515625" style="557" customWidth="1"/>
    <col min="35" max="35" width="13.5703125" style="557" customWidth="1"/>
    <col min="36" max="36" width="15.140625" style="498" customWidth="1"/>
    <col min="37" max="37" width="13.42578125" style="498" bestFit="1" customWidth="1"/>
    <col min="38" max="38" width="15.28515625" style="498" bestFit="1" customWidth="1"/>
    <col min="39" max="39" width="14" style="498" customWidth="1"/>
    <col min="40" max="40" width="13.42578125" style="498" bestFit="1" customWidth="1"/>
    <col min="41" max="42" width="13" style="498" customWidth="1"/>
    <col min="43" max="43" width="12.5703125" style="498" bestFit="1" customWidth="1"/>
    <col min="44" max="44" width="14" style="498" customWidth="1"/>
    <col min="45" max="45" width="14.5703125" style="498" bestFit="1" customWidth="1"/>
    <col min="46" max="47" width="14.28515625" style="498" customWidth="1"/>
    <col min="48" max="48" width="12.140625" style="498" customWidth="1"/>
    <col min="49" max="49" width="13" style="498" customWidth="1"/>
    <col min="50" max="50" width="12.85546875" style="498" customWidth="1"/>
    <col min="51" max="51" width="12.140625" style="498" customWidth="1"/>
    <col min="52" max="52" width="12.5703125" style="498" bestFit="1" customWidth="1"/>
    <col min="53" max="16384" width="9.140625" style="498"/>
  </cols>
  <sheetData>
    <row r="1" spans="1:52" ht="18.75" x14ac:dyDescent="0.25">
      <c r="A1" s="643"/>
      <c r="B1" s="644"/>
      <c r="C1" s="992" t="s">
        <v>886</v>
      </c>
      <c r="D1" s="992"/>
      <c r="E1" s="992"/>
      <c r="F1" s="992"/>
      <c r="G1" s="992"/>
      <c r="H1" s="992"/>
      <c r="I1" s="992"/>
      <c r="J1" s="992"/>
      <c r="K1" s="992"/>
      <c r="L1" s="992"/>
      <c r="M1" s="992"/>
      <c r="N1" s="992"/>
      <c r="O1" s="992"/>
      <c r="P1" s="992"/>
      <c r="Q1" s="992"/>
      <c r="R1" s="992"/>
      <c r="S1" s="645"/>
      <c r="T1" s="645"/>
      <c r="U1" s="645"/>
    </row>
    <row r="2" spans="1:52" ht="18.75" x14ac:dyDescent="0.25">
      <c r="A2" s="644"/>
      <c r="B2" s="644"/>
      <c r="C2" s="647" t="s">
        <v>3</v>
      </c>
      <c r="D2" s="645"/>
      <c r="E2" s="645"/>
      <c r="F2" s="645"/>
      <c r="G2" s="645"/>
      <c r="H2" s="645"/>
      <c r="I2" s="645"/>
      <c r="J2" s="645"/>
      <c r="K2" s="645"/>
      <c r="L2" s="645"/>
      <c r="M2" s="645"/>
      <c r="N2" s="645"/>
      <c r="O2" s="645"/>
      <c r="P2" s="645"/>
      <c r="Q2" s="645"/>
      <c r="R2" s="645"/>
      <c r="S2" s="645"/>
      <c r="T2" s="645"/>
      <c r="U2" s="645"/>
    </row>
    <row r="3" spans="1:52" ht="16.5" thickBot="1" x14ac:dyDescent="0.3">
      <c r="A3" s="644"/>
      <c r="B3" s="644"/>
      <c r="C3" s="648" t="s">
        <v>397</v>
      </c>
      <c r="D3" s="649"/>
      <c r="E3" s="649"/>
      <c r="F3" s="649"/>
      <c r="G3" s="649"/>
      <c r="H3" s="649"/>
      <c r="I3" s="649"/>
      <c r="J3" s="649"/>
      <c r="K3" s="649"/>
      <c r="L3" s="649"/>
      <c r="M3" s="649"/>
      <c r="N3" s="649"/>
      <c r="O3" s="649"/>
      <c r="P3" s="649"/>
      <c r="Q3" s="649"/>
      <c r="R3" s="649"/>
      <c r="S3" s="649"/>
      <c r="T3" s="649"/>
      <c r="U3" s="649"/>
    </row>
    <row r="4" spans="1:52" ht="45" x14ac:dyDescent="0.25">
      <c r="A4" s="644"/>
      <c r="B4" s="644"/>
      <c r="C4" s="644"/>
      <c r="D4" s="644"/>
      <c r="E4" s="644"/>
      <c r="F4" s="644"/>
      <c r="G4" s="644"/>
      <c r="H4" s="644"/>
      <c r="I4" s="644"/>
      <c r="J4" s="644"/>
      <c r="K4" s="644"/>
      <c r="L4" s="644"/>
      <c r="M4" s="644"/>
      <c r="N4" s="644"/>
      <c r="O4" s="644"/>
      <c r="P4" s="644"/>
      <c r="Q4" s="644"/>
      <c r="R4" s="644"/>
      <c r="S4" s="644"/>
      <c r="T4" s="644"/>
      <c r="U4" s="644"/>
      <c r="V4" s="393" t="s">
        <v>885</v>
      </c>
      <c r="W4" s="615"/>
      <c r="X4" s="616" t="s">
        <v>922</v>
      </c>
      <c r="Y4" s="616"/>
      <c r="Z4" s="616"/>
      <c r="AC4" s="558"/>
      <c r="AD4" s="558"/>
      <c r="AE4" s="558"/>
      <c r="AF4" s="558"/>
      <c r="AG4" s="558"/>
      <c r="AH4" s="558"/>
      <c r="AI4" s="558"/>
    </row>
    <row r="5" spans="1:52" x14ac:dyDescent="0.25">
      <c r="A5" s="993" t="s">
        <v>7</v>
      </c>
      <c r="B5" s="994"/>
      <c r="C5" s="994"/>
      <c r="D5" s="994"/>
      <c r="E5" s="994"/>
      <c r="F5" s="994"/>
      <c r="G5" s="994"/>
      <c r="H5" s="994"/>
      <c r="I5" s="994"/>
      <c r="J5" s="994"/>
      <c r="K5" s="994"/>
      <c r="L5" s="994"/>
      <c r="M5" s="994"/>
      <c r="N5" s="994"/>
      <c r="O5" s="994"/>
      <c r="P5" s="994"/>
      <c r="Q5" s="994"/>
      <c r="R5" s="994"/>
      <c r="S5" s="995"/>
      <c r="T5" s="999" t="s">
        <v>6</v>
      </c>
      <c r="U5" s="1000"/>
      <c r="V5" s="650" t="s">
        <v>398</v>
      </c>
    </row>
    <row r="6" spans="1:52" ht="78" customHeight="1" x14ac:dyDescent="0.25">
      <c r="A6" s="996"/>
      <c r="B6" s="997"/>
      <c r="C6" s="997"/>
      <c r="D6" s="997"/>
      <c r="E6" s="997"/>
      <c r="F6" s="997"/>
      <c r="G6" s="997"/>
      <c r="H6" s="997"/>
      <c r="I6" s="997"/>
      <c r="J6" s="997"/>
      <c r="K6" s="997"/>
      <c r="L6" s="997"/>
      <c r="M6" s="997"/>
      <c r="N6" s="997"/>
      <c r="O6" s="997"/>
      <c r="P6" s="997"/>
      <c r="Q6" s="997"/>
      <c r="R6" s="997"/>
      <c r="S6" s="998"/>
      <c r="T6" s="1001"/>
      <c r="U6" s="1002"/>
      <c r="V6" s="650" t="s">
        <v>398</v>
      </c>
      <c r="W6" s="651" t="s">
        <v>399</v>
      </c>
      <c r="X6" s="651" t="s">
        <v>508</v>
      </c>
      <c r="Y6" s="652" t="s">
        <v>727</v>
      </c>
      <c r="Z6" s="653" t="s">
        <v>884</v>
      </c>
      <c r="AA6" s="653" t="s">
        <v>728</v>
      </c>
      <c r="AB6" s="653" t="s">
        <v>729</v>
      </c>
      <c r="AC6" s="653" t="s">
        <v>730</v>
      </c>
      <c r="AD6" s="653" t="s">
        <v>731</v>
      </c>
      <c r="AE6" s="654" t="s">
        <v>732</v>
      </c>
      <c r="AF6" s="654" t="s">
        <v>733</v>
      </c>
      <c r="AG6" s="654" t="s">
        <v>734</v>
      </c>
      <c r="AH6" s="654" t="s">
        <v>735</v>
      </c>
      <c r="AI6" s="653" t="s">
        <v>736</v>
      </c>
      <c r="AJ6" s="654" t="s">
        <v>737</v>
      </c>
      <c r="AK6" s="655" t="s">
        <v>738</v>
      </c>
      <c r="AL6" s="653" t="s">
        <v>739</v>
      </c>
      <c r="AM6" s="653" t="s">
        <v>740</v>
      </c>
      <c r="AN6" s="654" t="s">
        <v>741</v>
      </c>
      <c r="AO6" s="654" t="s">
        <v>742</v>
      </c>
      <c r="AP6" s="654" t="s">
        <v>743</v>
      </c>
      <c r="AQ6" s="653" t="s">
        <v>744</v>
      </c>
      <c r="AR6" s="653" t="s">
        <v>745</v>
      </c>
      <c r="AS6" s="654" t="s">
        <v>746</v>
      </c>
      <c r="AT6" s="654" t="s">
        <v>747</v>
      </c>
      <c r="AU6" s="654" t="s">
        <v>748</v>
      </c>
      <c r="AV6" s="654" t="s">
        <v>749</v>
      </c>
      <c r="AW6" s="654" t="s">
        <v>750</v>
      </c>
      <c r="AX6" s="654" t="s">
        <v>751</v>
      </c>
      <c r="AY6" s="653" t="s">
        <v>752</v>
      </c>
      <c r="AZ6" s="654" t="s">
        <v>753</v>
      </c>
    </row>
    <row r="7" spans="1:52" x14ac:dyDescent="0.25">
      <c r="A7" s="1003" t="s">
        <v>400</v>
      </c>
      <c r="B7" s="1004"/>
      <c r="C7" s="1004"/>
      <c r="D7" s="1004"/>
      <c r="E7" s="1004"/>
      <c r="F7" s="1004"/>
      <c r="G7" s="1004"/>
      <c r="H7" s="1004"/>
      <c r="I7" s="1004"/>
      <c r="J7" s="1004"/>
      <c r="K7" s="1004"/>
      <c r="L7" s="1004"/>
      <c r="M7" s="1004"/>
      <c r="N7" s="1004"/>
      <c r="O7" s="1004"/>
      <c r="P7" s="1004"/>
      <c r="Q7" s="1004"/>
      <c r="R7" s="1004"/>
      <c r="S7" s="1005"/>
      <c r="T7" s="1006" t="s">
        <v>401</v>
      </c>
      <c r="U7" s="1007"/>
      <c r="V7" s="656" t="s">
        <v>402</v>
      </c>
      <c r="W7" s="657"/>
      <c r="X7" s="658">
        <f>SUM(Y7:AZ7)</f>
        <v>185885</v>
      </c>
      <c r="Y7" s="659">
        <v>0</v>
      </c>
      <c r="Z7" s="659"/>
      <c r="AJ7" s="560">
        <v>163885</v>
      </c>
      <c r="AK7" s="557"/>
      <c r="AL7" s="557">
        <v>0</v>
      </c>
      <c r="AM7" s="557"/>
      <c r="AN7" s="557"/>
      <c r="AO7" s="557"/>
      <c r="AP7" s="557"/>
      <c r="AQ7" s="557">
        <v>22000</v>
      </c>
      <c r="AR7" s="557"/>
      <c r="AS7" s="557">
        <v>0</v>
      </c>
      <c r="AT7" s="557"/>
      <c r="AU7" s="557"/>
      <c r="AV7" s="557"/>
      <c r="AW7" s="557"/>
      <c r="AX7" s="557"/>
      <c r="AY7" s="557"/>
      <c r="AZ7" s="557"/>
    </row>
    <row r="8" spans="1:52" x14ac:dyDescent="0.25">
      <c r="A8" s="1003" t="s">
        <v>403</v>
      </c>
      <c r="B8" s="1004"/>
      <c r="C8" s="1004"/>
      <c r="D8" s="1004"/>
      <c r="E8" s="1004"/>
      <c r="F8" s="1004"/>
      <c r="G8" s="1004"/>
      <c r="H8" s="1004"/>
      <c r="I8" s="1004"/>
      <c r="J8" s="1004"/>
      <c r="K8" s="1004"/>
      <c r="L8" s="1004"/>
      <c r="M8" s="1004"/>
      <c r="N8" s="1004"/>
      <c r="O8" s="1004"/>
      <c r="P8" s="1004"/>
      <c r="Q8" s="1004"/>
      <c r="R8" s="1004"/>
      <c r="S8" s="1005"/>
      <c r="T8" s="1006" t="s">
        <v>404</v>
      </c>
      <c r="U8" s="1007"/>
      <c r="V8" s="660" t="s">
        <v>405</v>
      </c>
      <c r="W8" s="657" t="s">
        <v>406</v>
      </c>
      <c r="X8" s="658">
        <f>SUM(Y8:AZ8)</f>
        <v>5124655</v>
      </c>
      <c r="Y8" s="659">
        <v>0</v>
      </c>
      <c r="Z8" s="659"/>
      <c r="AC8" s="557">
        <v>143000</v>
      </c>
      <c r="AE8" s="557">
        <v>310000</v>
      </c>
      <c r="AI8" s="557">
        <v>210000</v>
      </c>
      <c r="AJ8" s="560">
        <v>1162486</v>
      </c>
      <c r="AK8" s="557"/>
      <c r="AL8" s="557">
        <v>2964169</v>
      </c>
      <c r="AM8" s="557">
        <v>20000</v>
      </c>
      <c r="AN8" s="557"/>
      <c r="AO8" s="557"/>
      <c r="AP8" s="557"/>
      <c r="AQ8" s="557">
        <v>30000</v>
      </c>
      <c r="AR8" s="557">
        <v>0</v>
      </c>
      <c r="AS8" s="557">
        <v>60000</v>
      </c>
      <c r="AT8" s="557">
        <v>15000</v>
      </c>
      <c r="AU8" s="557">
        <v>0</v>
      </c>
      <c r="AV8" s="557"/>
      <c r="AW8" s="557"/>
      <c r="AX8" s="557">
        <v>90000</v>
      </c>
      <c r="AY8" s="557">
        <v>0</v>
      </c>
      <c r="AZ8" s="557">
        <v>120000</v>
      </c>
    </row>
    <row r="9" spans="1:52" ht="16.5" thickBot="1" x14ac:dyDescent="0.3">
      <c r="A9" s="1003" t="s">
        <v>407</v>
      </c>
      <c r="B9" s="1004"/>
      <c r="C9" s="1004"/>
      <c r="D9" s="1004"/>
      <c r="E9" s="1004"/>
      <c r="F9" s="1004"/>
      <c r="G9" s="1004"/>
      <c r="H9" s="1004"/>
      <c r="I9" s="1004"/>
      <c r="J9" s="1004"/>
      <c r="K9" s="1004"/>
      <c r="L9" s="1004"/>
      <c r="M9" s="1004"/>
      <c r="N9" s="1004"/>
      <c r="O9" s="1004"/>
      <c r="P9" s="1004"/>
      <c r="Q9" s="1004"/>
      <c r="R9" s="1004"/>
      <c r="S9" s="1005"/>
      <c r="T9" s="1006" t="s">
        <v>408</v>
      </c>
      <c r="U9" s="1007"/>
      <c r="V9" s="660" t="s">
        <v>409</v>
      </c>
      <c r="W9" s="657" t="s">
        <v>410</v>
      </c>
      <c r="X9" s="658">
        <f>SUM(Y9:AZ9)</f>
        <v>0</v>
      </c>
      <c r="Y9" s="659"/>
      <c r="Z9" s="659"/>
      <c r="AJ9" s="560"/>
      <c r="AK9" s="557"/>
      <c r="AL9" s="557"/>
      <c r="AM9" s="557"/>
      <c r="AN9" s="557"/>
      <c r="AO9" s="557"/>
      <c r="AP9" s="557"/>
      <c r="AQ9" s="557"/>
      <c r="AR9" s="557"/>
      <c r="AS9" s="557"/>
      <c r="AT9" s="557"/>
      <c r="AU9" s="557"/>
      <c r="AV9" s="557"/>
      <c r="AW9" s="557"/>
      <c r="AX9" s="557"/>
      <c r="AY9" s="557"/>
      <c r="AZ9" s="557"/>
    </row>
    <row r="10" spans="1:52" ht="16.5" thickBot="1" x14ac:dyDescent="0.3">
      <c r="A10" s="1008" t="s">
        <v>411</v>
      </c>
      <c r="B10" s="1009"/>
      <c r="C10" s="1009"/>
      <c r="D10" s="1009"/>
      <c r="E10" s="1009"/>
      <c r="F10" s="1009"/>
      <c r="G10" s="1009"/>
      <c r="H10" s="1009"/>
      <c r="I10" s="1009"/>
      <c r="J10" s="1009"/>
      <c r="K10" s="1009"/>
      <c r="L10" s="1009"/>
      <c r="M10" s="1009"/>
      <c r="N10" s="1009"/>
      <c r="O10" s="1009"/>
      <c r="P10" s="1009"/>
      <c r="Q10" s="1009"/>
      <c r="R10" s="1009"/>
      <c r="S10" s="1010"/>
      <c r="T10" s="1006" t="s">
        <v>412</v>
      </c>
      <c r="U10" s="1007"/>
      <c r="V10" s="660"/>
      <c r="W10" s="657" t="s">
        <v>413</v>
      </c>
      <c r="X10" s="561">
        <f>X7+X8+X9</f>
        <v>5310540</v>
      </c>
      <c r="Y10" s="659">
        <f t="shared" ref="Y10:AZ10" si="0">Y7+Y8+Y9</f>
        <v>0</v>
      </c>
      <c r="Z10" s="659"/>
      <c r="AA10" s="659">
        <f t="shared" si="0"/>
        <v>0</v>
      </c>
      <c r="AB10" s="659">
        <f t="shared" si="0"/>
        <v>0</v>
      </c>
      <c r="AC10" s="659">
        <f t="shared" si="0"/>
        <v>143000</v>
      </c>
      <c r="AD10" s="659">
        <f t="shared" si="0"/>
        <v>0</v>
      </c>
      <c r="AE10" s="659">
        <f t="shared" si="0"/>
        <v>310000</v>
      </c>
      <c r="AF10" s="659">
        <f t="shared" si="0"/>
        <v>0</v>
      </c>
      <c r="AG10" s="659">
        <f t="shared" si="0"/>
        <v>0</v>
      </c>
      <c r="AH10" s="659">
        <f t="shared" si="0"/>
        <v>0</v>
      </c>
      <c r="AI10" s="659">
        <f t="shared" si="0"/>
        <v>210000</v>
      </c>
      <c r="AJ10" s="661">
        <f>AJ7+AJ8+AJ9</f>
        <v>1326371</v>
      </c>
      <c r="AK10" s="659">
        <f t="shared" si="0"/>
        <v>0</v>
      </c>
      <c r="AL10" s="659">
        <f t="shared" si="0"/>
        <v>2964169</v>
      </c>
      <c r="AM10" s="659">
        <f t="shared" si="0"/>
        <v>20000</v>
      </c>
      <c r="AN10" s="659">
        <f t="shared" si="0"/>
        <v>0</v>
      </c>
      <c r="AO10" s="659">
        <f t="shared" si="0"/>
        <v>0</v>
      </c>
      <c r="AP10" s="659">
        <f t="shared" si="0"/>
        <v>0</v>
      </c>
      <c r="AQ10" s="659">
        <f t="shared" si="0"/>
        <v>52000</v>
      </c>
      <c r="AR10" s="659">
        <f t="shared" si="0"/>
        <v>0</v>
      </c>
      <c r="AS10" s="659">
        <f t="shared" si="0"/>
        <v>60000</v>
      </c>
      <c r="AT10" s="659">
        <f t="shared" si="0"/>
        <v>15000</v>
      </c>
      <c r="AU10" s="659">
        <f t="shared" si="0"/>
        <v>0</v>
      </c>
      <c r="AV10" s="659">
        <f t="shared" si="0"/>
        <v>0</v>
      </c>
      <c r="AW10" s="659">
        <f t="shared" si="0"/>
        <v>0</v>
      </c>
      <c r="AX10" s="659">
        <f t="shared" si="0"/>
        <v>90000</v>
      </c>
      <c r="AY10" s="659">
        <f t="shared" si="0"/>
        <v>0</v>
      </c>
      <c r="AZ10" s="659">
        <f t="shared" si="0"/>
        <v>120000</v>
      </c>
    </row>
    <row r="11" spans="1:52" x14ac:dyDescent="0.25">
      <c r="A11" s="1003" t="s">
        <v>414</v>
      </c>
      <c r="B11" s="1004"/>
      <c r="C11" s="1004"/>
      <c r="D11" s="1004"/>
      <c r="E11" s="1004"/>
      <c r="F11" s="1004"/>
      <c r="G11" s="1004"/>
      <c r="H11" s="1004"/>
      <c r="I11" s="1004"/>
      <c r="J11" s="1004"/>
      <c r="K11" s="1004"/>
      <c r="L11" s="1004"/>
      <c r="M11" s="1004"/>
      <c r="N11" s="1004"/>
      <c r="O11" s="1004"/>
      <c r="P11" s="1004"/>
      <c r="Q11" s="1004"/>
      <c r="R11" s="1004"/>
      <c r="S11" s="1005"/>
      <c r="T11" s="1006" t="s">
        <v>415</v>
      </c>
      <c r="U11" s="1007"/>
      <c r="V11" s="660" t="s">
        <v>416</v>
      </c>
      <c r="W11" s="657"/>
      <c r="X11" s="658">
        <f>SUM(Y11:AZ11)</f>
        <v>665216</v>
      </c>
      <c r="Y11" s="659"/>
      <c r="Z11" s="659"/>
      <c r="AB11" s="646">
        <v>40000</v>
      </c>
      <c r="AJ11" s="560">
        <f>377160+37716</f>
        <v>414876</v>
      </c>
      <c r="AK11" s="557"/>
      <c r="AL11" s="557">
        <v>100000</v>
      </c>
      <c r="AM11" s="557"/>
      <c r="AN11" s="557"/>
      <c r="AO11" s="557"/>
      <c r="AP11" s="557"/>
      <c r="AQ11" s="557">
        <f>85340+25000</f>
        <v>110340</v>
      </c>
      <c r="AR11" s="557"/>
      <c r="AS11" s="557"/>
      <c r="AT11" s="557"/>
      <c r="AU11" s="557"/>
      <c r="AV11" s="557"/>
      <c r="AW11" s="557"/>
      <c r="AX11" s="557"/>
      <c r="AY11" s="557"/>
      <c r="AZ11" s="557"/>
    </row>
    <row r="12" spans="1:52" ht="16.5" thickBot="1" x14ac:dyDescent="0.3">
      <c r="A12" s="1003" t="s">
        <v>417</v>
      </c>
      <c r="B12" s="1004"/>
      <c r="C12" s="1004"/>
      <c r="D12" s="1004"/>
      <c r="E12" s="1004"/>
      <c r="F12" s="1004"/>
      <c r="G12" s="1004"/>
      <c r="H12" s="1004"/>
      <c r="I12" s="1004"/>
      <c r="J12" s="1004"/>
      <c r="K12" s="1004"/>
      <c r="L12" s="1004"/>
      <c r="M12" s="1004"/>
      <c r="N12" s="1004"/>
      <c r="O12" s="1004"/>
      <c r="P12" s="1004"/>
      <c r="Q12" s="1004"/>
      <c r="R12" s="1004"/>
      <c r="S12" s="1005"/>
      <c r="T12" s="1006" t="s">
        <v>418</v>
      </c>
      <c r="U12" s="1007"/>
      <c r="V12" s="660" t="s">
        <v>419</v>
      </c>
      <c r="W12" s="657"/>
      <c r="X12" s="658">
        <f>SUM(Y12:AZ12)</f>
        <v>458471</v>
      </c>
      <c r="Y12" s="659"/>
      <c r="Z12" s="659"/>
      <c r="AJ12" s="560">
        <v>221683</v>
      </c>
      <c r="AK12" s="557"/>
      <c r="AL12" s="557">
        <v>38520</v>
      </c>
      <c r="AM12" s="557">
        <v>66000</v>
      </c>
      <c r="AN12" s="557"/>
      <c r="AO12" s="557"/>
      <c r="AP12" s="557"/>
      <c r="AQ12" s="557">
        <v>45000</v>
      </c>
      <c r="AR12" s="557"/>
      <c r="AS12" s="557">
        <f>70000+17268</f>
        <v>87268</v>
      </c>
      <c r="AT12" s="557"/>
      <c r="AU12" s="557"/>
      <c r="AV12" s="557"/>
      <c r="AW12" s="557"/>
      <c r="AX12" s="557"/>
      <c r="AY12" s="557"/>
      <c r="AZ12" s="557"/>
    </row>
    <row r="13" spans="1:52" ht="16.5" thickBot="1" x14ac:dyDescent="0.3">
      <c r="A13" s="1008" t="s">
        <v>420</v>
      </c>
      <c r="B13" s="1009"/>
      <c r="C13" s="1009"/>
      <c r="D13" s="1009"/>
      <c r="E13" s="1009"/>
      <c r="F13" s="1009"/>
      <c r="G13" s="1009"/>
      <c r="H13" s="1009"/>
      <c r="I13" s="1009"/>
      <c r="J13" s="1009"/>
      <c r="K13" s="1009"/>
      <c r="L13" s="1009"/>
      <c r="M13" s="1009"/>
      <c r="N13" s="1009"/>
      <c r="O13" s="1009"/>
      <c r="P13" s="1009"/>
      <c r="Q13" s="1009"/>
      <c r="R13" s="1009"/>
      <c r="S13" s="1010"/>
      <c r="T13" s="1006" t="s">
        <v>421</v>
      </c>
      <c r="U13" s="1007"/>
      <c r="V13" s="660"/>
      <c r="W13" s="657"/>
      <c r="X13" s="561">
        <f>X11+X12</f>
        <v>1123687</v>
      </c>
      <c r="Y13" s="659">
        <f t="shared" ref="Y13:AZ13" si="1">Y11+Y12</f>
        <v>0</v>
      </c>
      <c r="Z13" s="659"/>
      <c r="AA13" s="659">
        <f t="shared" si="1"/>
        <v>0</v>
      </c>
      <c r="AB13" s="659">
        <f t="shared" si="1"/>
        <v>40000</v>
      </c>
      <c r="AC13" s="659">
        <f t="shared" si="1"/>
        <v>0</v>
      </c>
      <c r="AD13" s="659">
        <f t="shared" si="1"/>
        <v>0</v>
      </c>
      <c r="AE13" s="659">
        <f t="shared" si="1"/>
        <v>0</v>
      </c>
      <c r="AF13" s="659">
        <f t="shared" si="1"/>
        <v>0</v>
      </c>
      <c r="AG13" s="659">
        <f t="shared" si="1"/>
        <v>0</v>
      </c>
      <c r="AH13" s="659">
        <f t="shared" si="1"/>
        <v>0</v>
      </c>
      <c r="AI13" s="659">
        <f t="shared" si="1"/>
        <v>0</v>
      </c>
      <c r="AJ13" s="661">
        <f t="shared" si="1"/>
        <v>636559</v>
      </c>
      <c r="AK13" s="659">
        <f t="shared" si="1"/>
        <v>0</v>
      </c>
      <c r="AL13" s="659">
        <f t="shared" si="1"/>
        <v>138520</v>
      </c>
      <c r="AM13" s="659">
        <f t="shared" si="1"/>
        <v>66000</v>
      </c>
      <c r="AN13" s="659">
        <f t="shared" si="1"/>
        <v>0</v>
      </c>
      <c r="AO13" s="659">
        <f t="shared" si="1"/>
        <v>0</v>
      </c>
      <c r="AP13" s="659">
        <f t="shared" si="1"/>
        <v>0</v>
      </c>
      <c r="AQ13" s="659">
        <f t="shared" si="1"/>
        <v>155340</v>
      </c>
      <c r="AR13" s="659">
        <f t="shared" si="1"/>
        <v>0</v>
      </c>
      <c r="AS13" s="659">
        <f t="shared" si="1"/>
        <v>87268</v>
      </c>
      <c r="AT13" s="659">
        <f t="shared" si="1"/>
        <v>0</v>
      </c>
      <c r="AU13" s="659">
        <f t="shared" si="1"/>
        <v>0</v>
      </c>
      <c r="AV13" s="659">
        <f t="shared" si="1"/>
        <v>0</v>
      </c>
      <c r="AW13" s="659">
        <f t="shared" si="1"/>
        <v>0</v>
      </c>
      <c r="AX13" s="659">
        <f t="shared" si="1"/>
        <v>0</v>
      </c>
      <c r="AY13" s="659">
        <f t="shared" si="1"/>
        <v>0</v>
      </c>
      <c r="AZ13" s="659">
        <f t="shared" si="1"/>
        <v>0</v>
      </c>
    </row>
    <row r="14" spans="1:52" x14ac:dyDescent="0.25">
      <c r="A14" s="1003" t="s">
        <v>422</v>
      </c>
      <c r="B14" s="1004"/>
      <c r="C14" s="1004"/>
      <c r="D14" s="1004"/>
      <c r="E14" s="1004"/>
      <c r="F14" s="1004"/>
      <c r="G14" s="1004"/>
      <c r="H14" s="1004"/>
      <c r="I14" s="1004"/>
      <c r="J14" s="1004"/>
      <c r="K14" s="1004"/>
      <c r="L14" s="1004"/>
      <c r="M14" s="1004"/>
      <c r="N14" s="1004"/>
      <c r="O14" s="1004"/>
      <c r="P14" s="1004"/>
      <c r="Q14" s="1004"/>
      <c r="R14" s="1004"/>
      <c r="S14" s="1005"/>
      <c r="T14" s="1006" t="s">
        <v>423</v>
      </c>
      <c r="U14" s="1007"/>
      <c r="V14" s="660" t="s">
        <v>424</v>
      </c>
      <c r="W14" s="657"/>
      <c r="X14" s="658">
        <f t="shared" ref="X14:X22" si="2">SUM(Y14:AZ14)</f>
        <v>3611407</v>
      </c>
      <c r="Y14" s="659"/>
      <c r="Z14" s="659"/>
      <c r="AJ14" s="560">
        <v>1006407</v>
      </c>
      <c r="AK14" s="557">
        <v>1150000</v>
      </c>
      <c r="AL14" s="557">
        <f>230000+85000</f>
        <v>315000</v>
      </c>
      <c r="AM14" s="557">
        <v>830000</v>
      </c>
      <c r="AN14" s="557"/>
      <c r="AO14" s="557"/>
      <c r="AP14" s="557"/>
      <c r="AQ14" s="557"/>
      <c r="AR14" s="557"/>
      <c r="AS14" s="557"/>
      <c r="AT14" s="557"/>
      <c r="AU14" s="557"/>
      <c r="AV14" s="557"/>
      <c r="AW14" s="557"/>
      <c r="AX14" s="557"/>
      <c r="AY14" s="557">
        <v>250000</v>
      </c>
      <c r="AZ14" s="557">
        <v>60000</v>
      </c>
    </row>
    <row r="15" spans="1:52" x14ac:dyDescent="0.25">
      <c r="A15" s="1003" t="s">
        <v>425</v>
      </c>
      <c r="B15" s="1004"/>
      <c r="C15" s="1004"/>
      <c r="D15" s="1004"/>
      <c r="E15" s="1004"/>
      <c r="F15" s="1004"/>
      <c r="G15" s="1004"/>
      <c r="H15" s="1004"/>
      <c r="I15" s="1004"/>
      <c r="J15" s="1004"/>
      <c r="K15" s="1004"/>
      <c r="L15" s="1004"/>
      <c r="M15" s="1004"/>
      <c r="N15" s="1004"/>
      <c r="O15" s="1004"/>
      <c r="P15" s="1004"/>
      <c r="Q15" s="1004"/>
      <c r="R15" s="1004"/>
      <c r="S15" s="1005"/>
      <c r="T15" s="1006" t="s">
        <v>426</v>
      </c>
      <c r="U15" s="1007"/>
      <c r="V15" s="660" t="s">
        <v>427</v>
      </c>
      <c r="W15" s="657" t="s">
        <v>428</v>
      </c>
      <c r="X15" s="658">
        <f>SUM(Y15:AZ15)</f>
        <v>19908614</v>
      </c>
      <c r="Y15" s="659"/>
      <c r="Z15" s="659"/>
      <c r="AE15" s="557">
        <v>12258614</v>
      </c>
      <c r="AG15" s="557">
        <v>1200000</v>
      </c>
      <c r="AH15" s="557">
        <v>450000</v>
      </c>
      <c r="AJ15" s="560"/>
      <c r="AK15" s="557"/>
      <c r="AL15" s="557"/>
      <c r="AM15" s="557"/>
      <c r="AN15" s="557"/>
      <c r="AO15" s="557"/>
      <c r="AP15" s="557"/>
      <c r="AQ15" s="557"/>
      <c r="AR15" s="557">
        <v>6000000</v>
      </c>
      <c r="AS15" s="557"/>
      <c r="AT15" s="557"/>
      <c r="AU15" s="557"/>
      <c r="AV15" s="557"/>
      <c r="AW15" s="557"/>
      <c r="AX15" s="557"/>
      <c r="AY15" s="557"/>
      <c r="AZ15" s="557"/>
    </row>
    <row r="16" spans="1:52" x14ac:dyDescent="0.25">
      <c r="A16" s="1003" t="s">
        <v>429</v>
      </c>
      <c r="B16" s="1004"/>
      <c r="C16" s="1004"/>
      <c r="D16" s="1004"/>
      <c r="E16" s="1004"/>
      <c r="F16" s="1004"/>
      <c r="G16" s="1004"/>
      <c r="H16" s="1004"/>
      <c r="I16" s="1004"/>
      <c r="J16" s="1004"/>
      <c r="K16" s="1004"/>
      <c r="L16" s="1004"/>
      <c r="M16" s="1004"/>
      <c r="N16" s="1004"/>
      <c r="O16" s="1004"/>
      <c r="P16" s="1004"/>
      <c r="Q16" s="1004"/>
      <c r="R16" s="1004"/>
      <c r="S16" s="1005"/>
      <c r="T16" s="1006" t="s">
        <v>430</v>
      </c>
      <c r="U16" s="1007"/>
      <c r="V16" s="660" t="s">
        <v>431</v>
      </c>
      <c r="W16" s="657"/>
      <c r="X16" s="658">
        <f t="shared" si="2"/>
        <v>2180000</v>
      </c>
      <c r="Y16" s="659"/>
      <c r="Z16" s="659"/>
      <c r="AC16" s="557">
        <v>5000</v>
      </c>
      <c r="AJ16" s="560">
        <v>0</v>
      </c>
      <c r="AK16" s="557">
        <v>1300000</v>
      </c>
      <c r="AL16" s="557">
        <v>780000</v>
      </c>
      <c r="AM16" s="557">
        <v>0</v>
      </c>
      <c r="AN16" s="557"/>
      <c r="AO16" s="557"/>
      <c r="AP16" s="557"/>
      <c r="AQ16" s="557"/>
      <c r="AR16" s="557"/>
      <c r="AS16" s="557">
        <v>45000</v>
      </c>
      <c r="AT16" s="557"/>
      <c r="AU16" s="557"/>
      <c r="AV16" s="557"/>
      <c r="AW16" s="557"/>
      <c r="AX16" s="557"/>
      <c r="AY16" s="557"/>
      <c r="AZ16" s="557">
        <v>50000</v>
      </c>
    </row>
    <row r="17" spans="1:52" x14ac:dyDescent="0.25">
      <c r="A17" s="1011" t="s">
        <v>432</v>
      </c>
      <c r="B17" s="1012"/>
      <c r="C17" s="1012"/>
      <c r="D17" s="1012"/>
      <c r="E17" s="1012"/>
      <c r="F17" s="1012"/>
      <c r="G17" s="1012"/>
      <c r="H17" s="1012"/>
      <c r="I17" s="1012"/>
      <c r="J17" s="1012"/>
      <c r="K17" s="1012"/>
      <c r="L17" s="1012"/>
      <c r="M17" s="1012"/>
      <c r="N17" s="1012"/>
      <c r="O17" s="1012"/>
      <c r="P17" s="1012"/>
      <c r="Q17" s="1012"/>
      <c r="R17" s="1012"/>
      <c r="S17" s="1013"/>
      <c r="T17" s="1006" t="s">
        <v>433</v>
      </c>
      <c r="U17" s="1007"/>
      <c r="V17" s="660"/>
      <c r="W17" s="657" t="s">
        <v>434</v>
      </c>
      <c r="X17" s="658">
        <f t="shared" si="2"/>
        <v>0</v>
      </c>
      <c r="Y17" s="659"/>
      <c r="Z17" s="659"/>
      <c r="AJ17" s="560"/>
      <c r="AK17" s="557"/>
      <c r="AL17" s="557"/>
      <c r="AM17" s="557">
        <v>0</v>
      </c>
      <c r="AN17" s="557"/>
      <c r="AO17" s="557"/>
      <c r="AP17" s="557"/>
      <c r="AQ17" s="557"/>
      <c r="AR17" s="557"/>
      <c r="AS17" s="557"/>
      <c r="AT17" s="557"/>
      <c r="AU17" s="557"/>
      <c r="AV17" s="557"/>
      <c r="AW17" s="557"/>
      <c r="AX17" s="557"/>
      <c r="AY17" s="557"/>
      <c r="AZ17" s="557"/>
    </row>
    <row r="18" spans="1:52" x14ac:dyDescent="0.25">
      <c r="A18" s="1003" t="s">
        <v>435</v>
      </c>
      <c r="B18" s="1004"/>
      <c r="C18" s="1004"/>
      <c r="D18" s="1004"/>
      <c r="E18" s="1004"/>
      <c r="F18" s="1004"/>
      <c r="G18" s="1004"/>
      <c r="H18" s="1004"/>
      <c r="I18" s="1004"/>
      <c r="J18" s="1004"/>
      <c r="K18" s="1004"/>
      <c r="L18" s="1004"/>
      <c r="M18" s="1004"/>
      <c r="N18" s="1004"/>
      <c r="O18" s="1004"/>
      <c r="P18" s="1004"/>
      <c r="Q18" s="1004"/>
      <c r="R18" s="1004"/>
      <c r="S18" s="1005"/>
      <c r="T18" s="1006" t="s">
        <v>436</v>
      </c>
      <c r="U18" s="1007"/>
      <c r="V18" s="660" t="s">
        <v>437</v>
      </c>
      <c r="W18" s="657"/>
      <c r="X18" s="658">
        <f t="shared" si="2"/>
        <v>1134500</v>
      </c>
      <c r="Y18" s="659"/>
      <c r="Z18" s="659"/>
      <c r="AC18" s="557">
        <v>314500</v>
      </c>
      <c r="AJ18" s="560">
        <v>175000</v>
      </c>
      <c r="AK18" s="557"/>
      <c r="AL18" s="557">
        <v>540000</v>
      </c>
      <c r="AM18" s="557">
        <v>100000</v>
      </c>
      <c r="AN18" s="557"/>
      <c r="AO18" s="557"/>
      <c r="AP18" s="557"/>
      <c r="AQ18" s="557"/>
      <c r="AR18" s="557"/>
      <c r="AS18" s="557"/>
      <c r="AT18" s="557">
        <v>5000</v>
      </c>
      <c r="AU18" s="557"/>
      <c r="AV18" s="557"/>
      <c r="AW18" s="557"/>
      <c r="AX18" s="557"/>
      <c r="AY18" s="557"/>
      <c r="AZ18" s="557"/>
    </row>
    <row r="19" spans="1:52" x14ac:dyDescent="0.25">
      <c r="A19" s="1003" t="s">
        <v>438</v>
      </c>
      <c r="B19" s="1004"/>
      <c r="C19" s="1004"/>
      <c r="D19" s="1004"/>
      <c r="E19" s="1004"/>
      <c r="F19" s="1004"/>
      <c r="G19" s="1004"/>
      <c r="H19" s="1004"/>
      <c r="I19" s="1004"/>
      <c r="J19" s="1004"/>
      <c r="K19" s="1004"/>
      <c r="L19" s="1004"/>
      <c r="M19" s="1004"/>
      <c r="N19" s="1004"/>
      <c r="O19" s="1004"/>
      <c r="P19" s="1004"/>
      <c r="Q19" s="1004"/>
      <c r="R19" s="1004"/>
      <c r="S19" s="1005"/>
      <c r="T19" s="1006" t="s">
        <v>439</v>
      </c>
      <c r="U19" s="1007"/>
      <c r="V19" s="660" t="s">
        <v>440</v>
      </c>
      <c r="W19" s="657" t="s">
        <v>441</v>
      </c>
      <c r="X19" s="658">
        <f t="shared" si="2"/>
        <v>0</v>
      </c>
      <c r="Y19" s="659"/>
      <c r="Z19" s="659"/>
      <c r="AC19" s="557">
        <v>0</v>
      </c>
      <c r="AJ19" s="560"/>
      <c r="AK19" s="557"/>
      <c r="AL19" s="557"/>
      <c r="AM19" s="557"/>
      <c r="AN19" s="557"/>
      <c r="AO19" s="557"/>
      <c r="AP19" s="557"/>
      <c r="AQ19" s="557"/>
      <c r="AR19" s="557"/>
      <c r="AS19" s="557"/>
      <c r="AT19" s="557"/>
      <c r="AU19" s="557"/>
      <c r="AV19" s="557"/>
      <c r="AW19" s="557"/>
      <c r="AX19" s="557"/>
      <c r="AY19" s="557"/>
      <c r="AZ19" s="557"/>
    </row>
    <row r="20" spans="1:52" x14ac:dyDescent="0.25">
      <c r="A20" s="1011" t="s">
        <v>442</v>
      </c>
      <c r="B20" s="1012"/>
      <c r="C20" s="1012"/>
      <c r="D20" s="1012"/>
      <c r="E20" s="1012"/>
      <c r="F20" s="1012"/>
      <c r="G20" s="1012"/>
      <c r="H20" s="1012"/>
      <c r="I20" s="1012"/>
      <c r="J20" s="1012"/>
      <c r="K20" s="1012"/>
      <c r="L20" s="1012"/>
      <c r="M20" s="1012"/>
      <c r="N20" s="1012"/>
      <c r="O20" s="1012"/>
      <c r="P20" s="1012"/>
      <c r="Q20" s="1012"/>
      <c r="R20" s="1012"/>
      <c r="S20" s="1013"/>
      <c r="T20" s="1006" t="s">
        <v>443</v>
      </c>
      <c r="U20" s="1007"/>
      <c r="V20" s="660"/>
      <c r="W20" s="657" t="s">
        <v>410</v>
      </c>
      <c r="X20" s="658">
        <f t="shared" si="2"/>
        <v>0</v>
      </c>
      <c r="Y20" s="659"/>
      <c r="Z20" s="659"/>
      <c r="AJ20" s="560"/>
      <c r="AK20" s="557"/>
      <c r="AL20" s="557"/>
      <c r="AM20" s="557"/>
      <c r="AN20" s="557"/>
      <c r="AO20" s="557"/>
      <c r="AP20" s="557"/>
      <c r="AQ20" s="557"/>
      <c r="AR20" s="557"/>
      <c r="AS20" s="557"/>
      <c r="AT20" s="557"/>
      <c r="AU20" s="557"/>
      <c r="AV20" s="557"/>
      <c r="AW20" s="557"/>
      <c r="AX20" s="557"/>
      <c r="AY20" s="557"/>
      <c r="AZ20" s="557"/>
    </row>
    <row r="21" spans="1:52" ht="12.75" x14ac:dyDescent="0.2">
      <c r="A21" s="1014" t="s">
        <v>444</v>
      </c>
      <c r="B21" s="1015"/>
      <c r="C21" s="1015"/>
      <c r="D21" s="1015"/>
      <c r="E21" s="1015"/>
      <c r="F21" s="1015"/>
      <c r="G21" s="1015"/>
      <c r="H21" s="1015"/>
      <c r="I21" s="1015"/>
      <c r="J21" s="1015"/>
      <c r="K21" s="1015"/>
      <c r="L21" s="1015"/>
      <c r="M21" s="1015"/>
      <c r="N21" s="1015"/>
      <c r="O21" s="1015"/>
      <c r="P21" s="1015"/>
      <c r="Q21" s="1015"/>
      <c r="R21" s="1015"/>
      <c r="S21" s="1016"/>
      <c r="T21" s="1017" t="s">
        <v>445</v>
      </c>
      <c r="U21" s="1018"/>
      <c r="V21" s="660" t="s">
        <v>446</v>
      </c>
      <c r="W21" s="562"/>
      <c r="X21" s="563">
        <f t="shared" si="2"/>
        <v>3512740</v>
      </c>
      <c r="Y21" s="563"/>
      <c r="Z21" s="563">
        <v>78740</v>
      </c>
      <c r="AA21" s="557"/>
      <c r="AB21" s="557"/>
      <c r="AE21" s="557">
        <v>40000</v>
      </c>
      <c r="AF21" s="557">
        <v>0</v>
      </c>
      <c r="AJ21" s="560">
        <v>0</v>
      </c>
      <c r="AK21" s="557"/>
      <c r="AL21" s="557">
        <v>790000</v>
      </c>
      <c r="AM21" s="557">
        <v>803000</v>
      </c>
      <c r="AN21" s="557">
        <v>1720000</v>
      </c>
      <c r="AO21" s="557"/>
      <c r="AP21" s="557"/>
      <c r="AQ21" s="557"/>
      <c r="AR21" s="557"/>
      <c r="AS21" s="557">
        <v>0</v>
      </c>
      <c r="AT21" s="557"/>
      <c r="AU21" s="557">
        <v>0</v>
      </c>
      <c r="AV21" s="557">
        <v>76000</v>
      </c>
      <c r="AW21" s="557">
        <v>5000</v>
      </c>
      <c r="AX21" s="557"/>
      <c r="AY21" s="557"/>
      <c r="AZ21" s="557"/>
    </row>
    <row r="22" spans="1:52" ht="16.5" thickBot="1" x14ac:dyDescent="0.3">
      <c r="A22" s="1003" t="s">
        <v>447</v>
      </c>
      <c r="B22" s="1004"/>
      <c r="C22" s="1004"/>
      <c r="D22" s="1004"/>
      <c r="E22" s="1004"/>
      <c r="F22" s="1004"/>
      <c r="G22" s="1004"/>
      <c r="H22" s="1004"/>
      <c r="I22" s="1004"/>
      <c r="J22" s="1004"/>
      <c r="K22" s="1004"/>
      <c r="L22" s="1004"/>
      <c r="M22" s="1004"/>
      <c r="N22" s="1004"/>
      <c r="O22" s="1004"/>
      <c r="P22" s="1004"/>
      <c r="Q22" s="1004"/>
      <c r="R22" s="1004"/>
      <c r="S22" s="1005"/>
      <c r="T22" s="1006" t="s">
        <v>448</v>
      </c>
      <c r="U22" s="1007"/>
      <c r="V22" s="660" t="s">
        <v>449</v>
      </c>
      <c r="W22" s="657" t="s">
        <v>450</v>
      </c>
      <c r="X22" s="658">
        <f t="shared" si="2"/>
        <v>10436389</v>
      </c>
      <c r="Y22" s="659">
        <v>0</v>
      </c>
      <c r="Z22" s="659"/>
      <c r="AA22" s="646">
        <v>700000</v>
      </c>
      <c r="AB22" s="646">
        <v>0</v>
      </c>
      <c r="AC22" s="557">
        <v>0</v>
      </c>
      <c r="AE22" s="557">
        <v>30000</v>
      </c>
      <c r="AF22" s="557">
        <v>0</v>
      </c>
      <c r="AI22" s="557">
        <v>1898228</v>
      </c>
      <c r="AJ22" s="560">
        <v>2256101</v>
      </c>
      <c r="AK22" s="557">
        <v>365000</v>
      </c>
      <c r="AL22" s="557">
        <f>2150000+320000+15000</f>
        <v>2485000</v>
      </c>
      <c r="AM22" s="557">
        <v>67000</v>
      </c>
      <c r="AN22" s="557"/>
      <c r="AO22" s="557">
        <v>100000</v>
      </c>
      <c r="AP22" s="557">
        <v>110520</v>
      </c>
      <c r="AQ22" s="557">
        <v>1091000</v>
      </c>
      <c r="AR22" s="557"/>
      <c r="AS22" s="557">
        <v>309000</v>
      </c>
      <c r="AT22" s="557">
        <v>145000</v>
      </c>
      <c r="AU22" s="557">
        <v>0</v>
      </c>
      <c r="AV22" s="557">
        <v>26000</v>
      </c>
      <c r="AW22" s="557">
        <v>200000</v>
      </c>
      <c r="AX22" s="557"/>
      <c r="AY22" s="557">
        <v>20000</v>
      </c>
      <c r="AZ22" s="557">
        <v>633540</v>
      </c>
    </row>
    <row r="23" spans="1:52" ht="16.5" thickBot="1" x14ac:dyDescent="0.3">
      <c r="A23" s="1008" t="s">
        <v>451</v>
      </c>
      <c r="B23" s="1009"/>
      <c r="C23" s="1009"/>
      <c r="D23" s="1009"/>
      <c r="E23" s="1009"/>
      <c r="F23" s="1009"/>
      <c r="G23" s="1009"/>
      <c r="H23" s="1009"/>
      <c r="I23" s="1009"/>
      <c r="J23" s="1009"/>
      <c r="K23" s="1009"/>
      <c r="L23" s="1009"/>
      <c r="M23" s="1009"/>
      <c r="N23" s="1009"/>
      <c r="O23" s="1009"/>
      <c r="P23" s="1009"/>
      <c r="Q23" s="1009"/>
      <c r="R23" s="1009"/>
      <c r="S23" s="1010"/>
      <c r="T23" s="1006" t="s">
        <v>452</v>
      </c>
      <c r="U23" s="1007"/>
      <c r="V23" s="660"/>
      <c r="W23" s="657"/>
      <c r="X23" s="561">
        <f>X14+X15+X16+X18+X19+X21+X22</f>
        <v>40783650</v>
      </c>
      <c r="Y23" s="659">
        <f t="shared" ref="Y23:AZ23" si="3">Y14+Y15+Y16+Y18+Y19+Y21+Y22</f>
        <v>0</v>
      </c>
      <c r="Z23" s="659">
        <f t="shared" si="3"/>
        <v>78740</v>
      </c>
      <c r="AA23" s="659">
        <f t="shared" si="3"/>
        <v>700000</v>
      </c>
      <c r="AB23" s="659">
        <f t="shared" si="3"/>
        <v>0</v>
      </c>
      <c r="AC23" s="659">
        <f t="shared" si="3"/>
        <v>319500</v>
      </c>
      <c r="AD23" s="659">
        <f t="shared" si="3"/>
        <v>0</v>
      </c>
      <c r="AE23" s="659">
        <f t="shared" si="3"/>
        <v>12328614</v>
      </c>
      <c r="AF23" s="659">
        <f t="shared" si="3"/>
        <v>0</v>
      </c>
      <c r="AG23" s="659">
        <f t="shared" si="3"/>
        <v>1200000</v>
      </c>
      <c r="AH23" s="659">
        <f t="shared" si="3"/>
        <v>450000</v>
      </c>
      <c r="AI23" s="659">
        <f t="shared" si="3"/>
        <v>1898228</v>
      </c>
      <c r="AJ23" s="661">
        <f t="shared" si="3"/>
        <v>3437508</v>
      </c>
      <c r="AK23" s="659">
        <f t="shared" si="3"/>
        <v>2815000</v>
      </c>
      <c r="AL23" s="659">
        <f>AL14+AL15+AL16+AL22+AL18+AL19+AL21</f>
        <v>4910000</v>
      </c>
      <c r="AM23" s="659">
        <f t="shared" si="3"/>
        <v>1800000</v>
      </c>
      <c r="AN23" s="659">
        <f t="shared" si="3"/>
        <v>1720000</v>
      </c>
      <c r="AO23" s="659">
        <f t="shared" si="3"/>
        <v>100000</v>
      </c>
      <c r="AP23" s="659">
        <f t="shared" si="3"/>
        <v>110520</v>
      </c>
      <c r="AQ23" s="659">
        <f t="shared" si="3"/>
        <v>1091000</v>
      </c>
      <c r="AR23" s="659">
        <f t="shared" si="3"/>
        <v>6000000</v>
      </c>
      <c r="AS23" s="659">
        <f t="shared" si="3"/>
        <v>354000</v>
      </c>
      <c r="AT23" s="659">
        <f t="shared" si="3"/>
        <v>150000</v>
      </c>
      <c r="AU23" s="659">
        <f t="shared" si="3"/>
        <v>0</v>
      </c>
      <c r="AV23" s="659">
        <f t="shared" si="3"/>
        <v>102000</v>
      </c>
      <c r="AW23" s="659">
        <f t="shared" si="3"/>
        <v>205000</v>
      </c>
      <c r="AX23" s="659">
        <f t="shared" si="3"/>
        <v>0</v>
      </c>
      <c r="AY23" s="659">
        <f t="shared" si="3"/>
        <v>270000</v>
      </c>
      <c r="AZ23" s="659">
        <f t="shared" si="3"/>
        <v>743540</v>
      </c>
    </row>
    <row r="24" spans="1:52" x14ac:dyDescent="0.25">
      <c r="A24" s="1003" t="s">
        <v>453</v>
      </c>
      <c r="B24" s="1004"/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5"/>
      <c r="T24" s="1006" t="s">
        <v>454</v>
      </c>
      <c r="U24" s="1007"/>
      <c r="V24" s="660" t="s">
        <v>455</v>
      </c>
      <c r="W24" s="657"/>
      <c r="X24" s="658">
        <f>SUM(Y24:AZ24)</f>
        <v>370000</v>
      </c>
      <c r="Y24" s="659"/>
      <c r="Z24" s="659"/>
      <c r="AJ24" s="560">
        <v>50000</v>
      </c>
      <c r="AK24" s="557"/>
      <c r="AL24" s="557">
        <v>200000</v>
      </c>
      <c r="AM24" s="557"/>
      <c r="AN24" s="557"/>
      <c r="AO24" s="557"/>
      <c r="AP24" s="557"/>
      <c r="AQ24" s="557">
        <v>120000</v>
      </c>
      <c r="AR24" s="557"/>
      <c r="AS24" s="557"/>
      <c r="AT24" s="557"/>
      <c r="AU24" s="557"/>
      <c r="AV24" s="557"/>
      <c r="AW24" s="557"/>
      <c r="AX24" s="557"/>
      <c r="AY24" s="557"/>
      <c r="AZ24" s="557"/>
    </row>
    <row r="25" spans="1:52" ht="16.5" thickBot="1" x14ac:dyDescent="0.3">
      <c r="A25" s="1014" t="s">
        <v>456</v>
      </c>
      <c r="B25" s="1015"/>
      <c r="C25" s="1015"/>
      <c r="D25" s="1015"/>
      <c r="E25" s="1015"/>
      <c r="F25" s="1015"/>
      <c r="G25" s="1015"/>
      <c r="H25" s="1015"/>
      <c r="I25" s="1015"/>
      <c r="J25" s="1015"/>
      <c r="K25" s="1015"/>
      <c r="L25" s="1015"/>
      <c r="M25" s="1015"/>
      <c r="N25" s="1015"/>
      <c r="O25" s="1015"/>
      <c r="P25" s="1015"/>
      <c r="Q25" s="1015"/>
      <c r="R25" s="1015"/>
      <c r="S25" s="1016"/>
      <c r="T25" s="1006" t="s">
        <v>457</v>
      </c>
      <c r="U25" s="1007"/>
      <c r="V25" s="660" t="s">
        <v>458</v>
      </c>
      <c r="W25" s="657"/>
      <c r="X25" s="658">
        <f>SUM(Y25:AZ25)</f>
        <v>980000</v>
      </c>
      <c r="Y25" s="659"/>
      <c r="Z25" s="659"/>
      <c r="AJ25" s="560">
        <v>0</v>
      </c>
      <c r="AK25" s="557"/>
      <c r="AL25" s="557">
        <v>470000</v>
      </c>
      <c r="AM25" s="557"/>
      <c r="AN25" s="557"/>
      <c r="AO25" s="557"/>
      <c r="AP25" s="557"/>
      <c r="AQ25" s="557"/>
      <c r="AR25" s="557"/>
      <c r="AS25" s="557">
        <v>510000</v>
      </c>
      <c r="AT25" s="557"/>
      <c r="AU25" s="557"/>
      <c r="AV25" s="557"/>
      <c r="AW25" s="557">
        <v>0</v>
      </c>
      <c r="AX25" s="557"/>
      <c r="AY25" s="557"/>
      <c r="AZ25" s="557"/>
    </row>
    <row r="26" spans="1:52" ht="16.5" thickBot="1" x14ac:dyDescent="0.3">
      <c r="A26" s="1008" t="s">
        <v>459</v>
      </c>
      <c r="B26" s="1009"/>
      <c r="C26" s="1009"/>
      <c r="D26" s="1009"/>
      <c r="E26" s="1009"/>
      <c r="F26" s="1009"/>
      <c r="G26" s="1009"/>
      <c r="H26" s="1009"/>
      <c r="I26" s="1009"/>
      <c r="J26" s="1009"/>
      <c r="K26" s="1009"/>
      <c r="L26" s="1009"/>
      <c r="M26" s="1009"/>
      <c r="N26" s="1009"/>
      <c r="O26" s="1009"/>
      <c r="P26" s="1009"/>
      <c r="Q26" s="1009"/>
      <c r="R26" s="1009"/>
      <c r="S26" s="1010"/>
      <c r="T26" s="1006" t="s">
        <v>460</v>
      </c>
      <c r="U26" s="1007"/>
      <c r="V26" s="660"/>
      <c r="W26" s="657" t="s">
        <v>461</v>
      </c>
      <c r="X26" s="561">
        <f>X24+X25</f>
        <v>1350000</v>
      </c>
      <c r="Y26" s="659">
        <f t="shared" ref="Y26:AZ26" si="4">Y24+Y25</f>
        <v>0</v>
      </c>
      <c r="Z26" s="659"/>
      <c r="AA26" s="659">
        <f t="shared" si="4"/>
        <v>0</v>
      </c>
      <c r="AB26" s="659">
        <f t="shared" si="4"/>
        <v>0</v>
      </c>
      <c r="AC26" s="659">
        <f t="shared" si="4"/>
        <v>0</v>
      </c>
      <c r="AD26" s="659">
        <f t="shared" si="4"/>
        <v>0</v>
      </c>
      <c r="AE26" s="659">
        <f t="shared" si="4"/>
        <v>0</v>
      </c>
      <c r="AF26" s="659">
        <f t="shared" si="4"/>
        <v>0</v>
      </c>
      <c r="AG26" s="659">
        <f t="shared" si="4"/>
        <v>0</v>
      </c>
      <c r="AH26" s="659">
        <f t="shared" si="4"/>
        <v>0</v>
      </c>
      <c r="AI26" s="659">
        <f t="shared" si="4"/>
        <v>0</v>
      </c>
      <c r="AJ26" s="661">
        <f t="shared" si="4"/>
        <v>50000</v>
      </c>
      <c r="AK26" s="659">
        <f t="shared" si="4"/>
        <v>0</v>
      </c>
      <c r="AL26" s="659">
        <f t="shared" si="4"/>
        <v>670000</v>
      </c>
      <c r="AM26" s="659">
        <f t="shared" si="4"/>
        <v>0</v>
      </c>
      <c r="AN26" s="659">
        <f t="shared" si="4"/>
        <v>0</v>
      </c>
      <c r="AO26" s="659">
        <f t="shared" si="4"/>
        <v>0</v>
      </c>
      <c r="AP26" s="659">
        <f t="shared" si="4"/>
        <v>0</v>
      </c>
      <c r="AQ26" s="659">
        <f t="shared" si="4"/>
        <v>120000</v>
      </c>
      <c r="AR26" s="659">
        <f t="shared" si="4"/>
        <v>0</v>
      </c>
      <c r="AS26" s="659">
        <f t="shared" si="4"/>
        <v>510000</v>
      </c>
      <c r="AT26" s="659">
        <f t="shared" si="4"/>
        <v>0</v>
      </c>
      <c r="AU26" s="659">
        <f t="shared" si="4"/>
        <v>0</v>
      </c>
      <c r="AV26" s="659">
        <f t="shared" si="4"/>
        <v>0</v>
      </c>
      <c r="AW26" s="659">
        <f t="shared" si="4"/>
        <v>0</v>
      </c>
      <c r="AX26" s="659">
        <f t="shared" si="4"/>
        <v>0</v>
      </c>
      <c r="AY26" s="659">
        <f t="shared" si="4"/>
        <v>0</v>
      </c>
      <c r="AZ26" s="659">
        <f t="shared" si="4"/>
        <v>0</v>
      </c>
    </row>
    <row r="27" spans="1:52" x14ac:dyDescent="0.25">
      <c r="A27" s="1003" t="s">
        <v>462</v>
      </c>
      <c r="B27" s="1004"/>
      <c r="C27" s="1004"/>
      <c r="D27" s="1004"/>
      <c r="E27" s="1004"/>
      <c r="F27" s="1004"/>
      <c r="G27" s="1004"/>
      <c r="H27" s="1004"/>
      <c r="I27" s="1004"/>
      <c r="J27" s="1004"/>
      <c r="K27" s="1004"/>
      <c r="L27" s="1004"/>
      <c r="M27" s="1004"/>
      <c r="N27" s="1004"/>
      <c r="O27" s="1004"/>
      <c r="P27" s="1004"/>
      <c r="Q27" s="1004"/>
      <c r="R27" s="1004"/>
      <c r="S27" s="1005"/>
      <c r="T27" s="1006" t="s">
        <v>463</v>
      </c>
      <c r="U27" s="1007"/>
      <c r="V27" s="660" t="s">
        <v>464</v>
      </c>
      <c r="W27" s="657" t="s">
        <v>465</v>
      </c>
      <c r="X27" s="658">
        <f>SUM(Y27:AZ27)</f>
        <v>11901583</v>
      </c>
      <c r="Y27" s="659">
        <v>0</v>
      </c>
      <c r="Z27" s="659">
        <v>21260</v>
      </c>
      <c r="AA27" s="646">
        <v>189000</v>
      </c>
      <c r="AB27" s="646">
        <v>0</v>
      </c>
      <c r="AC27" s="557">
        <v>124874</v>
      </c>
      <c r="AE27" s="557">
        <v>3412423</v>
      </c>
      <c r="AF27" s="557">
        <v>0</v>
      </c>
      <c r="AG27" s="557">
        <v>324000</v>
      </c>
      <c r="AH27" s="557">
        <v>121500</v>
      </c>
      <c r="AI27" s="557">
        <v>461700</v>
      </c>
      <c r="AJ27" s="560">
        <v>1355575</v>
      </c>
      <c r="AK27" s="557">
        <v>824524</v>
      </c>
      <c r="AL27" s="557">
        <f>2040577+27000+86400</f>
        <v>2153977</v>
      </c>
      <c r="AM27" s="557">
        <v>509220</v>
      </c>
      <c r="AN27" s="557"/>
      <c r="AO27" s="557">
        <v>2700</v>
      </c>
      <c r="AP27" s="557"/>
      <c r="AQ27" s="557">
        <f>50760+6750+23042</f>
        <v>80552</v>
      </c>
      <c r="AR27" s="557">
        <v>1620000</v>
      </c>
      <c r="AS27" s="557">
        <f>268380+2292</f>
        <v>270672</v>
      </c>
      <c r="AT27" s="557">
        <v>44550</v>
      </c>
      <c r="AU27" s="557">
        <v>0</v>
      </c>
      <c r="AV27" s="557"/>
      <c r="AW27" s="557">
        <v>54000</v>
      </c>
      <c r="AX27" s="557">
        <v>25000</v>
      </c>
      <c r="AY27" s="557">
        <v>72900</v>
      </c>
      <c r="AZ27" s="557">
        <v>233156</v>
      </c>
    </row>
    <row r="28" spans="1:52" x14ac:dyDescent="0.25">
      <c r="A28" s="1019" t="s">
        <v>466</v>
      </c>
      <c r="B28" s="1020"/>
      <c r="C28" s="1020"/>
      <c r="D28" s="1020"/>
      <c r="E28" s="1020"/>
      <c r="F28" s="1020"/>
      <c r="G28" s="1020"/>
      <c r="H28" s="1020"/>
      <c r="I28" s="1020"/>
      <c r="J28" s="1020"/>
      <c r="K28" s="1020"/>
      <c r="L28" s="1020"/>
      <c r="M28" s="1020"/>
      <c r="N28" s="1020"/>
      <c r="O28" s="1020"/>
      <c r="P28" s="1020"/>
      <c r="Q28" s="1020"/>
      <c r="R28" s="1020"/>
      <c r="S28" s="1021"/>
      <c r="T28" s="1006" t="s">
        <v>467</v>
      </c>
      <c r="U28" s="1007"/>
      <c r="V28" s="660" t="s">
        <v>468</v>
      </c>
      <c r="W28" s="657"/>
      <c r="X28" s="658">
        <f>SUM(Y28:AZ28)</f>
        <v>0</v>
      </c>
      <c r="Y28" s="659"/>
      <c r="Z28" s="659"/>
      <c r="AJ28" s="560">
        <v>0</v>
      </c>
      <c r="AK28" s="557"/>
      <c r="AL28" s="557"/>
      <c r="AM28" s="557"/>
      <c r="AN28" s="557"/>
      <c r="AO28" s="557"/>
      <c r="AP28" s="557"/>
      <c r="AQ28" s="557"/>
      <c r="AR28" s="557"/>
      <c r="AS28" s="557"/>
      <c r="AT28" s="557"/>
      <c r="AU28" s="557"/>
      <c r="AV28" s="557"/>
      <c r="AW28" s="557"/>
      <c r="AX28" s="557"/>
      <c r="AY28" s="557"/>
      <c r="AZ28" s="557"/>
    </row>
    <row r="29" spans="1:52" x14ac:dyDescent="0.25">
      <c r="A29" s="1008" t="s">
        <v>469</v>
      </c>
      <c r="B29" s="1009"/>
      <c r="C29" s="1009"/>
      <c r="D29" s="1009"/>
      <c r="E29" s="1009"/>
      <c r="F29" s="1009"/>
      <c r="G29" s="1009"/>
      <c r="H29" s="1009"/>
      <c r="I29" s="1009"/>
      <c r="J29" s="1009"/>
      <c r="K29" s="1009"/>
      <c r="L29" s="1009"/>
      <c r="M29" s="1009"/>
      <c r="N29" s="1009"/>
      <c r="O29" s="1009"/>
      <c r="P29" s="1009"/>
      <c r="Q29" s="1009"/>
      <c r="R29" s="1009"/>
      <c r="S29" s="1010"/>
      <c r="T29" s="1006" t="s">
        <v>470</v>
      </c>
      <c r="U29" s="1007"/>
      <c r="V29" s="660" t="s">
        <v>471</v>
      </c>
      <c r="W29" s="657"/>
      <c r="X29" s="658">
        <f>X31+X30</f>
        <v>0</v>
      </c>
      <c r="Y29" s="659">
        <f t="shared" ref="Y29:AZ29" si="5">Y31+Y30</f>
        <v>0</v>
      </c>
      <c r="Z29" s="659"/>
      <c r="AA29" s="659">
        <f t="shared" si="5"/>
        <v>0</v>
      </c>
      <c r="AB29" s="659">
        <f t="shared" si="5"/>
        <v>0</v>
      </c>
      <c r="AC29" s="659">
        <f t="shared" si="5"/>
        <v>0</v>
      </c>
      <c r="AD29" s="659">
        <f t="shared" si="5"/>
        <v>0</v>
      </c>
      <c r="AE29" s="659">
        <f t="shared" si="5"/>
        <v>0</v>
      </c>
      <c r="AF29" s="659">
        <f t="shared" si="5"/>
        <v>0</v>
      </c>
      <c r="AG29" s="659">
        <f t="shared" si="5"/>
        <v>0</v>
      </c>
      <c r="AH29" s="659">
        <f t="shared" si="5"/>
        <v>0</v>
      </c>
      <c r="AI29" s="659">
        <f t="shared" si="5"/>
        <v>0</v>
      </c>
      <c r="AJ29" s="661">
        <f t="shared" si="5"/>
        <v>0</v>
      </c>
      <c r="AK29" s="659">
        <f t="shared" si="5"/>
        <v>0</v>
      </c>
      <c r="AL29" s="659">
        <f t="shared" si="5"/>
        <v>0</v>
      </c>
      <c r="AM29" s="659">
        <f t="shared" si="5"/>
        <v>0</v>
      </c>
      <c r="AN29" s="659">
        <f t="shared" si="5"/>
        <v>0</v>
      </c>
      <c r="AO29" s="659">
        <f t="shared" si="5"/>
        <v>0</v>
      </c>
      <c r="AP29" s="659">
        <f t="shared" si="5"/>
        <v>0</v>
      </c>
      <c r="AQ29" s="659">
        <f t="shared" si="5"/>
        <v>0</v>
      </c>
      <c r="AR29" s="659">
        <f t="shared" si="5"/>
        <v>0</v>
      </c>
      <c r="AS29" s="659">
        <f t="shared" si="5"/>
        <v>0</v>
      </c>
      <c r="AT29" s="659">
        <f t="shared" si="5"/>
        <v>0</v>
      </c>
      <c r="AU29" s="659">
        <f t="shared" si="5"/>
        <v>0</v>
      </c>
      <c r="AV29" s="659">
        <f t="shared" si="5"/>
        <v>0</v>
      </c>
      <c r="AW29" s="659">
        <f t="shared" si="5"/>
        <v>0</v>
      </c>
      <c r="AX29" s="659">
        <f t="shared" si="5"/>
        <v>0</v>
      </c>
      <c r="AY29" s="659">
        <f t="shared" si="5"/>
        <v>0</v>
      </c>
      <c r="AZ29" s="659">
        <f t="shared" si="5"/>
        <v>0</v>
      </c>
    </row>
    <row r="30" spans="1:52" x14ac:dyDescent="0.25">
      <c r="A30" s="1011" t="s">
        <v>472</v>
      </c>
      <c r="B30" s="1012"/>
      <c r="C30" s="1012"/>
      <c r="D30" s="1012"/>
      <c r="E30" s="1012"/>
      <c r="F30" s="1012"/>
      <c r="G30" s="1012"/>
      <c r="H30" s="1012"/>
      <c r="I30" s="1012"/>
      <c r="J30" s="1012"/>
      <c r="K30" s="1012"/>
      <c r="L30" s="1012"/>
      <c r="M30" s="1012"/>
      <c r="N30" s="1012"/>
      <c r="O30" s="1012"/>
      <c r="P30" s="1012"/>
      <c r="Q30" s="1012"/>
      <c r="R30" s="1012"/>
      <c r="S30" s="1013"/>
      <c r="T30" s="1006" t="s">
        <v>473</v>
      </c>
      <c r="U30" s="1007"/>
      <c r="V30" s="660" t="s">
        <v>471</v>
      </c>
      <c r="W30" s="657" t="s">
        <v>474</v>
      </c>
      <c r="X30" s="658">
        <f>SUM(Y30:AZ30)</f>
        <v>0</v>
      </c>
      <c r="Y30" s="659"/>
      <c r="Z30" s="659"/>
      <c r="AJ30" s="560"/>
      <c r="AK30" s="557"/>
      <c r="AL30" s="557"/>
      <c r="AM30" s="557"/>
      <c r="AN30" s="557"/>
      <c r="AO30" s="557"/>
      <c r="AP30" s="557"/>
      <c r="AQ30" s="557"/>
      <c r="AR30" s="557"/>
      <c r="AS30" s="557"/>
      <c r="AT30" s="557"/>
      <c r="AU30" s="557"/>
      <c r="AV30" s="557"/>
      <c r="AW30" s="557"/>
      <c r="AX30" s="557"/>
      <c r="AY30" s="557"/>
      <c r="AZ30" s="557"/>
    </row>
    <row r="31" spans="1:52" x14ac:dyDescent="0.25">
      <c r="A31" s="1011" t="s">
        <v>475</v>
      </c>
      <c r="B31" s="1012"/>
      <c r="C31" s="1012"/>
      <c r="D31" s="1012"/>
      <c r="E31" s="1012"/>
      <c r="F31" s="1012"/>
      <c r="G31" s="1012"/>
      <c r="H31" s="1012"/>
      <c r="I31" s="1012"/>
      <c r="J31" s="1012"/>
      <c r="K31" s="1012"/>
      <c r="L31" s="1012"/>
      <c r="M31" s="1012"/>
      <c r="N31" s="1012"/>
      <c r="O31" s="1012"/>
      <c r="P31" s="1012"/>
      <c r="Q31" s="1012"/>
      <c r="R31" s="1012"/>
      <c r="S31" s="1013"/>
      <c r="T31" s="1006" t="s">
        <v>476</v>
      </c>
      <c r="U31" s="1007"/>
      <c r="V31" s="660" t="s">
        <v>471</v>
      </c>
      <c r="W31" s="657" t="s">
        <v>477</v>
      </c>
      <c r="X31" s="658">
        <f>SUM(Y31:AZ31)</f>
        <v>0</v>
      </c>
      <c r="Y31" s="659"/>
      <c r="Z31" s="659"/>
      <c r="AJ31" s="560"/>
      <c r="AK31" s="557"/>
      <c r="AL31" s="557"/>
      <c r="AM31" s="557"/>
      <c r="AN31" s="557"/>
      <c r="AO31" s="557"/>
      <c r="AP31" s="557"/>
      <c r="AQ31" s="557"/>
      <c r="AR31" s="557"/>
      <c r="AS31" s="557"/>
      <c r="AT31" s="557"/>
      <c r="AU31" s="557"/>
      <c r="AV31" s="557"/>
      <c r="AW31" s="557"/>
      <c r="AX31" s="557"/>
      <c r="AY31" s="557"/>
      <c r="AZ31" s="557"/>
    </row>
    <row r="32" spans="1:52" x14ac:dyDescent="0.25">
      <c r="A32" s="1008" t="s">
        <v>478</v>
      </c>
      <c r="B32" s="1009"/>
      <c r="C32" s="1009"/>
      <c r="D32" s="1009"/>
      <c r="E32" s="1009"/>
      <c r="F32" s="1009"/>
      <c r="G32" s="1009"/>
      <c r="H32" s="1009"/>
      <c r="I32" s="1009"/>
      <c r="J32" s="1009"/>
      <c r="K32" s="1009"/>
      <c r="L32" s="1009"/>
      <c r="M32" s="1009"/>
      <c r="N32" s="1009"/>
      <c r="O32" s="1009"/>
      <c r="P32" s="1009"/>
      <c r="Q32" s="1009"/>
      <c r="R32" s="1009"/>
      <c r="S32" s="1010"/>
      <c r="T32" s="1006" t="s">
        <v>479</v>
      </c>
      <c r="U32" s="1007"/>
      <c r="V32" s="660" t="s">
        <v>480</v>
      </c>
      <c r="W32" s="657"/>
      <c r="X32" s="658">
        <f>X35+X34+X33</f>
        <v>0</v>
      </c>
      <c r="Y32" s="659">
        <f t="shared" ref="Y32:AZ32" si="6">Y35+Y34+Y33</f>
        <v>0</v>
      </c>
      <c r="Z32" s="659"/>
      <c r="AA32" s="659">
        <f t="shared" si="6"/>
        <v>0</v>
      </c>
      <c r="AB32" s="659">
        <f t="shared" si="6"/>
        <v>0</v>
      </c>
      <c r="AC32" s="659">
        <f t="shared" si="6"/>
        <v>0</v>
      </c>
      <c r="AD32" s="659">
        <f t="shared" si="6"/>
        <v>0</v>
      </c>
      <c r="AE32" s="659">
        <f t="shared" si="6"/>
        <v>0</v>
      </c>
      <c r="AF32" s="659">
        <f t="shared" si="6"/>
        <v>0</v>
      </c>
      <c r="AG32" s="659">
        <f t="shared" si="6"/>
        <v>0</v>
      </c>
      <c r="AH32" s="659">
        <f t="shared" si="6"/>
        <v>0</v>
      </c>
      <c r="AI32" s="659">
        <f t="shared" si="6"/>
        <v>0</v>
      </c>
      <c r="AJ32" s="661">
        <f t="shared" si="6"/>
        <v>0</v>
      </c>
      <c r="AK32" s="659">
        <f t="shared" si="6"/>
        <v>0</v>
      </c>
      <c r="AL32" s="659">
        <f t="shared" si="6"/>
        <v>0</v>
      </c>
      <c r="AM32" s="659">
        <f t="shared" si="6"/>
        <v>0</v>
      </c>
      <c r="AN32" s="659">
        <f t="shared" si="6"/>
        <v>0</v>
      </c>
      <c r="AO32" s="659">
        <f t="shared" si="6"/>
        <v>0</v>
      </c>
      <c r="AP32" s="659">
        <f t="shared" si="6"/>
        <v>0</v>
      </c>
      <c r="AQ32" s="659">
        <f t="shared" si="6"/>
        <v>0</v>
      </c>
      <c r="AR32" s="659">
        <f t="shared" si="6"/>
        <v>0</v>
      </c>
      <c r="AS32" s="659">
        <f t="shared" si="6"/>
        <v>0</v>
      </c>
      <c r="AT32" s="659">
        <f t="shared" si="6"/>
        <v>0</v>
      </c>
      <c r="AU32" s="659">
        <f t="shared" si="6"/>
        <v>0</v>
      </c>
      <c r="AV32" s="659">
        <f t="shared" si="6"/>
        <v>0</v>
      </c>
      <c r="AW32" s="659">
        <f t="shared" si="6"/>
        <v>0</v>
      </c>
      <c r="AX32" s="659">
        <f t="shared" si="6"/>
        <v>0</v>
      </c>
      <c r="AY32" s="659">
        <f t="shared" si="6"/>
        <v>0</v>
      </c>
      <c r="AZ32" s="659">
        <f t="shared" si="6"/>
        <v>0</v>
      </c>
    </row>
    <row r="33" spans="1:52" x14ac:dyDescent="0.25">
      <c r="A33" s="1011" t="s">
        <v>481</v>
      </c>
      <c r="B33" s="1012"/>
      <c r="C33" s="1012"/>
      <c r="D33" s="1012"/>
      <c r="E33" s="1012"/>
      <c r="F33" s="1012"/>
      <c r="G33" s="1012"/>
      <c r="H33" s="1012"/>
      <c r="I33" s="1012"/>
      <c r="J33" s="1012"/>
      <c r="K33" s="1012"/>
      <c r="L33" s="1012"/>
      <c r="M33" s="1012"/>
      <c r="N33" s="1012"/>
      <c r="O33" s="1012"/>
      <c r="P33" s="1012"/>
      <c r="Q33" s="1012"/>
      <c r="R33" s="1012"/>
      <c r="S33" s="1013"/>
      <c r="T33" s="1006" t="s">
        <v>482</v>
      </c>
      <c r="U33" s="1007"/>
      <c r="V33" s="660" t="s">
        <v>480</v>
      </c>
      <c r="W33" s="657" t="s">
        <v>483</v>
      </c>
      <c r="X33" s="658">
        <f>SUM(Y33:AZ33)</f>
        <v>0</v>
      </c>
      <c r="Y33" s="659"/>
      <c r="Z33" s="659"/>
      <c r="AJ33" s="560"/>
      <c r="AK33" s="557"/>
      <c r="AL33" s="557"/>
      <c r="AM33" s="557"/>
      <c r="AN33" s="557"/>
      <c r="AO33" s="557"/>
      <c r="AP33" s="557"/>
      <c r="AQ33" s="557"/>
      <c r="AR33" s="557"/>
      <c r="AS33" s="557"/>
      <c r="AT33" s="557"/>
      <c r="AU33" s="557"/>
      <c r="AV33" s="557"/>
      <c r="AW33" s="557"/>
      <c r="AX33" s="557"/>
      <c r="AY33" s="557"/>
      <c r="AZ33" s="557"/>
    </row>
    <row r="34" spans="1:52" x14ac:dyDescent="0.25">
      <c r="A34" s="1011" t="s">
        <v>484</v>
      </c>
      <c r="B34" s="1012"/>
      <c r="C34" s="1012"/>
      <c r="D34" s="1012"/>
      <c r="E34" s="1012"/>
      <c r="F34" s="1012"/>
      <c r="G34" s="1012"/>
      <c r="H34" s="1012"/>
      <c r="I34" s="1012"/>
      <c r="J34" s="1012"/>
      <c r="K34" s="1012"/>
      <c r="L34" s="1012"/>
      <c r="M34" s="1012"/>
      <c r="N34" s="1012"/>
      <c r="O34" s="1012"/>
      <c r="P34" s="1012"/>
      <c r="Q34" s="1012"/>
      <c r="R34" s="1012"/>
      <c r="S34" s="1013"/>
      <c r="T34" s="1006" t="s">
        <v>485</v>
      </c>
      <c r="U34" s="1007"/>
      <c r="V34" s="660" t="s">
        <v>480</v>
      </c>
      <c r="W34" s="657" t="s">
        <v>486</v>
      </c>
      <c r="X34" s="658">
        <f>SUM(Y34:AZ34)</f>
        <v>0</v>
      </c>
      <c r="Y34" s="659"/>
      <c r="Z34" s="659"/>
      <c r="AJ34" s="560"/>
      <c r="AK34" s="557"/>
      <c r="AL34" s="557"/>
      <c r="AM34" s="557"/>
      <c r="AN34" s="557"/>
      <c r="AO34" s="557"/>
      <c r="AP34" s="557"/>
      <c r="AQ34" s="557"/>
      <c r="AR34" s="557"/>
      <c r="AS34" s="557"/>
      <c r="AT34" s="557"/>
      <c r="AU34" s="557"/>
      <c r="AV34" s="557"/>
      <c r="AW34" s="557"/>
      <c r="AX34" s="557"/>
      <c r="AY34" s="557"/>
      <c r="AZ34" s="557"/>
    </row>
    <row r="35" spans="1:52" x14ac:dyDescent="0.25">
      <c r="A35" s="1011" t="s">
        <v>487</v>
      </c>
      <c r="B35" s="1012"/>
      <c r="C35" s="1012"/>
      <c r="D35" s="1012"/>
      <c r="E35" s="1012"/>
      <c r="F35" s="1012"/>
      <c r="G35" s="1012"/>
      <c r="H35" s="1012"/>
      <c r="I35" s="1012"/>
      <c r="J35" s="1012"/>
      <c r="K35" s="1012"/>
      <c r="L35" s="1012"/>
      <c r="M35" s="1012"/>
      <c r="N35" s="1012"/>
      <c r="O35" s="1012"/>
      <c r="P35" s="1012"/>
      <c r="Q35" s="1012"/>
      <c r="R35" s="1012"/>
      <c r="S35" s="1013"/>
      <c r="T35" s="1006" t="s">
        <v>488</v>
      </c>
      <c r="U35" s="1007"/>
      <c r="V35" s="660" t="s">
        <v>480</v>
      </c>
      <c r="W35" s="657" t="s">
        <v>489</v>
      </c>
      <c r="X35" s="658">
        <f>SUM(Y35:AZ35)</f>
        <v>0</v>
      </c>
      <c r="Y35" s="659"/>
      <c r="Z35" s="659"/>
      <c r="AJ35" s="560"/>
      <c r="AK35" s="557"/>
      <c r="AL35" s="557"/>
      <c r="AM35" s="557"/>
      <c r="AN35" s="557"/>
      <c r="AO35" s="557"/>
      <c r="AP35" s="557"/>
      <c r="AQ35" s="557"/>
      <c r="AR35" s="557"/>
      <c r="AS35" s="557"/>
      <c r="AT35" s="557"/>
      <c r="AU35" s="557"/>
      <c r="AV35" s="557"/>
      <c r="AW35" s="557"/>
      <c r="AX35" s="557"/>
      <c r="AY35" s="557"/>
      <c r="AZ35" s="557"/>
    </row>
    <row r="36" spans="1:52" x14ac:dyDescent="0.25">
      <c r="A36" s="1003" t="s">
        <v>490</v>
      </c>
      <c r="B36" s="1004"/>
      <c r="C36" s="1004"/>
      <c r="D36" s="1004"/>
      <c r="E36" s="1004"/>
      <c r="F36" s="1004"/>
      <c r="G36" s="1004"/>
      <c r="H36" s="1004"/>
      <c r="I36" s="1004"/>
      <c r="J36" s="1004"/>
      <c r="K36" s="1004"/>
      <c r="L36" s="1004"/>
      <c r="M36" s="1004"/>
      <c r="N36" s="1004"/>
      <c r="O36" s="1004"/>
      <c r="P36" s="1004"/>
      <c r="Q36" s="1004"/>
      <c r="R36" s="1004"/>
      <c r="S36" s="1005"/>
      <c r="T36" s="1006" t="s">
        <v>491</v>
      </c>
      <c r="U36" s="1007"/>
      <c r="V36" s="660" t="s">
        <v>492</v>
      </c>
      <c r="W36" s="657"/>
      <c r="X36" s="658">
        <f>SUM(Y36:AZ36)</f>
        <v>754000</v>
      </c>
      <c r="Y36" s="659"/>
      <c r="Z36" s="659"/>
      <c r="AD36" s="557">
        <v>140000</v>
      </c>
      <c r="AI36" s="557">
        <v>32000</v>
      </c>
      <c r="AJ36" s="560">
        <v>255000</v>
      </c>
      <c r="AK36" s="557"/>
      <c r="AL36" s="557">
        <v>300000</v>
      </c>
      <c r="AM36" s="557"/>
      <c r="AN36" s="557"/>
      <c r="AO36" s="557"/>
      <c r="AP36" s="557"/>
      <c r="AQ36" s="557">
        <v>0</v>
      </c>
      <c r="AR36" s="557"/>
      <c r="AS36" s="557">
        <v>25000</v>
      </c>
      <c r="AT36" s="557">
        <v>2000</v>
      </c>
      <c r="AU36" s="557"/>
      <c r="AV36" s="557"/>
      <c r="AW36" s="557"/>
      <c r="AX36" s="557"/>
      <c r="AY36" s="557"/>
      <c r="AZ36" s="557"/>
    </row>
    <row r="37" spans="1:52" x14ac:dyDescent="0.25">
      <c r="A37" s="1008" t="s">
        <v>493</v>
      </c>
      <c r="B37" s="1009"/>
      <c r="C37" s="1009"/>
      <c r="D37" s="1009"/>
      <c r="E37" s="1009"/>
      <c r="F37" s="1009"/>
      <c r="G37" s="1009"/>
      <c r="H37" s="1009"/>
      <c r="I37" s="1009"/>
      <c r="J37" s="1009"/>
      <c r="K37" s="1009"/>
      <c r="L37" s="1009"/>
      <c r="M37" s="1009"/>
      <c r="N37" s="1009"/>
      <c r="O37" s="1009"/>
      <c r="P37" s="1009"/>
      <c r="Q37" s="1009"/>
      <c r="R37" s="1009"/>
      <c r="S37" s="1010"/>
      <c r="T37" s="1006" t="s">
        <v>494</v>
      </c>
      <c r="U37" s="1007"/>
      <c r="V37" s="660"/>
      <c r="W37" s="657"/>
      <c r="X37" s="658">
        <f>X27+X28+X29+X32+X36</f>
        <v>12655583</v>
      </c>
      <c r="Y37" s="659">
        <f t="shared" ref="Y37:AZ37" si="7">Y27+Y28+Y29+Y32+Y36</f>
        <v>0</v>
      </c>
      <c r="Z37" s="659">
        <f t="shared" si="7"/>
        <v>21260</v>
      </c>
      <c r="AA37" s="659">
        <f t="shared" si="7"/>
        <v>189000</v>
      </c>
      <c r="AB37" s="659">
        <f t="shared" si="7"/>
        <v>0</v>
      </c>
      <c r="AC37" s="659">
        <f t="shared" si="7"/>
        <v>124874</v>
      </c>
      <c r="AD37" s="659">
        <f t="shared" si="7"/>
        <v>140000</v>
      </c>
      <c r="AE37" s="659">
        <f t="shared" si="7"/>
        <v>3412423</v>
      </c>
      <c r="AF37" s="659">
        <f t="shared" si="7"/>
        <v>0</v>
      </c>
      <c r="AG37" s="659">
        <f t="shared" si="7"/>
        <v>324000</v>
      </c>
      <c r="AH37" s="659">
        <f t="shared" si="7"/>
        <v>121500</v>
      </c>
      <c r="AI37" s="659">
        <f t="shared" si="7"/>
        <v>493700</v>
      </c>
      <c r="AJ37" s="661">
        <f t="shared" si="7"/>
        <v>1610575</v>
      </c>
      <c r="AK37" s="659">
        <f t="shared" si="7"/>
        <v>824524</v>
      </c>
      <c r="AL37" s="659">
        <f t="shared" si="7"/>
        <v>2453977</v>
      </c>
      <c r="AM37" s="659">
        <f t="shared" si="7"/>
        <v>509220</v>
      </c>
      <c r="AN37" s="659">
        <f t="shared" si="7"/>
        <v>0</v>
      </c>
      <c r="AO37" s="659">
        <f t="shared" si="7"/>
        <v>2700</v>
      </c>
      <c r="AP37" s="659">
        <f t="shared" si="7"/>
        <v>0</v>
      </c>
      <c r="AQ37" s="659">
        <f t="shared" si="7"/>
        <v>80552</v>
      </c>
      <c r="AR37" s="659">
        <f t="shared" si="7"/>
        <v>1620000</v>
      </c>
      <c r="AS37" s="659">
        <f t="shared" si="7"/>
        <v>295672</v>
      </c>
      <c r="AT37" s="659">
        <f t="shared" si="7"/>
        <v>46550</v>
      </c>
      <c r="AU37" s="659">
        <f t="shared" si="7"/>
        <v>0</v>
      </c>
      <c r="AV37" s="659">
        <f t="shared" si="7"/>
        <v>0</v>
      </c>
      <c r="AW37" s="659">
        <f t="shared" si="7"/>
        <v>54000</v>
      </c>
      <c r="AX37" s="659">
        <f t="shared" si="7"/>
        <v>25000</v>
      </c>
      <c r="AY37" s="659">
        <f t="shared" si="7"/>
        <v>72900</v>
      </c>
      <c r="AZ37" s="659">
        <f t="shared" si="7"/>
        <v>233156</v>
      </c>
    </row>
    <row r="38" spans="1:52" x14ac:dyDescent="0.25">
      <c r="A38" s="1008" t="s">
        <v>495</v>
      </c>
      <c r="B38" s="1009"/>
      <c r="C38" s="1009"/>
      <c r="D38" s="1009"/>
      <c r="E38" s="1009"/>
      <c r="F38" s="1009"/>
      <c r="G38" s="1009"/>
      <c r="H38" s="1009"/>
      <c r="I38" s="1009"/>
      <c r="J38" s="1009"/>
      <c r="K38" s="1009"/>
      <c r="L38" s="1009"/>
      <c r="M38" s="1009"/>
      <c r="N38" s="1009"/>
      <c r="O38" s="1009"/>
      <c r="P38" s="1009"/>
      <c r="Q38" s="1009"/>
      <c r="R38" s="1009"/>
      <c r="S38" s="1010"/>
      <c r="T38" s="1006" t="s">
        <v>496</v>
      </c>
      <c r="U38" s="1007"/>
      <c r="V38" s="660"/>
      <c r="W38" s="657"/>
      <c r="X38" s="658">
        <f>X10+X13+X23+X26+X37</f>
        <v>61223460</v>
      </c>
      <c r="Y38" s="659">
        <f t="shared" ref="Y38:AY38" si="8">Y10+Y13+Y23+Y26+Y37</f>
        <v>0</v>
      </c>
      <c r="Z38" s="659">
        <f t="shared" si="8"/>
        <v>100000</v>
      </c>
      <c r="AA38" s="659">
        <f t="shared" si="8"/>
        <v>889000</v>
      </c>
      <c r="AB38" s="659">
        <f t="shared" si="8"/>
        <v>40000</v>
      </c>
      <c r="AC38" s="659">
        <f t="shared" si="8"/>
        <v>587374</v>
      </c>
      <c r="AD38" s="659">
        <f t="shared" si="8"/>
        <v>140000</v>
      </c>
      <c r="AE38" s="659">
        <f t="shared" si="8"/>
        <v>16051037</v>
      </c>
      <c r="AF38" s="659">
        <f t="shared" si="8"/>
        <v>0</v>
      </c>
      <c r="AG38" s="659">
        <f t="shared" si="8"/>
        <v>1524000</v>
      </c>
      <c r="AH38" s="659">
        <f t="shared" si="8"/>
        <v>571500</v>
      </c>
      <c r="AI38" s="659">
        <f t="shared" si="8"/>
        <v>2601928</v>
      </c>
      <c r="AJ38" s="661">
        <f t="shared" si="8"/>
        <v>7061013</v>
      </c>
      <c r="AK38" s="659">
        <f t="shared" si="8"/>
        <v>3639524</v>
      </c>
      <c r="AL38" s="659">
        <f t="shared" si="8"/>
        <v>11136666</v>
      </c>
      <c r="AM38" s="659">
        <f t="shared" si="8"/>
        <v>2395220</v>
      </c>
      <c r="AN38" s="659">
        <f t="shared" si="8"/>
        <v>1720000</v>
      </c>
      <c r="AO38" s="659">
        <f t="shared" si="8"/>
        <v>102700</v>
      </c>
      <c r="AP38" s="659">
        <f t="shared" si="8"/>
        <v>110520</v>
      </c>
      <c r="AQ38" s="659">
        <f t="shared" si="8"/>
        <v>1498892</v>
      </c>
      <c r="AR38" s="659">
        <f t="shared" si="8"/>
        <v>7620000</v>
      </c>
      <c r="AS38" s="659">
        <f t="shared" si="8"/>
        <v>1306940</v>
      </c>
      <c r="AT38" s="659">
        <f t="shared" si="8"/>
        <v>211550</v>
      </c>
      <c r="AU38" s="659">
        <f t="shared" si="8"/>
        <v>0</v>
      </c>
      <c r="AV38" s="659">
        <f t="shared" si="8"/>
        <v>102000</v>
      </c>
      <c r="AW38" s="659">
        <f t="shared" si="8"/>
        <v>259000</v>
      </c>
      <c r="AX38" s="659">
        <f t="shared" si="8"/>
        <v>115000</v>
      </c>
      <c r="AY38" s="659">
        <f t="shared" si="8"/>
        <v>342900</v>
      </c>
      <c r="AZ38" s="659">
        <f>AZ37+AZ23+AZ10</f>
        <v>1096696</v>
      </c>
    </row>
    <row r="39" spans="1:52" x14ac:dyDescent="0.25">
      <c r="X39" s="605">
        <f>SUM(Y38:AZ38)</f>
        <v>61223460</v>
      </c>
    </row>
  </sheetData>
  <mergeCells count="67">
    <mergeCell ref="A38:S38"/>
    <mergeCell ref="T38:U38"/>
    <mergeCell ref="A35:S35"/>
    <mergeCell ref="T35:U35"/>
    <mergeCell ref="A36:S36"/>
    <mergeCell ref="T36:U36"/>
    <mergeCell ref="A37:S37"/>
    <mergeCell ref="T37:U37"/>
    <mergeCell ref="A32:S32"/>
    <mergeCell ref="T32:U32"/>
    <mergeCell ref="A33:S33"/>
    <mergeCell ref="T33:U33"/>
    <mergeCell ref="A34:S34"/>
    <mergeCell ref="T34:U34"/>
    <mergeCell ref="A29:S29"/>
    <mergeCell ref="T29:U29"/>
    <mergeCell ref="A30:S30"/>
    <mergeCell ref="T30:U30"/>
    <mergeCell ref="A31:S31"/>
    <mergeCell ref="T31:U31"/>
    <mergeCell ref="A26:S26"/>
    <mergeCell ref="T26:U26"/>
    <mergeCell ref="A27:S27"/>
    <mergeCell ref="T27:U27"/>
    <mergeCell ref="A28:S28"/>
    <mergeCell ref="T28:U28"/>
    <mergeCell ref="A23:S23"/>
    <mergeCell ref="T23:U23"/>
    <mergeCell ref="A24:S24"/>
    <mergeCell ref="T24:U24"/>
    <mergeCell ref="A25:S25"/>
    <mergeCell ref="T25:U25"/>
    <mergeCell ref="A20:S20"/>
    <mergeCell ref="T20:U20"/>
    <mergeCell ref="A21:S21"/>
    <mergeCell ref="T21:U21"/>
    <mergeCell ref="A22:S22"/>
    <mergeCell ref="T22:U22"/>
    <mergeCell ref="A17:S17"/>
    <mergeCell ref="T17:U17"/>
    <mergeCell ref="A18:S18"/>
    <mergeCell ref="T18:U18"/>
    <mergeCell ref="A19:S19"/>
    <mergeCell ref="T19:U19"/>
    <mergeCell ref="A14:S14"/>
    <mergeCell ref="T14:U14"/>
    <mergeCell ref="A15:S15"/>
    <mergeCell ref="T15:U15"/>
    <mergeCell ref="A16:S16"/>
    <mergeCell ref="T16:U16"/>
    <mergeCell ref="A11:S11"/>
    <mergeCell ref="T11:U11"/>
    <mergeCell ref="A12:S12"/>
    <mergeCell ref="T12:U12"/>
    <mergeCell ref="A13:S13"/>
    <mergeCell ref="T13:U13"/>
    <mergeCell ref="A8:S8"/>
    <mergeCell ref="T8:U8"/>
    <mergeCell ref="A9:S9"/>
    <mergeCell ref="T9:U9"/>
    <mergeCell ref="A10:S10"/>
    <mergeCell ref="T10:U10"/>
    <mergeCell ref="C1:R1"/>
    <mergeCell ref="A5:S6"/>
    <mergeCell ref="T5:U6"/>
    <mergeCell ref="A7:S7"/>
    <mergeCell ref="T7:U7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H24"/>
  <sheetViews>
    <sheetView topLeftCell="D1" workbookViewId="0">
      <selection activeCell="Y5" sqref="Y5:Y6"/>
    </sheetView>
  </sheetViews>
  <sheetFormatPr defaultRowHeight="12.75" x14ac:dyDescent="0.2"/>
  <cols>
    <col min="1" max="17" width="3.28515625" style="498" customWidth="1"/>
    <col min="18" max="18" width="2.85546875" style="498" customWidth="1"/>
    <col min="19" max="19" width="0.7109375" style="498" customWidth="1"/>
    <col min="20" max="20" width="2" style="498" customWidth="1"/>
    <col min="21" max="21" width="3.28515625" style="498" customWidth="1"/>
    <col min="22" max="22" width="0.85546875" style="498" customWidth="1"/>
    <col min="23" max="23" width="7.85546875" style="498" customWidth="1"/>
    <col min="24" max="24" width="4" style="498" customWidth="1"/>
    <col min="25" max="25" width="17" style="498" bestFit="1" customWidth="1"/>
    <col min="26" max="26" width="17.28515625" style="498" customWidth="1"/>
    <col min="27" max="27" width="17.85546875" style="498" customWidth="1"/>
    <col min="28" max="28" width="16.140625" style="498" customWidth="1"/>
    <col min="29" max="29" width="16" style="498" customWidth="1"/>
    <col min="30" max="30" width="15.7109375" style="498" customWidth="1"/>
    <col min="31" max="31" width="15.85546875" style="498" customWidth="1"/>
    <col min="32" max="32" width="17.28515625" style="498" customWidth="1"/>
    <col min="33" max="33" width="14" style="498" customWidth="1"/>
    <col min="34" max="34" width="16.5703125" style="498" customWidth="1"/>
    <col min="35" max="16384" width="9.140625" style="498"/>
  </cols>
  <sheetData>
    <row r="1" spans="1:34" ht="18.75" x14ac:dyDescent="0.2">
      <c r="A1" s="1061" t="s">
        <v>3</v>
      </c>
      <c r="B1" s="1061"/>
      <c r="C1" s="1061"/>
      <c r="D1" s="1061"/>
      <c r="E1" s="1061"/>
      <c r="F1" s="1061"/>
      <c r="G1" s="1061"/>
      <c r="H1" s="1061"/>
      <c r="I1" s="1061"/>
      <c r="J1" s="1061"/>
      <c r="K1" s="1061"/>
      <c r="L1" s="1061"/>
      <c r="M1" s="1061"/>
      <c r="N1" s="1061"/>
      <c r="O1" s="1061"/>
      <c r="P1" s="1061"/>
      <c r="Q1" s="1061"/>
      <c r="R1" s="1061"/>
      <c r="S1" s="1061"/>
      <c r="T1" s="1061"/>
      <c r="U1" s="1061"/>
      <c r="V1" s="1061"/>
      <c r="W1" s="1061"/>
      <c r="X1" s="1061"/>
      <c r="Y1" s="1061"/>
      <c r="Z1" s="1061"/>
      <c r="AA1" s="1061"/>
      <c r="AB1" s="1061"/>
    </row>
    <row r="2" spans="1:34" ht="15.75" x14ac:dyDescent="0.2">
      <c r="A2" s="1062" t="s">
        <v>670</v>
      </c>
      <c r="B2" s="1062"/>
      <c r="C2" s="1062"/>
      <c r="D2" s="1062"/>
      <c r="E2" s="1062"/>
      <c r="F2" s="1062"/>
      <c r="G2" s="1062"/>
      <c r="H2" s="1062"/>
      <c r="I2" s="1062"/>
      <c r="J2" s="1062"/>
      <c r="K2" s="1062"/>
      <c r="L2" s="1062"/>
      <c r="M2" s="1062"/>
      <c r="N2" s="1062"/>
      <c r="O2" s="1062"/>
      <c r="P2" s="1062"/>
      <c r="Q2" s="1062"/>
      <c r="R2" s="1062"/>
      <c r="S2" s="1062"/>
      <c r="T2" s="1062"/>
      <c r="U2" s="1062"/>
      <c r="V2" s="1062"/>
      <c r="W2" s="1062"/>
      <c r="X2" s="1062"/>
      <c r="Y2" s="1062"/>
      <c r="Z2" s="1062"/>
      <c r="AA2" s="1062"/>
      <c r="AB2" s="1062"/>
      <c r="AC2" s="1062"/>
    </row>
    <row r="3" spans="1:34" ht="15.75" x14ac:dyDescent="0.25">
      <c r="A3" s="793" t="s">
        <v>887</v>
      </c>
      <c r="B3" s="794"/>
      <c r="C3" s="794"/>
      <c r="D3" s="794"/>
      <c r="E3" s="794"/>
      <c r="F3" s="794"/>
      <c r="G3" s="794"/>
      <c r="H3" s="794"/>
      <c r="I3" s="794"/>
      <c r="J3" s="794"/>
      <c r="K3" s="794"/>
      <c r="L3" s="794"/>
      <c r="M3" s="794"/>
      <c r="N3" s="794"/>
      <c r="O3" s="794"/>
      <c r="P3" s="794"/>
      <c r="Q3" s="794"/>
      <c r="R3" s="794"/>
      <c r="S3" s="794"/>
      <c r="T3" s="794"/>
      <c r="U3" s="794"/>
      <c r="V3" s="794"/>
      <c r="W3" s="794"/>
      <c r="X3" s="794"/>
      <c r="Y3" s="794"/>
      <c r="Z3" s="794"/>
      <c r="AA3" s="794"/>
      <c r="AB3" s="794"/>
      <c r="AC3" s="794"/>
    </row>
    <row r="4" spans="1:34" ht="15.75" thickBot="1" x14ac:dyDescent="0.3">
      <c r="A4" s="617"/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/>
      <c r="X4"/>
      <c r="Y4"/>
      <c r="AG4" s="1022" t="s">
        <v>890</v>
      </c>
      <c r="AH4" s="1022"/>
    </row>
    <row r="5" spans="1:34" ht="15.75" customHeight="1" x14ac:dyDescent="0.25">
      <c r="A5" s="1063" t="s">
        <v>7</v>
      </c>
      <c r="B5" s="1064"/>
      <c r="C5" s="1064"/>
      <c r="D5" s="1064"/>
      <c r="E5" s="1064"/>
      <c r="F5" s="1064"/>
      <c r="G5" s="1064"/>
      <c r="H5" s="1064"/>
      <c r="I5" s="1064"/>
      <c r="J5" s="1064"/>
      <c r="K5" s="1064"/>
      <c r="L5" s="1064"/>
      <c r="M5" s="1064"/>
      <c r="N5" s="1064"/>
      <c r="O5" s="1064"/>
      <c r="P5" s="1064"/>
      <c r="Q5" s="1064"/>
      <c r="R5" s="1064"/>
      <c r="S5" s="1065"/>
      <c r="T5" s="1072" t="s">
        <v>6</v>
      </c>
      <c r="U5" s="1072"/>
      <c r="V5" s="1073"/>
      <c r="W5" s="517" t="s">
        <v>398</v>
      </c>
      <c r="X5" s="518"/>
      <c r="Y5" s="1076" t="s">
        <v>935</v>
      </c>
      <c r="Z5" s="519" t="s">
        <v>280</v>
      </c>
      <c r="AA5" s="1078" t="s">
        <v>671</v>
      </c>
      <c r="AB5" s="520"/>
      <c r="AC5" s="1080" t="s">
        <v>672</v>
      </c>
      <c r="AD5" s="1057" t="s">
        <v>673</v>
      </c>
      <c r="AE5" s="1059" t="s">
        <v>888</v>
      </c>
      <c r="AF5" s="1059" t="s">
        <v>674</v>
      </c>
      <c r="AG5" s="1059" t="s">
        <v>675</v>
      </c>
      <c r="AH5" s="1059" t="s">
        <v>676</v>
      </c>
    </row>
    <row r="6" spans="1:34" ht="43.5" customHeight="1" thickBot="1" x14ac:dyDescent="0.3">
      <c r="A6" s="1066"/>
      <c r="B6" s="1067"/>
      <c r="C6" s="1067"/>
      <c r="D6" s="1067"/>
      <c r="E6" s="1067"/>
      <c r="F6" s="1067"/>
      <c r="G6" s="1067"/>
      <c r="H6" s="1067"/>
      <c r="I6" s="1067"/>
      <c r="J6" s="1067"/>
      <c r="K6" s="1067"/>
      <c r="L6" s="1067"/>
      <c r="M6" s="1067"/>
      <c r="N6" s="1067"/>
      <c r="O6" s="1067"/>
      <c r="P6" s="1067"/>
      <c r="Q6" s="1067"/>
      <c r="R6" s="1067"/>
      <c r="S6" s="1068"/>
      <c r="T6" s="1074"/>
      <c r="U6" s="1074"/>
      <c r="V6" s="1075"/>
      <c r="W6" s="1082" t="s">
        <v>399</v>
      </c>
      <c r="X6" s="1083"/>
      <c r="Y6" s="1077"/>
      <c r="Z6" s="521" t="s">
        <v>677</v>
      </c>
      <c r="AA6" s="1079"/>
      <c r="AB6" s="522" t="s">
        <v>889</v>
      </c>
      <c r="AC6" s="1081"/>
      <c r="AD6" s="1058"/>
      <c r="AE6" s="1060"/>
      <c r="AF6" s="1060"/>
      <c r="AG6" s="1060"/>
      <c r="AH6" s="1060"/>
    </row>
    <row r="7" spans="1:34" ht="15.75" thickBot="1" x14ac:dyDescent="0.3">
      <c r="A7" s="1084" t="s">
        <v>678</v>
      </c>
      <c r="B7" s="1085"/>
      <c r="C7" s="1085"/>
      <c r="D7" s="1085"/>
      <c r="E7" s="1085"/>
      <c r="F7" s="1085"/>
      <c r="G7" s="1085"/>
      <c r="H7" s="1085"/>
      <c r="I7" s="1085"/>
      <c r="J7" s="1085"/>
      <c r="K7" s="1085"/>
      <c r="L7" s="1085"/>
      <c r="M7" s="1085"/>
      <c r="N7" s="1085"/>
      <c r="O7" s="1085"/>
      <c r="P7" s="1085"/>
      <c r="Q7" s="1085"/>
      <c r="R7" s="1085"/>
      <c r="S7" s="1086"/>
      <c r="T7" s="1051" t="s">
        <v>401</v>
      </c>
      <c r="U7" s="1051"/>
      <c r="V7" s="1052"/>
      <c r="W7" s="1055" t="s">
        <v>679</v>
      </c>
      <c r="X7" s="1056"/>
      <c r="Y7" s="523">
        <f>Z7+AA7+AB7+AC7+AD7+AF7+AG7+AH7+AE7</f>
        <v>32119295</v>
      </c>
      <c r="Z7" s="524"/>
      <c r="AA7" s="525">
        <f>[3]éves_bér_és_jár!K11</f>
        <v>17301400</v>
      </c>
      <c r="AB7" s="526">
        <f>[3]éves_bér_és_jár!K41+[3]éves_bér_és_jár!L41+[3]éves_bér_és_jár!M41</f>
        <v>5402135</v>
      </c>
      <c r="AC7" s="525">
        <f>[3]éves_bér_és_jár!K22</f>
        <v>4647216</v>
      </c>
      <c r="AD7" s="524">
        <f>[3]éves_bér_és_jár!K26</f>
        <v>3360600</v>
      </c>
      <c r="AE7" s="528">
        <f>[3]éves_bér_és_jár!K44</f>
        <v>0</v>
      </c>
      <c r="AF7" s="528">
        <v>1031549</v>
      </c>
      <c r="AG7" s="528"/>
      <c r="AH7" s="528">
        <v>376395</v>
      </c>
    </row>
    <row r="8" spans="1:34" ht="15" customHeight="1" x14ac:dyDescent="0.25">
      <c r="A8" s="1048" t="s">
        <v>680</v>
      </c>
      <c r="B8" s="1049"/>
      <c r="C8" s="1049"/>
      <c r="D8" s="1049"/>
      <c r="E8" s="1049"/>
      <c r="F8" s="1049"/>
      <c r="G8" s="1049"/>
      <c r="H8" s="1049"/>
      <c r="I8" s="1049"/>
      <c r="J8" s="1049"/>
      <c r="K8" s="1049"/>
      <c r="L8" s="1049"/>
      <c r="M8" s="1049"/>
      <c r="N8" s="1049"/>
      <c r="O8" s="1049"/>
      <c r="P8" s="1049"/>
      <c r="Q8" s="1049"/>
      <c r="R8" s="1049"/>
      <c r="S8" s="1050"/>
      <c r="T8" s="1051" t="s">
        <v>404</v>
      </c>
      <c r="U8" s="1051"/>
      <c r="V8" s="1052"/>
      <c r="W8" s="1055" t="s">
        <v>681</v>
      </c>
      <c r="X8" s="1056"/>
      <c r="Y8" s="523">
        <f t="shared" ref="Y8:Y19" si="0">Z8+AA8+AB8+AC8+AD8+AF8+AG8+AH8+AE8</f>
        <v>1100000</v>
      </c>
      <c r="Z8" s="527"/>
      <c r="AA8" s="529">
        <f>[3]éves_bér_és_jár!P11</f>
        <v>800000</v>
      </c>
      <c r="AB8" s="526">
        <f>[3]éves_bér_és_jár!P41</f>
        <v>100000</v>
      </c>
      <c r="AC8" s="524"/>
      <c r="AD8" s="524">
        <f>[3]éves_bér_és_jár!P26</f>
        <v>200000</v>
      </c>
      <c r="AE8" s="530"/>
      <c r="AF8" s="530"/>
      <c r="AG8" s="530">
        <f>'[4]alapadatok bér 2017'!V10</f>
        <v>0</v>
      </c>
      <c r="AH8" s="530"/>
    </row>
    <row r="9" spans="1:34" ht="15" customHeight="1" x14ac:dyDescent="0.25">
      <c r="A9" s="1048" t="s">
        <v>682</v>
      </c>
      <c r="B9" s="1049"/>
      <c r="C9" s="1049"/>
      <c r="D9" s="1049"/>
      <c r="E9" s="1049"/>
      <c r="F9" s="1049"/>
      <c r="G9" s="1049"/>
      <c r="H9" s="1049"/>
      <c r="I9" s="1049"/>
      <c r="J9" s="1049"/>
      <c r="K9" s="1049"/>
      <c r="L9" s="1049"/>
      <c r="M9" s="1049"/>
      <c r="N9" s="1049"/>
      <c r="O9" s="1049"/>
      <c r="P9" s="1049"/>
      <c r="Q9" s="1049"/>
      <c r="R9" s="1049"/>
      <c r="S9" s="1050"/>
      <c r="T9" s="1051" t="s">
        <v>408</v>
      </c>
      <c r="U9" s="1051"/>
      <c r="V9" s="1052"/>
      <c r="W9" s="1055" t="s">
        <v>683</v>
      </c>
      <c r="X9" s="1056"/>
      <c r="Y9" s="523">
        <f t="shared" si="0"/>
        <v>960000</v>
      </c>
      <c r="Z9" s="527">
        <v>0</v>
      </c>
      <c r="AA9" s="527">
        <f>[3]éves_bér_és_jár!N11</f>
        <v>672000</v>
      </c>
      <c r="AB9" s="526">
        <f>[3]éves_bér_és_jár!N41</f>
        <v>96000</v>
      </c>
      <c r="AC9" s="524"/>
      <c r="AD9" s="524">
        <f>[3]éves_bér_és_jár!N26</f>
        <v>192000</v>
      </c>
      <c r="AE9" s="530"/>
      <c r="AF9" s="530"/>
      <c r="AG9" s="530"/>
      <c r="AH9" s="530"/>
    </row>
    <row r="10" spans="1:34" ht="15" customHeight="1" x14ac:dyDescent="0.25">
      <c r="A10" s="1048" t="s">
        <v>684</v>
      </c>
      <c r="B10" s="1049"/>
      <c r="C10" s="1049"/>
      <c r="D10" s="1049"/>
      <c r="E10" s="1049"/>
      <c r="F10" s="1049"/>
      <c r="G10" s="1049"/>
      <c r="H10" s="1049"/>
      <c r="I10" s="1049"/>
      <c r="J10" s="1049"/>
      <c r="K10" s="1049"/>
      <c r="L10" s="1049"/>
      <c r="M10" s="1049"/>
      <c r="N10" s="1049"/>
      <c r="O10" s="1049"/>
      <c r="P10" s="1049"/>
      <c r="Q10" s="1049"/>
      <c r="R10" s="1049"/>
      <c r="S10" s="1050"/>
      <c r="T10" s="1051" t="s">
        <v>412</v>
      </c>
      <c r="U10" s="1051"/>
      <c r="V10" s="1052"/>
      <c r="W10" s="1055" t="s">
        <v>685</v>
      </c>
      <c r="X10" s="1056"/>
      <c r="Y10" s="523">
        <f t="shared" si="0"/>
        <v>312000</v>
      </c>
      <c r="Z10" s="527">
        <f>[3]éves_bér_és_jár!O39</f>
        <v>0</v>
      </c>
      <c r="AA10" s="527">
        <f>[3]éves_bér_és_jár!O11</f>
        <v>312000</v>
      </c>
      <c r="AB10" s="526"/>
      <c r="AC10" s="524"/>
      <c r="AD10" s="524"/>
      <c r="AE10" s="530"/>
      <c r="AF10" s="530"/>
      <c r="AG10" s="530">
        <f>'[4]alapadatok bér 2017'!T10</f>
        <v>0</v>
      </c>
      <c r="AH10" s="530"/>
    </row>
    <row r="11" spans="1:34" ht="15" customHeight="1" x14ac:dyDescent="0.25">
      <c r="A11" s="1048" t="s">
        <v>686</v>
      </c>
      <c r="B11" s="1049"/>
      <c r="C11" s="1049"/>
      <c r="D11" s="1049"/>
      <c r="E11" s="1049"/>
      <c r="F11" s="1049"/>
      <c r="G11" s="1049"/>
      <c r="H11" s="1049"/>
      <c r="I11" s="1049"/>
      <c r="J11" s="1049"/>
      <c r="K11" s="1049"/>
      <c r="L11" s="1049"/>
      <c r="M11" s="1049"/>
      <c r="N11" s="1049"/>
      <c r="O11" s="1049"/>
      <c r="P11" s="1049"/>
      <c r="Q11" s="1049"/>
      <c r="R11" s="1049"/>
      <c r="S11" s="618"/>
      <c r="T11" s="1051" t="s">
        <v>415</v>
      </c>
      <c r="U11" s="1051"/>
      <c r="V11" s="1052"/>
      <c r="W11" s="1055" t="s">
        <v>687</v>
      </c>
      <c r="X11" s="1056"/>
      <c r="Y11" s="523">
        <f t="shared" si="0"/>
        <v>400000</v>
      </c>
      <c r="Z11" s="527">
        <v>0</v>
      </c>
      <c r="AA11" s="527">
        <f>[3]éves_bér_és_jár!S11</f>
        <v>160000</v>
      </c>
      <c r="AB11" s="526">
        <f>[3]éves_bér_és_jár!S41</f>
        <v>30000</v>
      </c>
      <c r="AC11" s="524">
        <f>[3]éves_bér_és_jár!S22</f>
        <v>140000</v>
      </c>
      <c r="AD11" s="524">
        <f>[3]éves_bér_és_jár!S26</f>
        <v>70000</v>
      </c>
      <c r="AE11" s="530">
        <f>[3]éves_bér_és_jár!S44</f>
        <v>0</v>
      </c>
      <c r="AF11" s="530"/>
      <c r="AG11" s="530"/>
      <c r="AH11" s="530"/>
    </row>
    <row r="12" spans="1:34" ht="15" customHeight="1" x14ac:dyDescent="0.25">
      <c r="A12" s="1048" t="s">
        <v>688</v>
      </c>
      <c r="B12" s="1049"/>
      <c r="C12" s="1049"/>
      <c r="D12" s="1049"/>
      <c r="E12" s="1049"/>
      <c r="F12" s="1049"/>
      <c r="G12" s="1049"/>
      <c r="H12" s="1049"/>
      <c r="I12" s="1049"/>
      <c r="J12" s="1049"/>
      <c r="K12" s="1049"/>
      <c r="L12" s="1049"/>
      <c r="M12" s="1049"/>
      <c r="N12" s="1049"/>
      <c r="O12" s="1049"/>
      <c r="P12" s="1049"/>
      <c r="Q12" s="1049"/>
      <c r="R12" s="1049"/>
      <c r="S12" s="1050"/>
      <c r="T12" s="1051" t="s">
        <v>418</v>
      </c>
      <c r="U12" s="1051"/>
      <c r="V12" s="1052"/>
      <c r="W12" s="1055" t="s">
        <v>689</v>
      </c>
      <c r="X12" s="1056"/>
      <c r="Y12" s="523">
        <f t="shared" si="0"/>
        <v>11082964</v>
      </c>
      <c r="Z12" s="527">
        <v>11082964</v>
      </c>
      <c r="AA12" s="527"/>
      <c r="AB12" s="526"/>
      <c r="AC12" s="524"/>
      <c r="AD12" s="524"/>
      <c r="AE12" s="530"/>
      <c r="AF12" s="530"/>
      <c r="AG12" s="530"/>
      <c r="AH12" s="530"/>
    </row>
    <row r="13" spans="1:34" ht="15" customHeight="1" x14ac:dyDescent="0.25">
      <c r="A13" s="1048" t="s">
        <v>690</v>
      </c>
      <c r="B13" s="1049"/>
      <c r="C13" s="1049"/>
      <c r="D13" s="1049"/>
      <c r="E13" s="1049"/>
      <c r="F13" s="1049"/>
      <c r="G13" s="1049"/>
      <c r="H13" s="1049"/>
      <c r="I13" s="1049"/>
      <c r="J13" s="1049"/>
      <c r="K13" s="1049"/>
      <c r="L13" s="1049"/>
      <c r="M13" s="1049"/>
      <c r="N13" s="1049"/>
      <c r="O13" s="1049"/>
      <c r="P13" s="1049"/>
      <c r="Q13" s="1049"/>
      <c r="R13" s="1049"/>
      <c r="S13" s="1050"/>
      <c r="T13" s="1051" t="s">
        <v>421</v>
      </c>
      <c r="U13" s="1051"/>
      <c r="V13" s="1052"/>
      <c r="W13" s="1055" t="s">
        <v>691</v>
      </c>
      <c r="X13" s="1056"/>
      <c r="Y13" s="523">
        <f t="shared" si="0"/>
        <v>860000</v>
      </c>
      <c r="Z13" s="527"/>
      <c r="AA13" s="527"/>
      <c r="AB13" s="526"/>
      <c r="AC13" s="524"/>
      <c r="AD13" s="524"/>
      <c r="AE13" s="530">
        <f>[3]éves_bér_és_jár!S58</f>
        <v>0</v>
      </c>
      <c r="AF13" s="530">
        <f>660000+100000+100000</f>
        <v>860000</v>
      </c>
      <c r="AG13" s="530">
        <f>[3]éves_bér_és_jár!T62</f>
        <v>0</v>
      </c>
      <c r="AH13" s="530">
        <f>[3]éves_bér_és_jár!T76</f>
        <v>0</v>
      </c>
    </row>
    <row r="14" spans="1:34" ht="15" customHeight="1" x14ac:dyDescent="0.25">
      <c r="A14" s="1048" t="s">
        <v>692</v>
      </c>
      <c r="B14" s="1049"/>
      <c r="C14" s="1049"/>
      <c r="D14" s="1049"/>
      <c r="E14" s="1049"/>
      <c r="F14" s="1049"/>
      <c r="G14" s="1049"/>
      <c r="H14" s="1049"/>
      <c r="I14" s="1049"/>
      <c r="J14" s="1049"/>
      <c r="K14" s="1049"/>
      <c r="L14" s="1049"/>
      <c r="M14" s="1049"/>
      <c r="N14" s="1049"/>
      <c r="O14" s="1049"/>
      <c r="P14" s="1049"/>
      <c r="Q14" s="1049"/>
      <c r="R14" s="1049"/>
      <c r="S14" s="1050"/>
      <c r="T14" s="1051" t="s">
        <v>423</v>
      </c>
      <c r="U14" s="1051"/>
      <c r="V14" s="1052"/>
      <c r="W14" s="1055" t="s">
        <v>693</v>
      </c>
      <c r="X14" s="1056"/>
      <c r="Y14" s="523">
        <f t="shared" si="0"/>
        <v>646200</v>
      </c>
      <c r="Z14" s="527">
        <v>421200</v>
      </c>
      <c r="AA14" s="527"/>
      <c r="AB14" s="526">
        <v>0</v>
      </c>
      <c r="AC14" s="524"/>
      <c r="AD14" s="524"/>
      <c r="AE14" s="530">
        <f>25000*9</f>
        <v>225000</v>
      </c>
      <c r="AF14" s="530"/>
      <c r="AG14" s="530"/>
      <c r="AH14" s="530"/>
    </row>
    <row r="15" spans="1:34" ht="15.75" customHeight="1" x14ac:dyDescent="0.25">
      <c r="A15" s="1041" t="s">
        <v>694</v>
      </c>
      <c r="B15" s="1042"/>
      <c r="C15" s="1042"/>
      <c r="D15" s="1042"/>
      <c r="E15" s="1042"/>
      <c r="F15" s="1042"/>
      <c r="G15" s="1042"/>
      <c r="H15" s="1042"/>
      <c r="I15" s="1042"/>
      <c r="J15" s="1042"/>
      <c r="K15" s="1042"/>
      <c r="L15" s="1042"/>
      <c r="M15" s="1042"/>
      <c r="N15" s="1042"/>
      <c r="O15" s="1042"/>
      <c r="P15" s="1042"/>
      <c r="Q15" s="1042"/>
      <c r="R15" s="1042"/>
      <c r="S15" s="1043"/>
      <c r="T15" s="1044" t="s">
        <v>426</v>
      </c>
      <c r="U15" s="1044"/>
      <c r="V15" s="1045"/>
      <c r="W15" s="1046"/>
      <c r="X15" s="1047"/>
      <c r="Y15" s="531">
        <f t="shared" si="0"/>
        <v>47480459</v>
      </c>
      <c r="Z15" s="532">
        <f>Z7+Z8+Z9+Z10+Z11+Z12+Z13+Z14</f>
        <v>11504164</v>
      </c>
      <c r="AA15" s="532">
        <f>AA7+AA8+AA9+AA10+AA11+AA12+AA13+AA14</f>
        <v>19245400</v>
      </c>
      <c r="AB15" s="532">
        <f t="shared" ref="AB15:AH15" si="1">AB7+AB8+AB9+AB10+AB11+AB12+AB13+AB14</f>
        <v>5628135</v>
      </c>
      <c r="AC15" s="532">
        <f t="shared" si="1"/>
        <v>4787216</v>
      </c>
      <c r="AD15" s="532">
        <f t="shared" si="1"/>
        <v>3822600</v>
      </c>
      <c r="AE15" s="532">
        <f t="shared" si="1"/>
        <v>225000</v>
      </c>
      <c r="AF15" s="532">
        <f t="shared" si="1"/>
        <v>1891549</v>
      </c>
      <c r="AG15" s="532">
        <f t="shared" si="1"/>
        <v>0</v>
      </c>
      <c r="AH15" s="533">
        <f t="shared" si="1"/>
        <v>376395</v>
      </c>
    </row>
    <row r="16" spans="1:34" ht="15.75" customHeight="1" x14ac:dyDescent="0.25">
      <c r="A16" s="1048" t="s">
        <v>695</v>
      </c>
      <c r="B16" s="1049"/>
      <c r="C16" s="1049"/>
      <c r="D16" s="1049"/>
      <c r="E16" s="1049"/>
      <c r="F16" s="1049"/>
      <c r="G16" s="1049"/>
      <c r="H16" s="1049"/>
      <c r="I16" s="1049"/>
      <c r="J16" s="1049"/>
      <c r="K16" s="1049"/>
      <c r="L16" s="1049"/>
      <c r="M16" s="1049"/>
      <c r="N16" s="1049"/>
      <c r="O16" s="1049"/>
      <c r="P16" s="1049"/>
      <c r="Q16" s="1049"/>
      <c r="R16" s="1049"/>
      <c r="S16" s="1050"/>
      <c r="T16" s="1051" t="s">
        <v>430</v>
      </c>
      <c r="U16" s="1051"/>
      <c r="V16" s="1052"/>
      <c r="W16" s="1053" t="s">
        <v>696</v>
      </c>
      <c r="X16" s="1054"/>
      <c r="Y16" s="523">
        <f t="shared" si="0"/>
        <v>7890198.9250000007</v>
      </c>
      <c r="Z16" s="527">
        <f>11504164*17.5%</f>
        <v>2013228.7</v>
      </c>
      <c r="AA16" s="527">
        <f>[3]éves_bér_és_jár!W11</f>
        <v>3367945</v>
      </c>
      <c r="AB16" s="527">
        <f>[3]éves_bér_és_jár!W42</f>
        <v>984923.62499999988</v>
      </c>
      <c r="AC16" s="524">
        <f>[3]éves_bér_és_jár!W22</f>
        <v>418881.4</v>
      </c>
      <c r="AD16" s="524">
        <f>[3]éves_bér_és_jár!W26</f>
        <v>668955</v>
      </c>
      <c r="AE16" s="532">
        <f>AE15*17.5%</f>
        <v>39375</v>
      </c>
      <c r="AF16" s="530">
        <f>AF15*17.5%</f>
        <v>331021.07499999995</v>
      </c>
      <c r="AG16" s="530">
        <f>[3]éves_bér_és_jár!W62</f>
        <v>0</v>
      </c>
      <c r="AH16" s="530">
        <f>AH15*17.5%</f>
        <v>65869.125</v>
      </c>
    </row>
    <row r="17" spans="1:34" ht="15.75" customHeight="1" thickBot="1" x14ac:dyDescent="0.3">
      <c r="A17" s="1069" t="s">
        <v>697</v>
      </c>
      <c r="B17" s="1070"/>
      <c r="C17" s="1070"/>
      <c r="D17" s="1070"/>
      <c r="E17" s="1070"/>
      <c r="F17" s="1070"/>
      <c r="G17" s="1070"/>
      <c r="H17" s="1070"/>
      <c r="I17" s="1070"/>
      <c r="J17" s="1070"/>
      <c r="K17" s="1070"/>
      <c r="L17" s="1070"/>
      <c r="M17" s="1070"/>
      <c r="N17" s="1070"/>
      <c r="O17" s="1070"/>
      <c r="P17" s="1070"/>
      <c r="Q17" s="1070"/>
      <c r="R17" s="1070"/>
      <c r="S17" s="1071"/>
      <c r="T17" s="1027" t="s">
        <v>433</v>
      </c>
      <c r="U17" s="1027"/>
      <c r="V17" s="1028"/>
      <c r="W17" s="1029" t="s">
        <v>696</v>
      </c>
      <c r="X17" s="1030"/>
      <c r="Y17" s="523">
        <f t="shared" si="0"/>
        <v>474334</v>
      </c>
      <c r="Z17" s="534">
        <v>330334</v>
      </c>
      <c r="AA17" s="534">
        <f>[3]éves_bér_és_jár!X11</f>
        <v>100800</v>
      </c>
      <c r="AB17" s="534">
        <f>[3]éves_bér_és_jár!X42</f>
        <v>14400</v>
      </c>
      <c r="AC17" s="535"/>
      <c r="AD17" s="535">
        <f>[3]éves_bér_és_jár!X26</f>
        <v>28800</v>
      </c>
      <c r="AE17" s="536"/>
      <c r="AF17" s="536"/>
      <c r="AG17" s="536"/>
      <c r="AH17" s="536"/>
    </row>
    <row r="18" spans="1:34" ht="16.5" customHeight="1" thickBot="1" x14ac:dyDescent="0.3">
      <c r="A18" s="1031" t="s">
        <v>698</v>
      </c>
      <c r="B18" s="1032"/>
      <c r="C18" s="1032"/>
      <c r="D18" s="1032"/>
      <c r="E18" s="1032"/>
      <c r="F18" s="1032"/>
      <c r="G18" s="1032"/>
      <c r="H18" s="1032"/>
      <c r="I18" s="1032"/>
      <c r="J18" s="1032"/>
      <c r="K18" s="1032"/>
      <c r="L18" s="1032"/>
      <c r="M18" s="1032"/>
      <c r="N18" s="1032"/>
      <c r="O18" s="1032"/>
      <c r="P18" s="1032"/>
      <c r="Q18" s="1032"/>
      <c r="R18" s="1032"/>
      <c r="S18" s="1033"/>
      <c r="T18" s="1034" t="s">
        <v>436</v>
      </c>
      <c r="U18" s="1034"/>
      <c r="V18" s="1035"/>
      <c r="W18" s="1036"/>
      <c r="X18" s="1037"/>
      <c r="Y18" s="531">
        <f t="shared" si="0"/>
        <v>8364532.9250000007</v>
      </c>
      <c r="Z18" s="537">
        <f>Z16+Z17</f>
        <v>2343562.7000000002</v>
      </c>
      <c r="AA18" s="538">
        <f>AA16+AA17</f>
        <v>3468745</v>
      </c>
      <c r="AB18" s="538">
        <f t="shared" ref="AB18:AH18" si="2">AB16+AB17</f>
        <v>999323.62499999988</v>
      </c>
      <c r="AC18" s="538">
        <f t="shared" si="2"/>
        <v>418881.4</v>
      </c>
      <c r="AD18" s="538">
        <f t="shared" si="2"/>
        <v>697755</v>
      </c>
      <c r="AE18" s="538">
        <f t="shared" si="2"/>
        <v>39375</v>
      </c>
      <c r="AF18" s="538">
        <f t="shared" si="2"/>
        <v>331021.07499999995</v>
      </c>
      <c r="AG18" s="538">
        <f t="shared" si="2"/>
        <v>0</v>
      </c>
      <c r="AH18" s="539">
        <f t="shared" si="2"/>
        <v>65869.125</v>
      </c>
    </row>
    <row r="19" spans="1:34" s="542" customFormat="1" ht="16.5" customHeight="1" thickBot="1" x14ac:dyDescent="0.3">
      <c r="A19" s="1038" t="s">
        <v>699</v>
      </c>
      <c r="B19" s="1039"/>
      <c r="C19" s="1039"/>
      <c r="D19" s="1039"/>
      <c r="E19" s="1039"/>
      <c r="F19" s="1039"/>
      <c r="G19" s="1039"/>
      <c r="H19" s="1039"/>
      <c r="I19" s="1039"/>
      <c r="J19" s="1039"/>
      <c r="K19" s="1039"/>
      <c r="L19" s="1039"/>
      <c r="M19" s="1039"/>
      <c r="N19" s="1039"/>
      <c r="O19" s="1039"/>
      <c r="P19" s="1039"/>
      <c r="Q19" s="1039"/>
      <c r="R19" s="1039"/>
      <c r="S19" s="1040"/>
      <c r="T19" s="1023" t="s">
        <v>439</v>
      </c>
      <c r="U19" s="1023"/>
      <c r="V19" s="1024"/>
      <c r="W19" s="1025"/>
      <c r="X19" s="1026"/>
      <c r="Y19" s="531">
        <f t="shared" si="0"/>
        <v>55844991.925000004</v>
      </c>
      <c r="Z19" s="540">
        <f>Z15+Z18</f>
        <v>13847726.699999999</v>
      </c>
      <c r="AA19" s="540">
        <f>AA18+AA15</f>
        <v>22714145</v>
      </c>
      <c r="AB19" s="540">
        <f t="shared" ref="AB19:AH19" si="3">AB18+AB15</f>
        <v>6627458.625</v>
      </c>
      <c r="AC19" s="540">
        <f t="shared" si="3"/>
        <v>5206097.4000000004</v>
      </c>
      <c r="AD19" s="540">
        <f t="shared" si="3"/>
        <v>4520355</v>
      </c>
      <c r="AE19" s="540">
        <f t="shared" si="3"/>
        <v>264375</v>
      </c>
      <c r="AF19" s="540">
        <f t="shared" si="3"/>
        <v>2222570.0750000002</v>
      </c>
      <c r="AG19" s="540">
        <f t="shared" si="3"/>
        <v>0</v>
      </c>
      <c r="AH19" s="541">
        <f t="shared" si="3"/>
        <v>442264.125</v>
      </c>
    </row>
    <row r="20" spans="1:34" ht="16.5" customHeight="1" x14ac:dyDescent="0.2">
      <c r="Y20" s="543"/>
      <c r="Z20" s="543"/>
      <c r="AA20" s="543"/>
      <c r="AB20" s="543"/>
      <c r="AC20" s="543"/>
      <c r="AD20" s="543"/>
      <c r="AE20" s="543"/>
      <c r="AF20" s="543"/>
    </row>
    <row r="21" spans="1:34" x14ac:dyDescent="0.2">
      <c r="Y21" s="543"/>
    </row>
    <row r="22" spans="1:34" ht="16.5" customHeight="1" x14ac:dyDescent="0.2"/>
    <row r="24" spans="1:34" ht="15" x14ac:dyDescent="0.2">
      <c r="Y24" s="544"/>
    </row>
  </sheetData>
  <mergeCells count="54">
    <mergeCell ref="A1:AB1"/>
    <mergeCell ref="A2:AC2"/>
    <mergeCell ref="A3:AC3"/>
    <mergeCell ref="A5:S6"/>
    <mergeCell ref="A17:S17"/>
    <mergeCell ref="T5:V6"/>
    <mergeCell ref="Y5:Y6"/>
    <mergeCell ref="AA5:AA6"/>
    <mergeCell ref="AC5:AC6"/>
    <mergeCell ref="W6:X6"/>
    <mergeCell ref="A7:S7"/>
    <mergeCell ref="T7:V7"/>
    <mergeCell ref="W7:X7"/>
    <mergeCell ref="A8:S8"/>
    <mergeCell ref="T8:V8"/>
    <mergeCell ref="W8:X8"/>
    <mergeCell ref="A9:S9"/>
    <mergeCell ref="T9:V9"/>
    <mergeCell ref="W9:X9"/>
    <mergeCell ref="A10:S10"/>
    <mergeCell ref="T10:V10"/>
    <mergeCell ref="W10:X10"/>
    <mergeCell ref="A11:R11"/>
    <mergeCell ref="T11:V11"/>
    <mergeCell ref="W11:X11"/>
    <mergeCell ref="A12:S12"/>
    <mergeCell ref="T12:V12"/>
    <mergeCell ref="W12:X12"/>
    <mergeCell ref="A13:S13"/>
    <mergeCell ref="T13:V13"/>
    <mergeCell ref="W13:X13"/>
    <mergeCell ref="A14:S14"/>
    <mergeCell ref="T14:V14"/>
    <mergeCell ref="W14:X14"/>
    <mergeCell ref="A18:S18"/>
    <mergeCell ref="T18:V18"/>
    <mergeCell ref="W18:X18"/>
    <mergeCell ref="A19:S19"/>
    <mergeCell ref="A15:S15"/>
    <mergeCell ref="T15:V15"/>
    <mergeCell ref="W15:X15"/>
    <mergeCell ref="A16:S16"/>
    <mergeCell ref="T16:V16"/>
    <mergeCell ref="W16:X16"/>
    <mergeCell ref="AG4:AH4"/>
    <mergeCell ref="T19:V19"/>
    <mergeCell ref="W19:X19"/>
    <mergeCell ref="T17:V17"/>
    <mergeCell ref="W17:X17"/>
    <mergeCell ref="AD5:AD6"/>
    <mergeCell ref="AE5:AE6"/>
    <mergeCell ref="AF5:AF6"/>
    <mergeCell ref="AG5:AG6"/>
    <mergeCell ref="AH5:AH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L69"/>
  <sheetViews>
    <sheetView workbookViewId="0">
      <selection activeCell="K5" sqref="K5"/>
    </sheetView>
  </sheetViews>
  <sheetFormatPr defaultRowHeight="15" x14ac:dyDescent="0.25"/>
  <cols>
    <col min="1" max="1" width="50.42578125" bestFit="1" customWidth="1"/>
    <col min="2" max="2" width="24.5703125" style="139" bestFit="1" customWidth="1"/>
    <col min="3" max="3" width="15.7109375" style="139" bestFit="1" customWidth="1"/>
    <col min="4" max="4" width="17.28515625" style="139" bestFit="1" customWidth="1"/>
    <col min="6" max="6" width="2.28515625" customWidth="1"/>
    <col min="7" max="7" width="8.7109375" customWidth="1"/>
    <col min="8" max="8" width="3" customWidth="1"/>
    <col min="9" max="9" width="3.5703125" customWidth="1"/>
    <col min="10" max="10" width="17" style="349" bestFit="1" customWidth="1"/>
    <col min="11" max="11" width="17" style="139" customWidth="1"/>
    <col min="12" max="12" width="15.140625" bestFit="1" customWidth="1"/>
    <col min="13" max="13" width="15.28515625" bestFit="1" customWidth="1"/>
  </cols>
  <sheetData>
    <row r="2" spans="1:10" x14ac:dyDescent="0.25">
      <c r="A2" s="971" t="s">
        <v>898</v>
      </c>
      <c r="B2" s="671"/>
      <c r="C2" s="671"/>
      <c r="D2" s="671"/>
      <c r="E2" s="671"/>
      <c r="F2" s="671"/>
      <c r="G2" s="671"/>
    </row>
    <row r="4" spans="1:10" x14ac:dyDescent="0.25">
      <c r="B4" s="1087" t="s">
        <v>895</v>
      </c>
      <c r="C4" s="1087"/>
      <c r="D4" s="1087"/>
      <c r="E4" s="1087"/>
      <c r="F4" s="1087"/>
      <c r="G4" s="1087"/>
      <c r="J4" s="349" t="s">
        <v>936</v>
      </c>
    </row>
    <row r="5" spans="1:10" x14ac:dyDescent="0.25">
      <c r="A5" t="s">
        <v>530</v>
      </c>
      <c r="B5" s="139" t="s">
        <v>531</v>
      </c>
      <c r="C5" s="139" t="s">
        <v>310</v>
      </c>
      <c r="D5" s="139" t="s">
        <v>532</v>
      </c>
    </row>
    <row r="6" spans="1:10" x14ac:dyDescent="0.25">
      <c r="A6" t="s">
        <v>533</v>
      </c>
      <c r="B6" s="139">
        <v>30000</v>
      </c>
      <c r="D6" s="139">
        <f>B6</f>
        <v>30000</v>
      </c>
      <c r="E6" s="671" t="s">
        <v>534</v>
      </c>
      <c r="F6" s="671"/>
      <c r="G6" s="671" t="s">
        <v>310</v>
      </c>
      <c r="H6" s="671"/>
      <c r="J6" s="349">
        <v>30000</v>
      </c>
    </row>
    <row r="7" spans="1:10" x14ac:dyDescent="0.25">
      <c r="A7" t="s">
        <v>535</v>
      </c>
      <c r="B7" s="422">
        <v>36000</v>
      </c>
      <c r="C7" s="435"/>
      <c r="D7" s="139">
        <f>B7</f>
        <v>36000</v>
      </c>
      <c r="E7" s="594" t="s">
        <v>536</v>
      </c>
      <c r="F7" s="594"/>
      <c r="G7" s="594"/>
      <c r="H7" s="594"/>
      <c r="J7" s="349">
        <v>36000</v>
      </c>
    </row>
    <row r="8" spans="1:10" x14ac:dyDescent="0.25">
      <c r="A8" t="s">
        <v>537</v>
      </c>
      <c r="B8" s="625">
        <v>600000</v>
      </c>
      <c r="C8" s="435"/>
      <c r="D8" s="139">
        <f>B8</f>
        <v>600000</v>
      </c>
      <c r="E8" s="594" t="s">
        <v>536</v>
      </c>
      <c r="F8" s="594"/>
      <c r="G8" s="594"/>
      <c r="H8" s="594"/>
      <c r="J8" s="349">
        <v>600000</v>
      </c>
    </row>
    <row r="9" spans="1:10" x14ac:dyDescent="0.25">
      <c r="A9" t="s">
        <v>538</v>
      </c>
      <c r="B9" s="422">
        <v>737008</v>
      </c>
      <c r="C9" s="422">
        <f>B9*0.27</f>
        <v>198992.16</v>
      </c>
      <c r="D9" s="139">
        <f>B9+C9</f>
        <v>936000.16</v>
      </c>
      <c r="E9" s="594" t="s">
        <v>536</v>
      </c>
      <c r="F9" s="594"/>
      <c r="G9" s="594" t="s">
        <v>539</v>
      </c>
      <c r="H9" s="594"/>
      <c r="J9" s="349">
        <v>936000</v>
      </c>
    </row>
    <row r="10" spans="1:10" x14ac:dyDescent="0.25">
      <c r="A10" t="s">
        <v>540</v>
      </c>
      <c r="B10" s="422">
        <v>104700</v>
      </c>
      <c r="C10" s="435"/>
      <c r="D10" s="139">
        <f>B10</f>
        <v>104700</v>
      </c>
      <c r="E10" s="594" t="s">
        <v>536</v>
      </c>
      <c r="F10" s="594"/>
      <c r="G10" s="594"/>
      <c r="H10" s="594"/>
      <c r="J10" s="349">
        <v>104700</v>
      </c>
    </row>
    <row r="11" spans="1:10" x14ac:dyDescent="0.25">
      <c r="A11" t="s">
        <v>541</v>
      </c>
      <c r="B11" s="422">
        <v>200000</v>
      </c>
      <c r="C11" s="435"/>
      <c r="D11" s="139">
        <f>B11</f>
        <v>200000</v>
      </c>
      <c r="E11" s="594" t="s">
        <v>536</v>
      </c>
      <c r="F11" s="594"/>
      <c r="G11" s="594"/>
      <c r="H11" s="594"/>
      <c r="J11" s="349">
        <v>200000</v>
      </c>
    </row>
    <row r="12" spans="1:10" x14ac:dyDescent="0.25">
      <c r="A12" t="s">
        <v>542</v>
      </c>
      <c r="B12" s="422">
        <v>200000</v>
      </c>
      <c r="C12" s="435"/>
      <c r="D12" s="139">
        <v>200000</v>
      </c>
      <c r="E12" s="594" t="s">
        <v>536</v>
      </c>
      <c r="F12" s="594"/>
      <c r="G12" s="594"/>
      <c r="H12" s="594"/>
      <c r="J12" s="349">
        <v>200000</v>
      </c>
    </row>
    <row r="13" spans="1:10" ht="15.75" thickBot="1" x14ac:dyDescent="0.3">
      <c r="A13" t="s">
        <v>543</v>
      </c>
      <c r="B13" s="422">
        <v>1300000</v>
      </c>
      <c r="C13" s="435"/>
      <c r="D13" s="139">
        <v>1300000</v>
      </c>
      <c r="E13" s="594"/>
      <c r="F13" s="594"/>
      <c r="G13" s="594"/>
      <c r="H13" s="594"/>
      <c r="J13" s="349">
        <v>1300000</v>
      </c>
    </row>
    <row r="14" spans="1:10" ht="19.5" thickBot="1" x14ac:dyDescent="0.35">
      <c r="B14" s="430">
        <f>SUM(B6:B13)</f>
        <v>3207708</v>
      </c>
      <c r="C14" s="430">
        <f>SUM(C7:C12)</f>
        <v>198992.16</v>
      </c>
      <c r="D14" s="430">
        <f>SUM(D6:D13)</f>
        <v>3406700.16</v>
      </c>
      <c r="E14" s="594"/>
      <c r="F14" s="594"/>
      <c r="G14" s="594"/>
      <c r="H14" s="594"/>
      <c r="J14" s="356">
        <f>SUM(J6:J13)</f>
        <v>3406700</v>
      </c>
    </row>
    <row r="15" spans="1:10" x14ac:dyDescent="0.25">
      <c r="E15" s="594"/>
      <c r="F15" s="594"/>
      <c r="G15" s="594"/>
      <c r="H15" s="594"/>
    </row>
    <row r="16" spans="1:10" x14ac:dyDescent="0.25">
      <c r="E16" s="671" t="s">
        <v>534</v>
      </c>
      <c r="F16" s="671"/>
      <c r="G16" s="671" t="s">
        <v>310</v>
      </c>
      <c r="H16" s="671"/>
    </row>
    <row r="17" spans="1:12" x14ac:dyDescent="0.25">
      <c r="A17" t="s">
        <v>544</v>
      </c>
      <c r="B17" s="422">
        <v>88828</v>
      </c>
      <c r="C17" s="422">
        <f>B17*27%</f>
        <v>23983.56</v>
      </c>
      <c r="D17" s="422">
        <f>+B17+C17</f>
        <v>112811.56</v>
      </c>
      <c r="E17" s="594" t="s">
        <v>545</v>
      </c>
      <c r="F17" s="594"/>
      <c r="G17" s="594" t="s">
        <v>539</v>
      </c>
      <c r="H17" s="594"/>
    </row>
    <row r="18" spans="1:12" x14ac:dyDescent="0.25">
      <c r="A18" t="s">
        <v>546</v>
      </c>
      <c r="B18" s="422">
        <v>2976617</v>
      </c>
      <c r="C18" s="422">
        <f>B18*27%</f>
        <v>803686.59000000008</v>
      </c>
      <c r="D18" s="422">
        <f>+B18+C18</f>
        <v>3780303.59</v>
      </c>
      <c r="E18" s="594" t="s">
        <v>545</v>
      </c>
      <c r="F18" s="594"/>
      <c r="G18" s="594" t="s">
        <v>539</v>
      </c>
      <c r="H18" s="594"/>
    </row>
    <row r="19" spans="1:12" x14ac:dyDescent="0.25">
      <c r="A19" t="s">
        <v>547</v>
      </c>
      <c r="B19" s="422">
        <v>5630870</v>
      </c>
      <c r="C19" s="422">
        <f>B19*27%</f>
        <v>1520334.9000000001</v>
      </c>
      <c r="D19" s="139">
        <f>SUM(B19:C19)</f>
        <v>7151204.9000000004</v>
      </c>
      <c r="E19" s="594" t="s">
        <v>545</v>
      </c>
      <c r="F19" s="594"/>
      <c r="G19" s="594" t="s">
        <v>539</v>
      </c>
      <c r="H19" s="594"/>
    </row>
    <row r="20" spans="1:12" ht="15.75" thickBot="1" x14ac:dyDescent="0.3">
      <c r="A20" t="s">
        <v>896</v>
      </c>
      <c r="J20" s="349">
        <v>9005323</v>
      </c>
      <c r="K20" s="139">
        <v>2607741</v>
      </c>
      <c r="L20" s="155">
        <f>J20+K20</f>
        <v>11613064</v>
      </c>
    </row>
    <row r="21" spans="1:12" ht="16.5" thickBot="1" x14ac:dyDescent="0.3">
      <c r="A21" t="s">
        <v>589</v>
      </c>
      <c r="B21" s="453">
        <f>SUM(B17:B20)</f>
        <v>8696315</v>
      </c>
      <c r="C21" s="453">
        <f>SUM(C17:C20)</f>
        <v>2348005.0500000003</v>
      </c>
      <c r="D21" s="453">
        <f>SUM(D17:D20)</f>
        <v>11044320.050000001</v>
      </c>
    </row>
    <row r="22" spans="1:12" ht="15.75" x14ac:dyDescent="0.25">
      <c r="D22" s="436">
        <f>+D21+D14</f>
        <v>14451020.210000001</v>
      </c>
      <c r="K22" s="437"/>
    </row>
    <row r="23" spans="1:12" ht="15" customHeight="1" x14ac:dyDescent="0.25">
      <c r="D23" s="162"/>
    </row>
    <row r="25" spans="1:12" x14ac:dyDescent="0.25">
      <c r="A25" t="s">
        <v>466</v>
      </c>
      <c r="D25" s="139">
        <v>1500000</v>
      </c>
      <c r="E25" t="s">
        <v>539</v>
      </c>
      <c r="J25" s="349">
        <v>2607741</v>
      </c>
    </row>
    <row r="26" spans="1:12" x14ac:dyDescent="0.25">
      <c r="A26" t="s">
        <v>548</v>
      </c>
    </row>
    <row r="27" spans="1:12" x14ac:dyDescent="0.25">
      <c r="A27" t="s">
        <v>549</v>
      </c>
      <c r="D27" s="139">
        <v>3200000</v>
      </c>
    </row>
    <row r="28" spans="1:12" x14ac:dyDescent="0.25">
      <c r="A28" t="s">
        <v>550</v>
      </c>
      <c r="C28" s="139">
        <f>+C27-C25</f>
        <v>0</v>
      </c>
      <c r="D28" s="626">
        <v>1000000</v>
      </c>
      <c r="E28" s="438" t="s">
        <v>551</v>
      </c>
      <c r="J28" s="349">
        <v>1000000</v>
      </c>
    </row>
    <row r="29" spans="1:12" x14ac:dyDescent="0.25">
      <c r="A29" t="s">
        <v>552</v>
      </c>
      <c r="D29" s="422">
        <v>0</v>
      </c>
    </row>
    <row r="30" spans="1:12" ht="15.75" x14ac:dyDescent="0.25">
      <c r="A30" t="s">
        <v>553</v>
      </c>
      <c r="D30" s="436">
        <f>D29+D28</f>
        <v>1000000</v>
      </c>
      <c r="J30" s="349">
        <f>J28</f>
        <v>1000000</v>
      </c>
    </row>
    <row r="31" spans="1:12" ht="15.75" x14ac:dyDescent="0.25">
      <c r="D31" s="162"/>
    </row>
    <row r="32" spans="1:12" x14ac:dyDescent="0.25">
      <c r="A32" t="s">
        <v>554</v>
      </c>
      <c r="B32" s="139">
        <v>1500000</v>
      </c>
      <c r="D32" s="139">
        <f>+B32+C32</f>
        <v>1500000</v>
      </c>
      <c r="E32" t="s">
        <v>555</v>
      </c>
      <c r="J32" s="349">
        <v>1500000</v>
      </c>
    </row>
    <row r="33" spans="1:11" x14ac:dyDescent="0.25">
      <c r="A33" t="s">
        <v>556</v>
      </c>
      <c r="B33" s="139">
        <v>1900000</v>
      </c>
      <c r="D33" s="139">
        <f>+B33+C33</f>
        <v>1900000</v>
      </c>
      <c r="E33" t="s">
        <v>557</v>
      </c>
      <c r="J33" s="349">
        <v>1900000</v>
      </c>
    </row>
    <row r="34" spans="1:11" x14ac:dyDescent="0.25">
      <c r="A34" t="s">
        <v>558</v>
      </c>
      <c r="C34" s="139">
        <f>+B34*0.27</f>
        <v>0</v>
      </c>
      <c r="D34" s="139">
        <f>+B34+C34</f>
        <v>0</v>
      </c>
      <c r="E34" t="s">
        <v>557</v>
      </c>
      <c r="G34" t="s">
        <v>539</v>
      </c>
    </row>
    <row r="35" spans="1:11" x14ac:dyDescent="0.25">
      <c r="A35" t="s">
        <v>559</v>
      </c>
      <c r="B35" s="139">
        <v>949298</v>
      </c>
      <c r="D35" s="139">
        <f>+B35+C35</f>
        <v>949298</v>
      </c>
      <c r="E35" t="s">
        <v>557</v>
      </c>
      <c r="J35" s="349">
        <v>949298</v>
      </c>
    </row>
    <row r="36" spans="1:11" s="29" customFormat="1" x14ac:dyDescent="0.25">
      <c r="A36" s="439" t="s">
        <v>560</v>
      </c>
      <c r="B36" s="440">
        <f>SUM(B32:B35)</f>
        <v>4349298</v>
      </c>
      <c r="C36" s="441">
        <f>SUM(C32:C35)</f>
        <v>0</v>
      </c>
      <c r="D36" s="442">
        <f>SUM(D32:D35)</f>
        <v>4349298</v>
      </c>
      <c r="J36" s="627">
        <f>J32+J33+J35</f>
        <v>4349298</v>
      </c>
      <c r="K36" s="426"/>
    </row>
    <row r="37" spans="1:11" s="29" customFormat="1" x14ac:dyDescent="0.25">
      <c r="A37" s="439"/>
      <c r="B37" s="441"/>
      <c r="C37" s="441"/>
      <c r="D37" s="442"/>
      <c r="J37" s="627"/>
      <c r="K37" s="426"/>
    </row>
    <row r="38" spans="1:11" ht="15.75" x14ac:dyDescent="0.25">
      <c r="A38" s="443"/>
      <c r="D38" s="444"/>
    </row>
    <row r="39" spans="1:11" ht="15.75" x14ac:dyDescent="0.25">
      <c r="A39" s="445" t="s">
        <v>561</v>
      </c>
      <c r="B39" s="436">
        <f>B40+B41</f>
        <v>265311227</v>
      </c>
      <c r="C39" s="139" t="s">
        <v>562</v>
      </c>
      <c r="J39" s="349">
        <f>J40+J41</f>
        <v>401664135</v>
      </c>
    </row>
    <row r="40" spans="1:11" ht="15.75" x14ac:dyDescent="0.25">
      <c r="A40" t="s">
        <v>563</v>
      </c>
      <c r="B40" s="162">
        <v>121700</v>
      </c>
      <c r="J40" s="349">
        <v>160075</v>
      </c>
    </row>
    <row r="41" spans="1:11" x14ac:dyDescent="0.25">
      <c r="A41" t="s">
        <v>564</v>
      </c>
      <c r="B41" s="139">
        <f>17059078+1466044+8800138+5739812+10100513+198182422+1636471+999833+14680680+168878+6355658</f>
        <v>265189527</v>
      </c>
      <c r="J41" s="349">
        <v>401504060</v>
      </c>
    </row>
    <row r="43" spans="1:11" s="355" customFormat="1" ht="15.75" x14ac:dyDescent="0.25">
      <c r="A43" s="355" t="s">
        <v>897</v>
      </c>
      <c r="B43" s="628"/>
      <c r="C43" s="628"/>
      <c r="D43" s="628"/>
      <c r="J43" s="622">
        <v>405607624</v>
      </c>
      <c r="K43" s="628"/>
    </row>
    <row r="45" spans="1:11" ht="15.75" thickBot="1" x14ac:dyDescent="0.3">
      <c r="A45" t="s">
        <v>565</v>
      </c>
      <c r="C45" s="139" t="s">
        <v>566</v>
      </c>
    </row>
    <row r="46" spans="1:11" x14ac:dyDescent="0.25">
      <c r="A46" s="29" t="s">
        <v>567</v>
      </c>
      <c r="B46" s="446">
        <f>B47+B48+B49+B50</f>
        <v>3518600</v>
      </c>
      <c r="C46" s="447"/>
    </row>
    <row r="47" spans="1:11" x14ac:dyDescent="0.25">
      <c r="A47" t="s">
        <v>568</v>
      </c>
      <c r="B47" s="448">
        <v>1376000</v>
      </c>
    </row>
    <row r="48" spans="1:11" x14ac:dyDescent="0.25">
      <c r="A48" t="s">
        <v>569</v>
      </c>
      <c r="B48" s="448">
        <v>570600</v>
      </c>
    </row>
    <row r="49" spans="1:10" x14ac:dyDescent="0.25">
      <c r="A49" t="s">
        <v>713</v>
      </c>
      <c r="B49" s="448">
        <f>106000*12</f>
        <v>1272000</v>
      </c>
    </row>
    <row r="50" spans="1:10" x14ac:dyDescent="0.25">
      <c r="A50" t="s">
        <v>570</v>
      </c>
      <c r="B50" s="449">
        <v>300000</v>
      </c>
    </row>
    <row r="51" spans="1:10" x14ac:dyDescent="0.25">
      <c r="B51" s="625"/>
    </row>
    <row r="53" spans="1:10" x14ac:dyDescent="0.25">
      <c r="A53" s="450" t="s">
        <v>612</v>
      </c>
      <c r="B53" s="451">
        <v>1136830</v>
      </c>
    </row>
    <row r="55" spans="1:10" x14ac:dyDescent="0.25">
      <c r="A55" s="139" t="s">
        <v>48</v>
      </c>
      <c r="C55"/>
      <c r="D55"/>
    </row>
    <row r="56" spans="1:10" x14ac:dyDescent="0.25">
      <c r="A56" t="s">
        <v>571</v>
      </c>
      <c r="B56" s="139">
        <v>3500000</v>
      </c>
      <c r="C56" t="s">
        <v>572</v>
      </c>
      <c r="J56" s="349">
        <v>3500000</v>
      </c>
    </row>
    <row r="57" spans="1:10" x14ac:dyDescent="0.25">
      <c r="A57" t="s">
        <v>714</v>
      </c>
      <c r="B57" s="139">
        <v>8200000</v>
      </c>
      <c r="C57" t="s">
        <v>573</v>
      </c>
      <c r="J57" s="349">
        <v>8200000</v>
      </c>
    </row>
    <row r="58" spans="1:10" x14ac:dyDescent="0.25">
      <c r="A58" t="s">
        <v>574</v>
      </c>
      <c r="B58" s="139">
        <v>22000000</v>
      </c>
      <c r="C58" t="s">
        <v>575</v>
      </c>
      <c r="J58" s="349">
        <v>25000000</v>
      </c>
    </row>
    <row r="59" spans="1:10" x14ac:dyDescent="0.25">
      <c r="A59" t="s">
        <v>576</v>
      </c>
      <c r="B59" s="139">
        <v>800000</v>
      </c>
      <c r="C59" t="s">
        <v>577</v>
      </c>
      <c r="J59" s="349">
        <v>800000</v>
      </c>
    </row>
    <row r="60" spans="1:10" x14ac:dyDescent="0.25">
      <c r="A60" t="s">
        <v>578</v>
      </c>
      <c r="B60" s="139">
        <v>5000000</v>
      </c>
      <c r="C60" t="s">
        <v>579</v>
      </c>
      <c r="J60" s="349">
        <v>5500000</v>
      </c>
    </row>
    <row r="61" spans="1:10" x14ac:dyDescent="0.25">
      <c r="A61" t="s">
        <v>580</v>
      </c>
      <c r="B61" s="139">
        <v>0</v>
      </c>
      <c r="C61" t="s">
        <v>581</v>
      </c>
    </row>
    <row r="62" spans="1:10" x14ac:dyDescent="0.25">
      <c r="A62" t="s">
        <v>582</v>
      </c>
      <c r="B62" s="139">
        <v>0</v>
      </c>
      <c r="C62" t="s">
        <v>583</v>
      </c>
    </row>
    <row r="63" spans="1:10" x14ac:dyDescent="0.25">
      <c r="A63" t="s">
        <v>715</v>
      </c>
      <c r="B63" s="139">
        <v>500000</v>
      </c>
      <c r="C63" t="s">
        <v>583</v>
      </c>
      <c r="J63" s="349">
        <v>500000</v>
      </c>
    </row>
    <row r="64" spans="1:10" x14ac:dyDescent="0.25">
      <c r="A64" t="s">
        <v>584</v>
      </c>
      <c r="B64" s="139">
        <v>25000</v>
      </c>
      <c r="C64" t="s">
        <v>585</v>
      </c>
      <c r="J64" s="349">
        <v>80000</v>
      </c>
    </row>
    <row r="65" spans="1:10" x14ac:dyDescent="0.25">
      <c r="A65" t="s">
        <v>586</v>
      </c>
      <c r="B65" s="422">
        <v>5000</v>
      </c>
      <c r="C65" t="s">
        <v>583</v>
      </c>
      <c r="J65" s="349">
        <v>5000</v>
      </c>
    </row>
    <row r="66" spans="1:10" x14ac:dyDescent="0.25">
      <c r="A66" t="s">
        <v>587</v>
      </c>
      <c r="B66" s="422">
        <v>800000</v>
      </c>
      <c r="C66" t="s">
        <v>577</v>
      </c>
      <c r="J66" s="349">
        <v>800000</v>
      </c>
    </row>
    <row r="67" spans="1:10" ht="15.75" x14ac:dyDescent="0.25">
      <c r="A67" s="29" t="s">
        <v>588</v>
      </c>
      <c r="B67" s="430">
        <f>SUM(B56:B66)</f>
        <v>40830000</v>
      </c>
      <c r="C67" s="452"/>
      <c r="D67" s="441">
        <f>SUM(D56:D65)</f>
        <v>0</v>
      </c>
      <c r="J67" s="430">
        <f>SUM(J56:J66)</f>
        <v>44385000</v>
      </c>
    </row>
    <row r="68" spans="1:10" ht="15.75" x14ac:dyDescent="0.25">
      <c r="B68" s="162">
        <f>B67+D67</f>
        <v>40830000</v>
      </c>
      <c r="C68"/>
      <c r="D68"/>
    </row>
    <row r="69" spans="1:10" x14ac:dyDescent="0.25">
      <c r="C69"/>
      <c r="D69"/>
    </row>
  </sheetData>
  <mergeCells count="6">
    <mergeCell ref="E16:F16"/>
    <mergeCell ref="G16:H16"/>
    <mergeCell ref="A2:G2"/>
    <mergeCell ref="B4:G4"/>
    <mergeCell ref="E6:F6"/>
    <mergeCell ref="G6:H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H50"/>
  <sheetViews>
    <sheetView workbookViewId="0">
      <selection activeCell="E2" sqref="E2"/>
    </sheetView>
  </sheetViews>
  <sheetFormatPr defaultRowHeight="15" x14ac:dyDescent="0.25"/>
  <cols>
    <col min="1" max="1" width="95.85546875" bestFit="1" customWidth="1"/>
    <col min="2" max="2" width="22.28515625" style="139" bestFit="1" customWidth="1"/>
    <col min="3" max="3" width="16.7109375" customWidth="1"/>
    <col min="5" max="5" width="18.42578125" style="349" bestFit="1" customWidth="1"/>
    <col min="7" max="7" width="18.42578125" style="470" bestFit="1" customWidth="1"/>
  </cols>
  <sheetData>
    <row r="1" spans="1:34" x14ac:dyDescent="0.25">
      <c r="A1" s="971" t="s">
        <v>894</v>
      </c>
      <c r="B1" s="971"/>
      <c r="C1" s="971"/>
      <c r="D1" s="971"/>
      <c r="E1" s="971"/>
      <c r="F1" s="971"/>
    </row>
    <row r="2" spans="1:34" x14ac:dyDescent="0.25">
      <c r="B2" s="447" t="s">
        <v>891</v>
      </c>
      <c r="E2" s="559" t="s">
        <v>936</v>
      </c>
    </row>
    <row r="3" spans="1:34" x14ac:dyDescent="0.25">
      <c r="A3" t="s">
        <v>509</v>
      </c>
      <c r="B3" s="594" t="s">
        <v>700</v>
      </c>
      <c r="D3" t="s">
        <v>510</v>
      </c>
      <c r="E3" s="349">
        <v>66733896</v>
      </c>
    </row>
    <row r="4" spans="1:34" x14ac:dyDescent="0.25">
      <c r="A4" t="s">
        <v>511</v>
      </c>
      <c r="B4" s="594" t="s">
        <v>701</v>
      </c>
      <c r="D4" t="s">
        <v>512</v>
      </c>
      <c r="E4" s="349">
        <v>28705670</v>
      </c>
    </row>
    <row r="5" spans="1:34" x14ac:dyDescent="0.25">
      <c r="A5" t="s">
        <v>513</v>
      </c>
      <c r="B5" s="594" t="s">
        <v>702</v>
      </c>
      <c r="D5" t="s">
        <v>514</v>
      </c>
      <c r="E5" s="349">
        <v>56062057</v>
      </c>
    </row>
    <row r="6" spans="1:34" x14ac:dyDescent="0.25">
      <c r="A6" t="s">
        <v>515</v>
      </c>
      <c r="B6" s="594" t="s">
        <v>703</v>
      </c>
      <c r="D6" t="s">
        <v>516</v>
      </c>
      <c r="E6" s="349">
        <v>2305593</v>
      </c>
    </row>
    <row r="7" spans="1:34" x14ac:dyDescent="0.25">
      <c r="B7" s="594"/>
    </row>
    <row r="8" spans="1:34" x14ac:dyDescent="0.25">
      <c r="B8" s="594"/>
    </row>
    <row r="9" spans="1:34" x14ac:dyDescent="0.25">
      <c r="B9" s="594"/>
    </row>
    <row r="10" spans="1:34" x14ac:dyDescent="0.25">
      <c r="A10" t="s">
        <v>517</v>
      </c>
    </row>
    <row r="11" spans="1:34" s="421" customFormat="1" x14ac:dyDescent="0.25">
      <c r="A11" s="619" t="s">
        <v>518</v>
      </c>
      <c r="B11" s="420">
        <f>(24000*1.27)+(264000*1.22)</f>
        <v>352560</v>
      </c>
      <c r="C11" s="452"/>
      <c r="D11" s="452" t="s">
        <v>519</v>
      </c>
      <c r="E11" s="620"/>
      <c r="F11" s="452"/>
      <c r="G11" s="47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  <c r="T11" s="452"/>
      <c r="U11" s="452"/>
      <c r="V11" s="452"/>
      <c r="W11" s="452"/>
      <c r="X11" s="452"/>
      <c r="Y11" s="452"/>
      <c r="Z11" s="452"/>
      <c r="AA11" s="452"/>
      <c r="AB11" s="452"/>
      <c r="AC11" s="452"/>
      <c r="AD11" s="452"/>
      <c r="AE11" s="452"/>
      <c r="AF11" s="452"/>
      <c r="AG11" s="452"/>
      <c r="AH11" s="452"/>
    </row>
    <row r="12" spans="1:34" s="421" customFormat="1" x14ac:dyDescent="0.25">
      <c r="A12" s="619" t="s">
        <v>520</v>
      </c>
      <c r="B12" s="420">
        <v>5744000</v>
      </c>
      <c r="C12" s="452"/>
      <c r="D12" s="452" t="s">
        <v>519</v>
      </c>
      <c r="E12" s="620"/>
      <c r="F12" s="452"/>
      <c r="G12" s="471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  <c r="T12" s="452"/>
      <c r="U12" s="452"/>
      <c r="V12" s="452"/>
      <c r="W12" s="452"/>
      <c r="X12" s="452"/>
      <c r="Y12" s="452"/>
      <c r="Z12" s="452"/>
      <c r="AA12" s="452"/>
      <c r="AB12" s="452"/>
      <c r="AC12" s="452"/>
      <c r="AD12" s="452"/>
      <c r="AE12" s="452"/>
      <c r="AF12" s="452"/>
      <c r="AG12" s="452"/>
      <c r="AH12" s="452"/>
    </row>
    <row r="13" spans="1:34" s="421" customFormat="1" x14ac:dyDescent="0.25">
      <c r="A13" s="619" t="s">
        <v>521</v>
      </c>
      <c r="B13" s="420">
        <f>39418*11*1.22+8500*1.27</f>
        <v>539784.55999999994</v>
      </c>
      <c r="C13" s="452"/>
      <c r="D13" s="452" t="s">
        <v>519</v>
      </c>
      <c r="E13" s="620"/>
      <c r="F13" s="452"/>
      <c r="G13" s="471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  <c r="T13" s="452"/>
      <c r="U13" s="452"/>
      <c r="V13" s="452"/>
      <c r="W13" s="452"/>
      <c r="X13" s="452"/>
      <c r="Y13" s="452"/>
      <c r="Z13" s="452"/>
      <c r="AA13" s="452"/>
      <c r="AB13" s="452"/>
      <c r="AC13" s="452"/>
      <c r="AD13" s="452"/>
      <c r="AE13" s="452"/>
      <c r="AF13" s="452"/>
      <c r="AG13" s="452"/>
      <c r="AH13" s="452"/>
    </row>
    <row r="14" spans="1:34" ht="16.5" thickBot="1" x14ac:dyDescent="0.3">
      <c r="B14" s="430">
        <f>SUM(B11:B13)</f>
        <v>6636344.5599999996</v>
      </c>
    </row>
    <row r="15" spans="1:34" s="547" customFormat="1" ht="18.75" thickBot="1" x14ac:dyDescent="0.3">
      <c r="A15" s="545" t="s">
        <v>704</v>
      </c>
      <c r="B15" s="546">
        <v>152161604</v>
      </c>
      <c r="E15" s="621">
        <f>E3+E4+E5+E6</f>
        <v>153807216</v>
      </c>
      <c r="G15" s="548"/>
    </row>
    <row r="16" spans="1:34" x14ac:dyDescent="0.25">
      <c r="A16" t="s">
        <v>522</v>
      </c>
      <c r="B16" s="422">
        <f>270000*4</f>
        <v>1080000</v>
      </c>
      <c r="D16" s="423" t="s">
        <v>523</v>
      </c>
      <c r="E16" s="349">
        <v>1080000</v>
      </c>
    </row>
    <row r="17" spans="1:7" x14ac:dyDescent="0.25">
      <c r="A17" t="s">
        <v>705</v>
      </c>
      <c r="B17" s="422">
        <v>5043623</v>
      </c>
      <c r="D17" s="423" t="s">
        <v>524</v>
      </c>
      <c r="E17" s="349">
        <v>4164878</v>
      </c>
    </row>
    <row r="18" spans="1:7" x14ac:dyDescent="0.25">
      <c r="A18" t="s">
        <v>706</v>
      </c>
      <c r="B18" s="139">
        <f>8400*12+407200*12</f>
        <v>4987200</v>
      </c>
      <c r="D18" s="423" t="s">
        <v>525</v>
      </c>
      <c r="E18" s="349">
        <v>4987200</v>
      </c>
    </row>
    <row r="19" spans="1:7" x14ac:dyDescent="0.25">
      <c r="A19" t="s">
        <v>707</v>
      </c>
      <c r="B19" s="139">
        <v>1398150</v>
      </c>
      <c r="D19" s="423"/>
      <c r="E19" s="349">
        <v>0</v>
      </c>
    </row>
    <row r="20" spans="1:7" x14ac:dyDescent="0.25">
      <c r="A20" t="s">
        <v>526</v>
      </c>
      <c r="B20" s="422">
        <v>974400</v>
      </c>
      <c r="D20" t="s">
        <v>527</v>
      </c>
      <c r="E20" s="349">
        <v>0</v>
      </c>
    </row>
    <row r="21" spans="1:7" ht="15.75" x14ac:dyDescent="0.25">
      <c r="B21" s="430">
        <f>SUM(B16:B20)</f>
        <v>13483373</v>
      </c>
      <c r="D21" s="424"/>
      <c r="E21" s="622">
        <f>E16+E17+E18+E19+E20</f>
        <v>10232078</v>
      </c>
    </row>
    <row r="22" spans="1:7" ht="15.75" x14ac:dyDescent="0.25">
      <c r="B22" s="162"/>
    </row>
    <row r="23" spans="1:7" x14ac:dyDescent="0.25">
      <c r="A23" s="425" t="s">
        <v>528</v>
      </c>
      <c r="B23" s="426"/>
    </row>
    <row r="24" spans="1:7" x14ac:dyDescent="0.25">
      <c r="A24" s="427" t="s">
        <v>503</v>
      </c>
      <c r="B24" s="349">
        <f>49406217-21796860</f>
        <v>27609357</v>
      </c>
      <c r="D24" t="s">
        <v>708</v>
      </c>
    </row>
    <row r="25" spans="1:7" x14ac:dyDescent="0.25">
      <c r="A25" s="428" t="s">
        <v>504</v>
      </c>
      <c r="B25" s="349">
        <v>70638414</v>
      </c>
      <c r="C25" s="139"/>
      <c r="D25" t="s">
        <v>611</v>
      </c>
    </row>
    <row r="26" spans="1:7" x14ac:dyDescent="0.25">
      <c r="A26" t="s">
        <v>709</v>
      </c>
      <c r="B26" s="349">
        <v>5000000</v>
      </c>
      <c r="D26" t="s">
        <v>611</v>
      </c>
    </row>
    <row r="27" spans="1:7" x14ac:dyDescent="0.25">
      <c r="A27" s="431" t="s">
        <v>505</v>
      </c>
      <c r="B27" s="349">
        <v>13766800</v>
      </c>
      <c r="D27" t="s">
        <v>611</v>
      </c>
    </row>
    <row r="28" spans="1:7" x14ac:dyDescent="0.25">
      <c r="A28" s="623" t="s">
        <v>892</v>
      </c>
      <c r="B28" s="349"/>
      <c r="D28" t="s">
        <v>893</v>
      </c>
      <c r="E28" s="349">
        <v>32488107</v>
      </c>
    </row>
    <row r="29" spans="1:7" ht="15.75" thickBot="1" x14ac:dyDescent="0.3">
      <c r="A29" t="s">
        <v>710</v>
      </c>
      <c r="B29" s="349">
        <v>152463696</v>
      </c>
      <c r="D29" t="s">
        <v>711</v>
      </c>
    </row>
    <row r="30" spans="1:7" s="429" customFormat="1" ht="16.5" thickBot="1" x14ac:dyDescent="0.3">
      <c r="A30" s="432" t="s">
        <v>529</v>
      </c>
      <c r="B30" s="434">
        <f>B24+B25+B26+B27+B29</f>
        <v>269478267</v>
      </c>
      <c r="C30" s="434">
        <f>C24+C25+C26+C27</f>
        <v>0</v>
      </c>
      <c r="D30" s="434"/>
      <c r="E30" s="624">
        <f>E28</f>
        <v>32488107</v>
      </c>
      <c r="G30" s="473"/>
    </row>
    <row r="31" spans="1:7" ht="18" x14ac:dyDescent="0.25">
      <c r="B31" s="433"/>
      <c r="G31" s="472"/>
    </row>
    <row r="32" spans="1:7" ht="15.75" thickBot="1" x14ac:dyDescent="0.3"/>
    <row r="33" spans="1:5" ht="21.75" thickBot="1" x14ac:dyDescent="0.4">
      <c r="A33" t="s">
        <v>712</v>
      </c>
      <c r="B33" s="549">
        <f>B30+B21+B15</f>
        <v>435123244</v>
      </c>
      <c r="E33" s="461">
        <f>E21+E15+E30</f>
        <v>196527401</v>
      </c>
    </row>
    <row r="37" spans="1:5" x14ac:dyDescent="0.25">
      <c r="C37" s="139"/>
    </row>
    <row r="38" spans="1:5" x14ac:dyDescent="0.25">
      <c r="C38" s="139"/>
    </row>
    <row r="39" spans="1:5" x14ac:dyDescent="0.25">
      <c r="B39" s="426"/>
      <c r="C39" s="426"/>
    </row>
    <row r="40" spans="1:5" x14ac:dyDescent="0.25">
      <c r="B40" s="426"/>
      <c r="C40" s="426"/>
    </row>
    <row r="41" spans="1:5" x14ac:dyDescent="0.25">
      <c r="C41" s="139"/>
    </row>
    <row r="42" spans="1:5" x14ac:dyDescent="0.25">
      <c r="C42" s="139"/>
    </row>
    <row r="43" spans="1:5" x14ac:dyDescent="0.25">
      <c r="C43" s="139"/>
    </row>
    <row r="44" spans="1:5" x14ac:dyDescent="0.25">
      <c r="C44" s="139"/>
    </row>
    <row r="45" spans="1:5" x14ac:dyDescent="0.25">
      <c r="B45" s="426"/>
      <c r="C45" s="426"/>
    </row>
    <row r="46" spans="1:5" x14ac:dyDescent="0.25">
      <c r="B46" s="426"/>
      <c r="C46" s="426"/>
    </row>
    <row r="47" spans="1:5" x14ac:dyDescent="0.25">
      <c r="C47" s="139"/>
    </row>
    <row r="48" spans="1:5" x14ac:dyDescent="0.25">
      <c r="C48" s="139"/>
    </row>
    <row r="49" spans="2:3" x14ac:dyDescent="0.25">
      <c r="B49" s="426"/>
      <c r="C49" s="426"/>
    </row>
    <row r="50" spans="2:3" x14ac:dyDescent="0.25">
      <c r="C50" s="139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84"/>
  <sheetViews>
    <sheetView tabSelected="1" workbookViewId="0">
      <selection activeCell="H8" sqref="H8"/>
    </sheetView>
  </sheetViews>
  <sheetFormatPr defaultRowHeight="15" x14ac:dyDescent="0.25"/>
  <cols>
    <col min="3" max="3" width="60.7109375" bestFit="1" customWidth="1"/>
    <col min="4" max="6" width="19.140625" bestFit="1" customWidth="1"/>
  </cols>
  <sheetData>
    <row r="1" spans="1:6" ht="18.75" x14ac:dyDescent="0.3">
      <c r="A1" s="670" t="s">
        <v>756</v>
      </c>
      <c r="B1" s="671"/>
      <c r="C1" s="671"/>
      <c r="D1" s="671"/>
      <c r="E1" s="671"/>
      <c r="F1" s="671"/>
    </row>
    <row r="2" spans="1:6" ht="15.75" x14ac:dyDescent="0.25">
      <c r="A2" s="663"/>
      <c r="B2" s="663"/>
      <c r="C2" s="663"/>
      <c r="D2" s="663"/>
      <c r="E2" s="663"/>
      <c r="F2" s="663"/>
    </row>
    <row r="3" spans="1:6" ht="15.75" x14ac:dyDescent="0.25">
      <c r="A3" s="672" t="s">
        <v>3</v>
      </c>
      <c r="B3" s="672"/>
      <c r="C3" s="672"/>
      <c r="D3" s="672"/>
      <c r="E3" s="672"/>
      <c r="F3" s="672"/>
    </row>
    <row r="4" spans="1:6" ht="15.75" x14ac:dyDescent="0.25">
      <c r="A4" s="663" t="s">
        <v>498</v>
      </c>
      <c r="B4" s="663"/>
      <c r="C4" s="663"/>
      <c r="D4" s="663"/>
      <c r="E4" s="663"/>
      <c r="F4" s="663"/>
    </row>
    <row r="5" spans="1:6" ht="16.5" thickBot="1" x14ac:dyDescent="0.3">
      <c r="A5" s="673" t="s">
        <v>499</v>
      </c>
      <c r="B5" s="673"/>
      <c r="C5" s="673"/>
      <c r="D5" s="673"/>
      <c r="E5" s="673"/>
      <c r="F5" s="673"/>
    </row>
    <row r="6" spans="1:6" ht="12.75" customHeight="1" x14ac:dyDescent="0.25">
      <c r="A6" s="674" t="s">
        <v>6</v>
      </c>
      <c r="B6" s="677" t="s">
        <v>7</v>
      </c>
      <c r="C6" s="677"/>
      <c r="D6" s="990">
        <v>2020</v>
      </c>
      <c r="E6" s="682">
        <v>2021</v>
      </c>
      <c r="F6" s="684">
        <v>2022</v>
      </c>
    </row>
    <row r="7" spans="1:6" ht="35.25" customHeight="1" x14ac:dyDescent="0.25">
      <c r="A7" s="675"/>
      <c r="B7" s="678"/>
      <c r="C7" s="678"/>
      <c r="D7" s="991"/>
      <c r="E7" s="683"/>
      <c r="F7" s="685"/>
    </row>
    <row r="8" spans="1:6" ht="21" customHeight="1" thickBot="1" x14ac:dyDescent="0.3">
      <c r="A8" s="868"/>
      <c r="B8" s="869"/>
      <c r="C8" s="869"/>
      <c r="D8" s="870" t="s">
        <v>881</v>
      </c>
      <c r="E8" s="681"/>
      <c r="F8" s="1088"/>
    </row>
    <row r="9" spans="1:6" ht="15.75" x14ac:dyDescent="0.25">
      <c r="A9" s="327"/>
      <c r="B9" s="677" t="s">
        <v>12</v>
      </c>
      <c r="C9" s="677"/>
      <c r="D9" s="330"/>
      <c r="E9" s="330"/>
      <c r="F9" s="394"/>
    </row>
    <row r="10" spans="1:6" ht="15.75" x14ac:dyDescent="0.25">
      <c r="A10" s="9">
        <v>1</v>
      </c>
      <c r="B10" s="669" t="s">
        <v>13</v>
      </c>
      <c r="C10" s="669"/>
      <c r="D10" s="17">
        <v>123581666</v>
      </c>
      <c r="E10" s="23">
        <f>D10*102%</f>
        <v>126053299.32000001</v>
      </c>
      <c r="F10" s="23">
        <f>D10*103%</f>
        <v>127289115.98</v>
      </c>
    </row>
    <row r="11" spans="1:6" ht="15.75" x14ac:dyDescent="0.25">
      <c r="A11" s="9">
        <v>2</v>
      </c>
      <c r="B11" s="669" t="s">
        <v>14</v>
      </c>
      <c r="C11" s="669"/>
      <c r="D11" s="17">
        <v>22751012</v>
      </c>
      <c r="E11" s="23">
        <f t="shared" ref="E11" si="0">D11*102%</f>
        <v>23206032.240000002</v>
      </c>
      <c r="F11" s="23">
        <f t="shared" ref="F11" si="1">D11*103%</f>
        <v>23433542.359999999</v>
      </c>
    </row>
    <row r="12" spans="1:6" ht="15.75" x14ac:dyDescent="0.25">
      <c r="A12" s="9">
        <v>3</v>
      </c>
      <c r="B12" s="669" t="s">
        <v>15</v>
      </c>
      <c r="C12" s="669"/>
      <c r="D12" s="17">
        <v>82049134</v>
      </c>
      <c r="E12" s="23">
        <v>89500000</v>
      </c>
      <c r="F12" s="23">
        <f>E12*103%</f>
        <v>92185000</v>
      </c>
    </row>
    <row r="13" spans="1:6" ht="15.75" x14ac:dyDescent="0.25">
      <c r="A13" s="9" t="s">
        <v>16</v>
      </c>
      <c r="B13" s="669" t="s">
        <v>17</v>
      </c>
      <c r="C13" s="669"/>
      <c r="D13" s="17">
        <f t="shared" ref="D13:D17" si="2">SUM(E13:G13)</f>
        <v>0</v>
      </c>
      <c r="E13" s="23"/>
      <c r="F13" s="23"/>
    </row>
    <row r="14" spans="1:6" ht="15.75" x14ac:dyDescent="0.25">
      <c r="A14" s="9" t="s">
        <v>18</v>
      </c>
      <c r="B14" s="688" t="s">
        <v>19</v>
      </c>
      <c r="C14" s="688"/>
      <c r="D14" s="17">
        <f>D15+D16+D17+D18</f>
        <v>32067719</v>
      </c>
      <c r="E14" s="23">
        <f>+E15+E16+E17+E18+E19</f>
        <v>32709073.379999999</v>
      </c>
      <c r="F14" s="23">
        <f>+F15+F16+F17+F18+F19</f>
        <v>33363254.847599998</v>
      </c>
    </row>
    <row r="15" spans="1:6" ht="15.75" x14ac:dyDescent="0.25">
      <c r="A15" s="9" t="s">
        <v>20</v>
      </c>
      <c r="B15" s="689" t="s">
        <v>130</v>
      </c>
      <c r="C15" s="689"/>
      <c r="D15" s="17">
        <f t="shared" si="2"/>
        <v>0</v>
      </c>
      <c r="E15" s="23"/>
      <c r="F15" s="23"/>
    </row>
    <row r="16" spans="1:6" ht="15.75" x14ac:dyDescent="0.25">
      <c r="A16" s="9" t="s">
        <v>21</v>
      </c>
      <c r="B16" s="689" t="s">
        <v>22</v>
      </c>
      <c r="C16" s="689"/>
      <c r="D16" s="17">
        <v>18646719</v>
      </c>
      <c r="E16" s="23">
        <f t="shared" ref="E16:F19" si="3">D16*102%</f>
        <v>19019653.379999999</v>
      </c>
      <c r="F16" s="23">
        <f t="shared" si="3"/>
        <v>19400046.4476</v>
      </c>
    </row>
    <row r="17" spans="1:6" ht="15.75" x14ac:dyDescent="0.25">
      <c r="A17" s="9"/>
      <c r="B17" s="690"/>
      <c r="C17" s="691"/>
      <c r="D17" s="17">
        <f t="shared" si="2"/>
        <v>0</v>
      </c>
      <c r="E17" s="23"/>
      <c r="F17" s="23"/>
    </row>
    <row r="18" spans="1:6" ht="15.75" x14ac:dyDescent="0.25">
      <c r="A18" s="9" t="s">
        <v>23</v>
      </c>
      <c r="B18" s="692" t="s">
        <v>24</v>
      </c>
      <c r="C18" s="692"/>
      <c r="D18" s="17">
        <v>13421000</v>
      </c>
      <c r="E18" s="23">
        <f t="shared" ref="E18" si="4">D18*102%</f>
        <v>13689420</v>
      </c>
      <c r="F18" s="23">
        <f t="shared" si="3"/>
        <v>13963208.4</v>
      </c>
    </row>
    <row r="19" spans="1:6" ht="15.75" x14ac:dyDescent="0.25">
      <c r="A19" s="9" t="s">
        <v>25</v>
      </c>
      <c r="B19" s="692"/>
      <c r="C19" s="872"/>
      <c r="D19" s="23"/>
      <c r="E19" s="23">
        <v>0</v>
      </c>
      <c r="F19" s="23">
        <f t="shared" si="3"/>
        <v>0</v>
      </c>
    </row>
    <row r="20" spans="1:6" ht="15.75" x14ac:dyDescent="0.25">
      <c r="A20" s="9"/>
      <c r="B20" s="669" t="s">
        <v>500</v>
      </c>
      <c r="C20" s="669"/>
      <c r="D20" s="23">
        <v>0</v>
      </c>
      <c r="E20" s="23">
        <f t="shared" ref="E20:F21" si="5">D20*102%</f>
        <v>0</v>
      </c>
      <c r="F20" s="23">
        <f t="shared" si="5"/>
        <v>0</v>
      </c>
    </row>
    <row r="21" spans="1:6" ht="15.75" x14ac:dyDescent="0.25">
      <c r="A21" s="9"/>
      <c r="B21" s="669" t="s">
        <v>501</v>
      </c>
      <c r="C21" s="669"/>
      <c r="D21" s="25">
        <v>402885678</v>
      </c>
      <c r="E21" s="23">
        <f t="shared" si="5"/>
        <v>410943391.56</v>
      </c>
      <c r="F21" s="23">
        <f t="shared" si="5"/>
        <v>419162259.39120001</v>
      </c>
    </row>
    <row r="22" spans="1:6" ht="15.75" x14ac:dyDescent="0.25">
      <c r="A22" s="9" t="s">
        <v>1</v>
      </c>
      <c r="B22" s="136" t="s">
        <v>28</v>
      </c>
      <c r="C22" s="335"/>
      <c r="D22" s="27">
        <f>D10+D11+D12+D14+D19+D21+D20</f>
        <v>663335209</v>
      </c>
      <c r="E22" s="23">
        <f>+E10+E11+E12+E13+E14+E21+E20</f>
        <v>682411796.5</v>
      </c>
      <c r="F22" s="23">
        <f>+F10+F11+F12+F13+F14+F21+F20</f>
        <v>695433172.57879996</v>
      </c>
    </row>
    <row r="23" spans="1:6" ht="15.75" x14ac:dyDescent="0.25">
      <c r="A23" s="9" t="s">
        <v>29</v>
      </c>
      <c r="B23" s="669" t="s">
        <v>30</v>
      </c>
      <c r="C23" s="669"/>
      <c r="D23" s="17">
        <v>920189</v>
      </c>
      <c r="E23" s="23">
        <f t="shared" ref="E23:F23" si="6">D23*102%</f>
        <v>938592.78</v>
      </c>
      <c r="F23" s="23">
        <f t="shared" si="6"/>
        <v>957364.63560000004</v>
      </c>
    </row>
    <row r="24" spans="1:6" ht="15.75" x14ac:dyDescent="0.25">
      <c r="A24" s="9" t="s">
        <v>31</v>
      </c>
      <c r="B24" s="669" t="s">
        <v>32</v>
      </c>
      <c r="C24" s="669"/>
      <c r="D24" s="17">
        <v>0</v>
      </c>
      <c r="E24" s="23">
        <f t="shared" ref="E24:F24" si="7">D24*102%</f>
        <v>0</v>
      </c>
      <c r="F24" s="23">
        <f t="shared" si="7"/>
        <v>0</v>
      </c>
    </row>
    <row r="25" spans="1:6" ht="15.75" x14ac:dyDescent="0.25">
      <c r="A25" s="9" t="s">
        <v>33</v>
      </c>
      <c r="B25" s="669" t="s">
        <v>34</v>
      </c>
      <c r="C25" s="669"/>
      <c r="D25" s="17">
        <v>0</v>
      </c>
      <c r="E25" s="32"/>
      <c r="F25" s="32"/>
    </row>
    <row r="26" spans="1:6" ht="15.75" x14ac:dyDescent="0.25">
      <c r="A26" s="9" t="s">
        <v>35</v>
      </c>
      <c r="B26" s="669" t="s">
        <v>36</v>
      </c>
      <c r="C26" s="669"/>
      <c r="D26" s="30">
        <f>+D23+D24+D25</f>
        <v>920189</v>
      </c>
      <c r="E26" s="32">
        <f>SUM(E23:E25)</f>
        <v>938592.78</v>
      </c>
      <c r="F26" s="32">
        <f>SUM(F23:F25)</f>
        <v>957364.63560000004</v>
      </c>
    </row>
    <row r="27" spans="1:6" ht="15.75" x14ac:dyDescent="0.25">
      <c r="A27" s="9" t="s">
        <v>37</v>
      </c>
      <c r="B27" s="669"/>
      <c r="C27" s="669"/>
      <c r="D27" s="25"/>
      <c r="E27" s="23"/>
      <c r="F27" s="23"/>
    </row>
    <row r="28" spans="1:6" ht="15.75" x14ac:dyDescent="0.25">
      <c r="A28" s="9" t="s">
        <v>38</v>
      </c>
      <c r="B28" s="699" t="s">
        <v>877</v>
      </c>
      <c r="C28" s="699"/>
      <c r="D28" s="33">
        <v>6152289</v>
      </c>
      <c r="E28" s="33">
        <f>6152289*102%</f>
        <v>6275334.7800000003</v>
      </c>
      <c r="F28" s="23">
        <f t="shared" ref="F28" si="8">E28*102%</f>
        <v>6400841.4756000005</v>
      </c>
    </row>
    <row r="29" spans="1:6" ht="15.75" x14ac:dyDescent="0.25">
      <c r="A29" s="9" t="s">
        <v>39</v>
      </c>
      <c r="B29" s="699"/>
      <c r="C29" s="699"/>
      <c r="D29" s="33"/>
      <c r="E29" s="35"/>
      <c r="F29" s="35"/>
    </row>
    <row r="30" spans="1:6" ht="19.5" x14ac:dyDescent="0.3">
      <c r="A30" s="36" t="s">
        <v>40</v>
      </c>
      <c r="B30" s="703" t="s">
        <v>302</v>
      </c>
      <c r="C30" s="703"/>
      <c r="D30" s="37">
        <f>+D22+D26+D27+D28+D29</f>
        <v>670407687</v>
      </c>
      <c r="E30" s="66">
        <f>+E22+E26+E27+E28+E29</f>
        <v>689625724.05999994</v>
      </c>
      <c r="F30" s="66">
        <f>+F22+F26+F27+F28+F29</f>
        <v>702791378.68999994</v>
      </c>
    </row>
    <row r="31" spans="1:6" ht="15.75" x14ac:dyDescent="0.25">
      <c r="A31" s="40"/>
      <c r="B31" s="753"/>
      <c r="C31" s="753"/>
      <c r="D31" s="41"/>
      <c r="E31" s="375"/>
      <c r="F31" s="375"/>
    </row>
    <row r="32" spans="1:6" ht="15.75" x14ac:dyDescent="0.25">
      <c r="A32" s="9"/>
      <c r="B32" s="722" t="s">
        <v>42</v>
      </c>
      <c r="C32" s="722"/>
      <c r="D32" s="45"/>
      <c r="E32" s="25"/>
      <c r="F32" s="25"/>
    </row>
    <row r="33" spans="1:6" ht="15.75" x14ac:dyDescent="0.25">
      <c r="A33" s="9" t="s">
        <v>43</v>
      </c>
      <c r="B33" s="697" t="s">
        <v>44</v>
      </c>
      <c r="C33" s="697"/>
      <c r="D33" s="48">
        <v>16373216</v>
      </c>
      <c r="E33" s="23">
        <f t="shared" ref="E33:F33" si="9">D33*102%</f>
        <v>16700680.32</v>
      </c>
      <c r="F33" s="23">
        <f t="shared" si="9"/>
        <v>17034693.926400002</v>
      </c>
    </row>
    <row r="34" spans="1:6" ht="15.75" x14ac:dyDescent="0.25">
      <c r="A34" s="9" t="s">
        <v>45</v>
      </c>
      <c r="B34" s="697" t="s">
        <v>46</v>
      </c>
      <c r="C34" s="697"/>
      <c r="D34" s="48">
        <v>44385000</v>
      </c>
      <c r="E34" s="48">
        <f>SUM(E35:E37)</f>
        <v>45272700</v>
      </c>
      <c r="F34" s="48">
        <f>SUM(F35:F37)</f>
        <v>46178154</v>
      </c>
    </row>
    <row r="35" spans="1:6" ht="15.75" x14ac:dyDescent="0.25">
      <c r="A35" s="9"/>
      <c r="B35" s="51" t="s">
        <v>47</v>
      </c>
      <c r="C35" s="52" t="s">
        <v>48</v>
      </c>
      <c r="D35" s="48">
        <v>40500000</v>
      </c>
      <c r="E35" s="23">
        <f t="shared" ref="E35:F37" si="10">D35*102%</f>
        <v>41310000</v>
      </c>
      <c r="F35" s="23">
        <f t="shared" si="10"/>
        <v>42136200</v>
      </c>
    </row>
    <row r="36" spans="1:6" ht="15.75" x14ac:dyDescent="0.25">
      <c r="A36" s="9"/>
      <c r="B36" s="51" t="s">
        <v>49</v>
      </c>
      <c r="C36" s="52" t="s">
        <v>50</v>
      </c>
      <c r="D36" s="48">
        <v>3300000</v>
      </c>
      <c r="E36" s="23">
        <f t="shared" si="10"/>
        <v>3366000</v>
      </c>
      <c r="F36" s="23">
        <f t="shared" si="10"/>
        <v>3433320</v>
      </c>
    </row>
    <row r="37" spans="1:6" ht="15.75" x14ac:dyDescent="0.25">
      <c r="A37" s="9"/>
      <c r="B37" s="51" t="s">
        <v>51</v>
      </c>
      <c r="C37" s="52" t="s">
        <v>52</v>
      </c>
      <c r="D37" s="48">
        <v>585000</v>
      </c>
      <c r="E37" s="23">
        <f t="shared" si="10"/>
        <v>596700</v>
      </c>
      <c r="F37" s="23">
        <f t="shared" si="10"/>
        <v>608634</v>
      </c>
    </row>
    <row r="38" spans="1:6" ht="15.75" x14ac:dyDescent="0.25">
      <c r="A38" s="9" t="s">
        <v>53</v>
      </c>
      <c r="B38" s="697" t="s">
        <v>54</v>
      </c>
      <c r="C38" s="697"/>
      <c r="D38" s="53">
        <f>D39+D40+D41</f>
        <v>153807216</v>
      </c>
      <c r="E38" s="53">
        <f>SUM(E39:E41)</f>
        <v>156883360.31999999</v>
      </c>
      <c r="F38" s="53">
        <f>SUM(F39:F41)</f>
        <v>160021027.5264</v>
      </c>
    </row>
    <row r="39" spans="1:6" ht="15.75" x14ac:dyDescent="0.25">
      <c r="A39" s="9"/>
      <c r="B39" s="55" t="s">
        <v>55</v>
      </c>
      <c r="C39" s="56" t="s">
        <v>56</v>
      </c>
      <c r="D39" s="53">
        <v>153807216</v>
      </c>
      <c r="E39" s="23">
        <f t="shared" ref="E39:F39" si="11">D39*102%</f>
        <v>156883360.31999999</v>
      </c>
      <c r="F39" s="23">
        <f t="shared" si="11"/>
        <v>160021027.5264</v>
      </c>
    </row>
    <row r="40" spans="1:6" ht="15.75" x14ac:dyDescent="0.25">
      <c r="A40" s="9"/>
      <c r="B40" s="55" t="s">
        <v>57</v>
      </c>
      <c r="C40" s="56" t="s">
        <v>58</v>
      </c>
      <c r="D40" s="53">
        <f t="shared" ref="D40" si="12">SUM(E40:G40)</f>
        <v>0</v>
      </c>
      <c r="E40" s="53">
        <f>SUM(F40:G40)</f>
        <v>0</v>
      </c>
      <c r="F40" s="53">
        <f>SUM(G40:H40)</f>
        <v>0</v>
      </c>
    </row>
    <row r="41" spans="1:6" ht="15.75" x14ac:dyDescent="0.25">
      <c r="A41" s="9"/>
      <c r="B41" s="55" t="s">
        <v>59</v>
      </c>
      <c r="C41" s="56" t="s">
        <v>60</v>
      </c>
      <c r="D41" s="53">
        <v>0</v>
      </c>
      <c r="E41" s="23">
        <f t="shared" ref="E41:F41" si="13">D41*102%</f>
        <v>0</v>
      </c>
      <c r="F41" s="23">
        <f t="shared" si="13"/>
        <v>0</v>
      </c>
    </row>
    <row r="42" spans="1:6" ht="15.75" x14ac:dyDescent="0.25">
      <c r="A42" s="9" t="s">
        <v>16</v>
      </c>
      <c r="B42" s="697" t="s">
        <v>61</v>
      </c>
      <c r="C42" s="697"/>
      <c r="D42" s="53">
        <f>SUM(D43:D46)</f>
        <v>12232078</v>
      </c>
      <c r="E42" s="49">
        <f>E44+E43+E45</f>
        <v>12476719.560000001</v>
      </c>
      <c r="F42" s="49">
        <f>F44+F43+F45</f>
        <v>12726253.951200001</v>
      </c>
    </row>
    <row r="43" spans="1:6" ht="15.75" x14ac:dyDescent="0.25">
      <c r="A43" s="9"/>
      <c r="B43" s="55" t="s">
        <v>62</v>
      </c>
      <c r="C43" s="56" t="s">
        <v>63</v>
      </c>
      <c r="D43" s="53">
        <v>11232078</v>
      </c>
      <c r="E43" s="23">
        <f t="shared" ref="E43:F43" si="14">D43*102%</f>
        <v>11456719.560000001</v>
      </c>
      <c r="F43" s="23">
        <f t="shared" si="14"/>
        <v>11685853.951200001</v>
      </c>
    </row>
    <row r="44" spans="1:6" ht="15.75" x14ac:dyDescent="0.25">
      <c r="A44" s="9"/>
      <c r="B44" s="55" t="s">
        <v>64</v>
      </c>
      <c r="C44" s="56" t="s">
        <v>65</v>
      </c>
      <c r="D44" s="53"/>
      <c r="E44" s="53"/>
      <c r="F44" s="53"/>
    </row>
    <row r="45" spans="1:6" ht="15.75" x14ac:dyDescent="0.25">
      <c r="A45" s="9"/>
      <c r="B45" s="55" t="s">
        <v>66</v>
      </c>
      <c r="C45" s="56" t="s">
        <v>67</v>
      </c>
      <c r="D45" s="53">
        <v>1000000</v>
      </c>
      <c r="E45" s="23">
        <f t="shared" ref="E45:F45" si="15">D45*102%</f>
        <v>1020000</v>
      </c>
      <c r="F45" s="23">
        <f t="shared" si="15"/>
        <v>1040400</v>
      </c>
    </row>
    <row r="46" spans="1:6" ht="15.75" x14ac:dyDescent="0.25">
      <c r="A46" s="9"/>
      <c r="B46" s="55" t="s">
        <v>68</v>
      </c>
      <c r="C46" s="56" t="s">
        <v>69</v>
      </c>
      <c r="D46" s="53"/>
      <c r="E46" s="53"/>
      <c r="F46" s="53"/>
    </row>
    <row r="47" spans="1:6" s="29" customFormat="1" ht="15.75" x14ac:dyDescent="0.25">
      <c r="A47" s="26" t="s">
        <v>1</v>
      </c>
      <c r="B47" s="705" t="s">
        <v>70</v>
      </c>
      <c r="C47" s="705"/>
      <c r="D47" s="58">
        <f>D42+D38+D33+D34</f>
        <v>226797510</v>
      </c>
      <c r="E47" s="60">
        <f>+E33+E34+E38+E42</f>
        <v>231333460.19999999</v>
      </c>
      <c r="F47" s="60">
        <f>+F33+F34+F38+F42</f>
        <v>235960129.40400001</v>
      </c>
    </row>
    <row r="48" spans="1:6" ht="15.75" x14ac:dyDescent="0.25">
      <c r="A48" s="9" t="s">
        <v>18</v>
      </c>
      <c r="B48" s="697" t="s">
        <v>71</v>
      </c>
      <c r="C48" s="697"/>
      <c r="D48" s="49">
        <f>SUM(D49:D50)</f>
        <v>7867898</v>
      </c>
      <c r="E48" s="23">
        <f>E49+E50</f>
        <v>8025255.96</v>
      </c>
      <c r="F48" s="23">
        <f>F49+F50</f>
        <v>8185761.0791999996</v>
      </c>
    </row>
    <row r="49" spans="1:6" ht="15.75" x14ac:dyDescent="0.25">
      <c r="A49" s="9"/>
      <c r="B49" s="55" t="s">
        <v>72</v>
      </c>
      <c r="C49" s="56" t="s">
        <v>73</v>
      </c>
      <c r="D49" s="53">
        <v>3518600</v>
      </c>
      <c r="E49" s="23">
        <f t="shared" ref="E49:E50" si="16">D49*102%</f>
        <v>3588972</v>
      </c>
      <c r="F49" s="23">
        <f t="shared" ref="F49:F50" si="17">E49*102%</f>
        <v>3660751.44</v>
      </c>
    </row>
    <row r="50" spans="1:6" ht="15.75" x14ac:dyDescent="0.25">
      <c r="A50" s="9"/>
      <c r="B50" s="55" t="s">
        <v>74</v>
      </c>
      <c r="C50" s="56" t="s">
        <v>75</v>
      </c>
      <c r="D50" s="53">
        <v>4349298</v>
      </c>
      <c r="E50" s="23">
        <f t="shared" si="16"/>
        <v>4436283.96</v>
      </c>
      <c r="F50" s="23">
        <f t="shared" si="17"/>
        <v>4525009.6392000001</v>
      </c>
    </row>
    <row r="51" spans="1:6" ht="15.75" x14ac:dyDescent="0.25">
      <c r="A51" s="9" t="s">
        <v>29</v>
      </c>
      <c r="B51" s="697" t="s">
        <v>76</v>
      </c>
      <c r="C51" s="697"/>
      <c r="D51" s="53">
        <f>SUM(D52:D53)</f>
        <v>0</v>
      </c>
      <c r="E51" s="53">
        <f>SUM(E52:E53)</f>
        <v>0</v>
      </c>
      <c r="F51" s="53">
        <f>SUM(F52:F53)</f>
        <v>0</v>
      </c>
    </row>
    <row r="52" spans="1:6" ht="15.75" x14ac:dyDescent="0.25">
      <c r="A52" s="9"/>
      <c r="B52" s="55" t="s">
        <v>77</v>
      </c>
      <c r="C52" s="56" t="s">
        <v>78</v>
      </c>
      <c r="D52" s="53"/>
      <c r="E52" s="53"/>
      <c r="F52" s="53"/>
    </row>
    <row r="53" spans="1:6" ht="15.75" x14ac:dyDescent="0.25">
      <c r="A53" s="9"/>
      <c r="B53" s="55" t="s">
        <v>79</v>
      </c>
      <c r="C53" s="56" t="s">
        <v>80</v>
      </c>
      <c r="D53" s="53">
        <v>0</v>
      </c>
      <c r="E53" s="53">
        <v>0</v>
      </c>
      <c r="F53" s="53">
        <v>0</v>
      </c>
    </row>
    <row r="54" spans="1:6" ht="15.75" x14ac:dyDescent="0.25">
      <c r="A54" s="9" t="s">
        <v>31</v>
      </c>
      <c r="B54" s="697" t="s">
        <v>81</v>
      </c>
      <c r="C54" s="697"/>
      <c r="D54" s="53">
        <f>SUM(D55:D57)</f>
        <v>32488107</v>
      </c>
      <c r="E54" s="53">
        <f>SUM(E55:E57)</f>
        <v>33137869.140000001</v>
      </c>
      <c r="F54" s="53">
        <f>SUM(F55:F57)</f>
        <v>33800626.522799999</v>
      </c>
    </row>
    <row r="55" spans="1:6" ht="15.75" x14ac:dyDescent="0.25">
      <c r="A55" s="9"/>
      <c r="B55" s="55" t="s">
        <v>82</v>
      </c>
      <c r="C55" s="56" t="s">
        <v>83</v>
      </c>
      <c r="D55" s="53">
        <v>32488107</v>
      </c>
      <c r="E55" s="23">
        <f t="shared" ref="E55:F55" si="18">D55*102%</f>
        <v>33137869.140000001</v>
      </c>
      <c r="F55" s="23">
        <f t="shared" si="18"/>
        <v>33800626.522799999</v>
      </c>
    </row>
    <row r="56" spans="1:6" ht="15.75" x14ac:dyDescent="0.25">
      <c r="A56" s="9"/>
      <c r="B56" s="55" t="s">
        <v>84</v>
      </c>
      <c r="C56" s="56" t="s">
        <v>85</v>
      </c>
      <c r="D56" s="53">
        <v>0</v>
      </c>
      <c r="E56" s="23">
        <v>0</v>
      </c>
      <c r="F56" s="23">
        <v>0</v>
      </c>
    </row>
    <row r="57" spans="1:6" ht="15.75" x14ac:dyDescent="0.25">
      <c r="A57" s="9"/>
      <c r="B57" s="55" t="s">
        <v>86</v>
      </c>
      <c r="C57" s="56" t="s">
        <v>87</v>
      </c>
      <c r="D57" s="53"/>
      <c r="E57" s="53"/>
      <c r="F57" s="53"/>
    </row>
    <row r="58" spans="1:6" ht="15.75" x14ac:dyDescent="0.25">
      <c r="A58" s="26" t="s">
        <v>35</v>
      </c>
      <c r="B58" s="705" t="s">
        <v>88</v>
      </c>
      <c r="C58" s="705"/>
      <c r="D58" s="58">
        <f>D48+D51+D54</f>
        <v>40356005</v>
      </c>
      <c r="E58" s="53">
        <f>+E48+E51+E54</f>
        <v>41163125.100000001</v>
      </c>
      <c r="F58" s="53">
        <f>+F48+F51+F54</f>
        <v>41986387.601999998</v>
      </c>
    </row>
    <row r="59" spans="1:6" ht="15.75" x14ac:dyDescent="0.25">
      <c r="A59" s="26" t="s">
        <v>37</v>
      </c>
      <c r="B59" s="705" t="s">
        <v>89</v>
      </c>
      <c r="C59" s="705"/>
      <c r="D59" s="60"/>
      <c r="E59" s="60"/>
      <c r="F59" s="60"/>
    </row>
    <row r="60" spans="1:6" ht="15.75" x14ac:dyDescent="0.25">
      <c r="A60" s="26" t="s">
        <v>38</v>
      </c>
      <c r="B60" s="705" t="s">
        <v>90</v>
      </c>
      <c r="C60" s="705"/>
      <c r="D60" s="60"/>
      <c r="E60" s="60"/>
      <c r="F60" s="60"/>
    </row>
    <row r="61" spans="1:6" ht="18.75" x14ac:dyDescent="0.3">
      <c r="A61" s="36" t="s">
        <v>91</v>
      </c>
      <c r="B61" s="707" t="s">
        <v>92</v>
      </c>
      <c r="C61" s="707"/>
      <c r="D61" s="63">
        <f>D47+D58</f>
        <v>267153515</v>
      </c>
      <c r="E61" s="63">
        <f>E47+E58+E59+E60</f>
        <v>272496585.30000001</v>
      </c>
      <c r="F61" s="63">
        <f>F47+F58+F59+F60</f>
        <v>277946517.00600004</v>
      </c>
    </row>
    <row r="62" spans="1:6" ht="18.75" x14ac:dyDescent="0.3">
      <c r="A62" s="36"/>
      <c r="B62" s="707" t="s">
        <v>93</v>
      </c>
      <c r="C62" s="707"/>
      <c r="D62" s="66">
        <f>+D30-D61</f>
        <v>403254172</v>
      </c>
      <c r="E62" s="66">
        <f>+E30-E61</f>
        <v>417129138.75999993</v>
      </c>
      <c r="F62" s="66">
        <f>+F30-F61</f>
        <v>424844861.6839999</v>
      </c>
    </row>
    <row r="63" spans="1:6" ht="18.75" x14ac:dyDescent="0.3">
      <c r="A63" s="36"/>
      <c r="B63" s="697" t="s">
        <v>94</v>
      </c>
      <c r="C63" s="697"/>
      <c r="D63" s="66"/>
      <c r="E63" s="74"/>
      <c r="F63" s="74"/>
    </row>
    <row r="64" spans="1:6" ht="15.75" x14ac:dyDescent="0.25">
      <c r="A64" s="26" t="s">
        <v>39</v>
      </c>
      <c r="B64" s="697" t="s">
        <v>95</v>
      </c>
      <c r="C64" s="697"/>
      <c r="D64" s="25">
        <f>D65+D66</f>
        <v>403254172</v>
      </c>
      <c r="E64" s="25">
        <f>SUM(E65:E66)</f>
        <v>417129138.57999998</v>
      </c>
      <c r="F64" s="25">
        <f>SUM(F65:F66)</f>
        <v>424844861.93159997</v>
      </c>
    </row>
    <row r="65" spans="1:6" ht="18.75" x14ac:dyDescent="0.25">
      <c r="A65" s="36"/>
      <c r="B65" s="68" t="s">
        <v>43</v>
      </c>
      <c r="C65" s="56" t="s">
        <v>96</v>
      </c>
      <c r="D65" s="25">
        <v>21049429</v>
      </c>
      <c r="E65" s="23">
        <f t="shared" ref="E65:F65" si="19">D65*102%</f>
        <v>21470417.580000002</v>
      </c>
      <c r="F65" s="23">
        <f t="shared" si="19"/>
        <v>21899825.931600001</v>
      </c>
    </row>
    <row r="66" spans="1:6" ht="18.75" x14ac:dyDescent="0.25">
      <c r="A66" s="36"/>
      <c r="B66" s="68" t="s">
        <v>45</v>
      </c>
      <c r="C66" s="56" t="s">
        <v>97</v>
      </c>
      <c r="D66" s="25">
        <v>382204743</v>
      </c>
      <c r="E66" s="23">
        <v>395658721</v>
      </c>
      <c r="F66" s="23">
        <v>402945036</v>
      </c>
    </row>
    <row r="67" spans="1:6" ht="18.75" x14ac:dyDescent="0.3">
      <c r="A67" s="36" t="s">
        <v>98</v>
      </c>
      <c r="B67" s="703" t="s">
        <v>99</v>
      </c>
      <c r="C67" s="703"/>
      <c r="D67" s="66">
        <f>D64</f>
        <v>403254172</v>
      </c>
      <c r="E67" s="70">
        <f>E64</f>
        <v>417129138.57999998</v>
      </c>
      <c r="F67" s="70">
        <f>F64</f>
        <v>424844861.93159997</v>
      </c>
    </row>
    <row r="68" spans="1:6" ht="18.75" x14ac:dyDescent="0.3">
      <c r="A68" s="9" t="s">
        <v>100</v>
      </c>
      <c r="B68" s="697" t="s">
        <v>101</v>
      </c>
      <c r="C68" s="697"/>
      <c r="D68" s="66"/>
      <c r="E68" s="66"/>
      <c r="F68" s="66"/>
    </row>
    <row r="69" spans="1:6" ht="18.75" x14ac:dyDescent="0.3">
      <c r="A69" s="9" t="s">
        <v>102</v>
      </c>
      <c r="B69" s="697" t="s">
        <v>103</v>
      </c>
      <c r="C69" s="697"/>
      <c r="D69" s="66">
        <f>SUM(D70:D73)</f>
        <v>0</v>
      </c>
      <c r="E69" s="66">
        <f>SUM(E70:E73)</f>
        <v>0</v>
      </c>
      <c r="F69" s="66">
        <f>SUM(F70:F73)</f>
        <v>0</v>
      </c>
    </row>
    <row r="70" spans="1:6" ht="18.75" x14ac:dyDescent="0.3">
      <c r="A70" s="9"/>
      <c r="B70" s="55" t="s">
        <v>43</v>
      </c>
      <c r="C70" s="56" t="s">
        <v>304</v>
      </c>
      <c r="D70" s="74"/>
      <c r="E70" s="74"/>
      <c r="F70" s="74"/>
    </row>
    <row r="71" spans="1:6" ht="18.75" x14ac:dyDescent="0.3">
      <c r="A71" s="9"/>
      <c r="B71" s="55" t="s">
        <v>45</v>
      </c>
      <c r="C71" s="56" t="s">
        <v>105</v>
      </c>
      <c r="D71" s="66"/>
      <c r="E71" s="66"/>
      <c r="F71" s="66"/>
    </row>
    <row r="72" spans="1:6" ht="18.75" x14ac:dyDescent="0.3">
      <c r="A72" s="9"/>
      <c r="B72" s="55" t="s">
        <v>53</v>
      </c>
      <c r="C72" s="56" t="s">
        <v>106</v>
      </c>
      <c r="D72" s="74"/>
      <c r="E72" s="74"/>
      <c r="F72" s="74"/>
    </row>
    <row r="73" spans="1:6" ht="18.75" x14ac:dyDescent="0.3">
      <c r="A73" s="9"/>
      <c r="B73" s="55" t="s">
        <v>16</v>
      </c>
      <c r="C73" s="56" t="s">
        <v>107</v>
      </c>
      <c r="D73" s="74"/>
      <c r="E73" s="74"/>
      <c r="F73" s="74"/>
    </row>
    <row r="74" spans="1:6" ht="19.5" x14ac:dyDescent="0.3">
      <c r="A74" s="36" t="s">
        <v>108</v>
      </c>
      <c r="B74" s="712" t="s">
        <v>109</v>
      </c>
      <c r="C74" s="712"/>
      <c r="D74" s="66">
        <f>+D68+D69</f>
        <v>0</v>
      </c>
      <c r="E74" s="66">
        <f>+E68+E69</f>
        <v>0</v>
      </c>
      <c r="F74" s="66">
        <f>+F68+F69</f>
        <v>0</v>
      </c>
    </row>
    <row r="75" spans="1:6" ht="18.75" x14ac:dyDescent="0.3">
      <c r="A75" s="36" t="s">
        <v>110</v>
      </c>
      <c r="B75" s="707" t="s">
        <v>111</v>
      </c>
      <c r="C75" s="707"/>
      <c r="D75" s="66">
        <f>+D67+D74</f>
        <v>403254172</v>
      </c>
      <c r="E75" s="66">
        <f>+E67+E74</f>
        <v>417129138.57999998</v>
      </c>
      <c r="F75" s="66">
        <f>+F67+F74</f>
        <v>424844861.93159997</v>
      </c>
    </row>
    <row r="76" spans="1:6" ht="18.75" x14ac:dyDescent="0.3">
      <c r="A76" s="9" t="s">
        <v>112</v>
      </c>
      <c r="B76" s="697" t="s">
        <v>113</v>
      </c>
      <c r="C76" s="697"/>
      <c r="D76" s="66"/>
      <c r="E76" s="23">
        <f t="shared" ref="E76:F76" si="20">D76*102%</f>
        <v>0</v>
      </c>
      <c r="F76" s="23">
        <f t="shared" si="20"/>
        <v>0</v>
      </c>
    </row>
    <row r="77" spans="1:6" ht="18.75" x14ac:dyDescent="0.3">
      <c r="A77" s="9" t="s">
        <v>114</v>
      </c>
      <c r="B77" s="697" t="s">
        <v>115</v>
      </c>
      <c r="C77" s="697"/>
      <c r="D77" s="74">
        <f>SUM(D78:D80)</f>
        <v>0</v>
      </c>
      <c r="E77" s="74">
        <f>F77+G77</f>
        <v>0</v>
      </c>
      <c r="F77" s="74">
        <f>G77+H77</f>
        <v>0</v>
      </c>
    </row>
    <row r="78" spans="1:6" ht="18.75" x14ac:dyDescent="0.3">
      <c r="A78" s="9"/>
      <c r="B78" s="55" t="s">
        <v>43</v>
      </c>
      <c r="C78" s="56" t="s">
        <v>306</v>
      </c>
      <c r="D78" s="74"/>
      <c r="E78" s="74"/>
      <c r="F78" s="74"/>
    </row>
    <row r="79" spans="1:6" ht="18.75" x14ac:dyDescent="0.3">
      <c r="A79" s="9"/>
      <c r="B79" s="55" t="s">
        <v>45</v>
      </c>
      <c r="C79" s="56" t="s">
        <v>307</v>
      </c>
      <c r="D79" s="74"/>
      <c r="E79" s="74"/>
      <c r="F79" s="74"/>
    </row>
    <row r="80" spans="1:6" ht="18.75" x14ac:dyDescent="0.3">
      <c r="A80" s="9" t="s">
        <v>119</v>
      </c>
      <c r="B80" s="708" t="s">
        <v>507</v>
      </c>
      <c r="C80" s="709"/>
      <c r="D80" s="74"/>
      <c r="E80" s="74">
        <v>0</v>
      </c>
      <c r="F80" s="74">
        <v>0</v>
      </c>
    </row>
    <row r="81" spans="1:6" ht="18.75" x14ac:dyDescent="0.3">
      <c r="A81" s="36" t="s">
        <v>120</v>
      </c>
      <c r="B81" s="707" t="s">
        <v>308</v>
      </c>
      <c r="C81" s="707"/>
      <c r="D81" s="74"/>
      <c r="E81" s="66">
        <f>+E76+E77+E80</f>
        <v>0</v>
      </c>
      <c r="F81" s="66">
        <f>+F76+F77+F80</f>
        <v>0</v>
      </c>
    </row>
    <row r="82" spans="1:6" ht="19.5" thickBot="1" x14ac:dyDescent="0.35">
      <c r="A82" s="36" t="s">
        <v>122</v>
      </c>
      <c r="B82" s="707" t="s">
        <v>123</v>
      </c>
      <c r="C82" s="707"/>
      <c r="D82" s="83">
        <f>D30+D81</f>
        <v>670407687</v>
      </c>
      <c r="E82" s="83">
        <f t="shared" ref="E82:F82" si="21">E30+E81</f>
        <v>689625724.05999994</v>
      </c>
      <c r="F82" s="83">
        <f t="shared" si="21"/>
        <v>702791378.68999994</v>
      </c>
    </row>
    <row r="83" spans="1:6" ht="19.5" thickBot="1" x14ac:dyDescent="0.35">
      <c r="A83" s="346" t="s">
        <v>124</v>
      </c>
      <c r="B83" s="347" t="s">
        <v>125</v>
      </c>
      <c r="C83" s="347"/>
      <c r="D83" s="83">
        <f>+D61+D75+D63</f>
        <v>670407687</v>
      </c>
      <c r="E83" s="83">
        <f>E33+E34+E38+E43+E45+E48+E54+E64</f>
        <v>689625723.88</v>
      </c>
      <c r="F83" s="83">
        <f t="shared" ref="F83" si="22">+F61+F75+F63</f>
        <v>702791378.93760002</v>
      </c>
    </row>
    <row r="84" spans="1:6" ht="15.75" x14ac:dyDescent="0.25">
      <c r="A84" s="2"/>
      <c r="B84" s="85"/>
      <c r="C84" s="85"/>
      <c r="E84" s="86"/>
      <c r="F84" s="86"/>
    </row>
  </sheetData>
  <mergeCells count="59">
    <mergeCell ref="B82:C82"/>
    <mergeCell ref="B74:C74"/>
    <mergeCell ref="B75:C75"/>
    <mergeCell ref="B76:C76"/>
    <mergeCell ref="B77:C77"/>
    <mergeCell ref="B80:C80"/>
    <mergeCell ref="B81:C81"/>
    <mergeCell ref="B69:C69"/>
    <mergeCell ref="B51:C51"/>
    <mergeCell ref="B54:C54"/>
    <mergeCell ref="B58:C58"/>
    <mergeCell ref="B59:C59"/>
    <mergeCell ref="B60:C60"/>
    <mergeCell ref="B61:C61"/>
    <mergeCell ref="B62:C62"/>
    <mergeCell ref="B63:C63"/>
    <mergeCell ref="B64:C64"/>
    <mergeCell ref="B67:C67"/>
    <mergeCell ref="B68:C68"/>
    <mergeCell ref="B48:C48"/>
    <mergeCell ref="B27:C27"/>
    <mergeCell ref="B28:C28"/>
    <mergeCell ref="B29:C29"/>
    <mergeCell ref="B30:C30"/>
    <mergeCell ref="B31:C31"/>
    <mergeCell ref="B32:C32"/>
    <mergeCell ref="B33:C33"/>
    <mergeCell ref="B34:C34"/>
    <mergeCell ref="B38:C38"/>
    <mergeCell ref="B42:C42"/>
    <mergeCell ref="B47:C47"/>
    <mergeCell ref="B26:C26"/>
    <mergeCell ref="B14:C14"/>
    <mergeCell ref="B15:C15"/>
    <mergeCell ref="B16:C16"/>
    <mergeCell ref="B17:C17"/>
    <mergeCell ref="B18:C18"/>
    <mergeCell ref="B19:C19"/>
    <mergeCell ref="B20:C20"/>
    <mergeCell ref="B21:C21"/>
    <mergeCell ref="B23:C23"/>
    <mergeCell ref="B24:C24"/>
    <mergeCell ref="B25:C25"/>
    <mergeCell ref="B13:C13"/>
    <mergeCell ref="A1:F1"/>
    <mergeCell ref="A2:F2"/>
    <mergeCell ref="A3:F3"/>
    <mergeCell ref="A4:F4"/>
    <mergeCell ref="A5:F5"/>
    <mergeCell ref="A6:A8"/>
    <mergeCell ref="B6:C8"/>
    <mergeCell ref="D6:D7"/>
    <mergeCell ref="E6:E7"/>
    <mergeCell ref="F6:F7"/>
    <mergeCell ref="D8:F8"/>
    <mergeCell ref="B9:C9"/>
    <mergeCell ref="B10:C10"/>
    <mergeCell ref="B11:C11"/>
    <mergeCell ref="B12:C12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workbookViewId="0">
      <selection activeCell="H8" sqref="H8"/>
    </sheetView>
  </sheetViews>
  <sheetFormatPr defaultColWidth="52.5703125" defaultRowHeight="15" x14ac:dyDescent="0.25"/>
  <cols>
    <col min="1" max="1" width="3.7109375" customWidth="1"/>
    <col min="2" max="2" width="45.7109375" customWidth="1"/>
    <col min="3" max="3" width="8.140625" customWidth="1"/>
    <col min="4" max="4" width="19.42578125" customWidth="1"/>
    <col min="5" max="5" width="3.85546875" bestFit="1" customWidth="1"/>
    <col min="7" max="7" width="27.7109375" customWidth="1"/>
    <col min="8" max="8" width="19.140625" bestFit="1" customWidth="1"/>
  </cols>
  <sheetData>
    <row r="1" spans="1:8" ht="18.75" x14ac:dyDescent="0.3">
      <c r="B1" s="670" t="s">
        <v>756</v>
      </c>
      <c r="C1" s="670"/>
      <c r="D1" s="670"/>
      <c r="E1" s="670"/>
      <c r="F1" s="670"/>
      <c r="G1" s="670"/>
      <c r="H1" s="670"/>
    </row>
    <row r="2" spans="1:8" ht="15.75" x14ac:dyDescent="0.25">
      <c r="B2" s="672" t="s">
        <v>3</v>
      </c>
      <c r="C2" s="672"/>
      <c r="D2" s="672"/>
      <c r="E2" s="672"/>
      <c r="F2" s="672"/>
      <c r="G2" s="672"/>
      <c r="H2" s="672"/>
    </row>
    <row r="3" spans="1:8" ht="15.75" x14ac:dyDescent="0.25">
      <c r="B3" s="672" t="s">
        <v>126</v>
      </c>
      <c r="C3" s="672"/>
      <c r="D3" s="672"/>
      <c r="E3" s="672"/>
      <c r="F3" s="672"/>
      <c r="G3" s="672"/>
      <c r="H3" s="672"/>
    </row>
    <row r="4" spans="1:8" ht="15.75" x14ac:dyDescent="0.25">
      <c r="B4" s="673" t="s">
        <v>127</v>
      </c>
      <c r="C4" s="673"/>
      <c r="D4" s="673"/>
      <c r="E4" s="673"/>
      <c r="F4" s="673"/>
      <c r="G4" s="673"/>
      <c r="H4" s="673"/>
    </row>
    <row r="5" spans="1:8" ht="16.5" thickBot="1" x14ac:dyDescent="0.3">
      <c r="A5" s="88"/>
      <c r="B5" s="89"/>
      <c r="C5" s="89"/>
      <c r="D5" s="89"/>
      <c r="E5" s="89"/>
      <c r="F5" s="89"/>
      <c r="G5" s="89"/>
      <c r="H5" s="89"/>
    </row>
    <row r="6" spans="1:8" ht="28.5" x14ac:dyDescent="0.25">
      <c r="A6" s="90"/>
      <c r="B6" s="713" t="s">
        <v>6</v>
      </c>
      <c r="C6" s="715" t="s">
        <v>7</v>
      </c>
      <c r="D6" s="91" t="s">
        <v>128</v>
      </c>
      <c r="E6" s="91"/>
      <c r="F6" s="677" t="s">
        <v>7</v>
      </c>
      <c r="G6" s="718"/>
      <c r="H6" s="720" t="s">
        <v>128</v>
      </c>
    </row>
    <row r="7" spans="1:8" x14ac:dyDescent="0.25">
      <c r="A7" s="92"/>
      <c r="B7" s="714"/>
      <c r="C7" s="716"/>
      <c r="D7" s="93" t="s">
        <v>920</v>
      </c>
      <c r="E7" s="93"/>
      <c r="F7" s="678"/>
      <c r="G7" s="719"/>
      <c r="H7" s="721"/>
    </row>
    <row r="8" spans="1:8" ht="12.75" customHeight="1" x14ac:dyDescent="0.25">
      <c r="A8" s="92"/>
      <c r="B8" s="714"/>
      <c r="C8" s="717"/>
      <c r="D8" s="93" t="s">
        <v>921</v>
      </c>
      <c r="E8" s="93"/>
      <c r="F8" s="678"/>
      <c r="G8" s="719"/>
      <c r="H8" s="398" t="s">
        <v>922</v>
      </c>
    </row>
    <row r="9" spans="1:8" ht="15.75" x14ac:dyDescent="0.25">
      <c r="A9" s="92"/>
      <c r="B9" s="722" t="s">
        <v>42</v>
      </c>
      <c r="C9" s="722"/>
      <c r="D9" s="18"/>
      <c r="E9" s="93"/>
      <c r="F9" s="678" t="s">
        <v>12</v>
      </c>
      <c r="G9" s="719"/>
      <c r="H9" s="399"/>
    </row>
    <row r="10" spans="1:8" ht="15.75" x14ac:dyDescent="0.25">
      <c r="A10" s="92" t="s">
        <v>43</v>
      </c>
      <c r="B10" s="697" t="s">
        <v>129</v>
      </c>
      <c r="C10" s="697"/>
      <c r="D10" s="18">
        <v>16373216</v>
      </c>
      <c r="E10" s="94" t="s">
        <v>43</v>
      </c>
      <c r="F10" s="669" t="s">
        <v>13</v>
      </c>
      <c r="G10" s="723"/>
      <c r="H10" s="400">
        <v>123581666</v>
      </c>
    </row>
    <row r="11" spans="1:8" ht="15.75" x14ac:dyDescent="0.25">
      <c r="A11" s="92" t="s">
        <v>45</v>
      </c>
      <c r="B11" s="697" t="s">
        <v>46</v>
      </c>
      <c r="C11" s="697"/>
      <c r="D11" s="18">
        <v>44385000</v>
      </c>
      <c r="E11" s="94" t="s">
        <v>45</v>
      </c>
      <c r="F11" s="669" t="s">
        <v>14</v>
      </c>
      <c r="G11" s="723"/>
      <c r="H11" s="400">
        <v>22751012</v>
      </c>
    </row>
    <row r="12" spans="1:8" ht="15.75" x14ac:dyDescent="0.25">
      <c r="A12" s="92" t="s">
        <v>53</v>
      </c>
      <c r="B12" s="697" t="s">
        <v>54</v>
      </c>
      <c r="C12" s="697"/>
      <c r="D12" s="18">
        <v>153807216</v>
      </c>
      <c r="E12" s="94" t="s">
        <v>53</v>
      </c>
      <c r="F12" s="669" t="s">
        <v>15</v>
      </c>
      <c r="G12" s="723"/>
      <c r="H12" s="400">
        <v>82049134</v>
      </c>
    </row>
    <row r="13" spans="1:8" ht="15.75" x14ac:dyDescent="0.25">
      <c r="A13" s="92" t="s">
        <v>16</v>
      </c>
      <c r="B13" s="697" t="s">
        <v>61</v>
      </c>
      <c r="C13" s="697"/>
      <c r="D13" s="18">
        <v>12232078</v>
      </c>
      <c r="E13" s="94" t="s">
        <v>16</v>
      </c>
      <c r="F13" s="688" t="s">
        <v>19</v>
      </c>
      <c r="G13" s="724"/>
      <c r="H13" s="401">
        <f>SUM(H14:H18)-H16</f>
        <v>32067719</v>
      </c>
    </row>
    <row r="14" spans="1:8" ht="15.75" x14ac:dyDescent="0.25">
      <c r="A14" s="95"/>
      <c r="B14" s="725"/>
      <c r="C14" s="725"/>
      <c r="D14" s="96"/>
      <c r="E14" s="94" t="s">
        <v>20</v>
      </c>
      <c r="F14" s="689" t="s">
        <v>130</v>
      </c>
      <c r="G14" s="726"/>
      <c r="H14" s="401"/>
    </row>
    <row r="15" spans="1:8" ht="15.75" x14ac:dyDescent="0.25">
      <c r="A15" s="95"/>
      <c r="B15" s="725"/>
      <c r="C15" s="725"/>
      <c r="D15" s="96"/>
      <c r="E15" s="94" t="s">
        <v>21</v>
      </c>
      <c r="F15" s="689" t="s">
        <v>131</v>
      </c>
      <c r="G15" s="726"/>
      <c r="H15" s="400">
        <v>18646719</v>
      </c>
    </row>
    <row r="16" spans="1:8" ht="15.75" customHeight="1" x14ac:dyDescent="0.25">
      <c r="A16" s="95"/>
      <c r="B16" s="725"/>
      <c r="C16" s="725"/>
      <c r="D16" s="96"/>
      <c r="E16" s="94" t="s">
        <v>23</v>
      </c>
      <c r="F16" s="692"/>
      <c r="G16" s="727"/>
      <c r="H16" s="401"/>
    </row>
    <row r="17" spans="1:8" ht="16.5" x14ac:dyDescent="0.25">
      <c r="A17" s="97"/>
      <c r="B17" s="728"/>
      <c r="C17" s="728"/>
      <c r="D17" s="98"/>
      <c r="E17" s="99" t="s">
        <v>25</v>
      </c>
      <c r="F17" s="729" t="s">
        <v>133</v>
      </c>
      <c r="G17" s="730"/>
      <c r="H17" s="402"/>
    </row>
    <row r="18" spans="1:8" ht="15.75" x14ac:dyDescent="0.25">
      <c r="A18" s="100"/>
      <c r="B18" s="101"/>
      <c r="C18" s="101"/>
      <c r="D18" s="102"/>
      <c r="E18" s="103" t="s">
        <v>18</v>
      </c>
      <c r="F18" s="692" t="s">
        <v>24</v>
      </c>
      <c r="G18" s="731"/>
      <c r="H18" s="402">
        <v>13421000</v>
      </c>
    </row>
    <row r="19" spans="1:8" ht="16.5" customHeight="1" thickBot="1" x14ac:dyDescent="0.3">
      <c r="A19" s="100"/>
      <c r="B19" s="101"/>
      <c r="C19" s="101"/>
      <c r="D19" s="102"/>
      <c r="E19" s="104"/>
      <c r="F19" s="732" t="s">
        <v>26</v>
      </c>
      <c r="G19" s="733"/>
      <c r="H19" s="403">
        <v>402885678</v>
      </c>
    </row>
    <row r="20" spans="1:8" s="109" customFormat="1" ht="15.75" thickBot="1" x14ac:dyDescent="0.3">
      <c r="A20" s="105" t="s">
        <v>40</v>
      </c>
      <c r="B20" s="734" t="s">
        <v>134</v>
      </c>
      <c r="C20" s="734"/>
      <c r="D20" s="106">
        <f>SUM(D10:D18)</f>
        <v>226797510</v>
      </c>
      <c r="E20" s="107" t="s">
        <v>40</v>
      </c>
      <c r="F20" s="108" t="s">
        <v>28</v>
      </c>
      <c r="G20" s="395"/>
      <c r="H20" s="404">
        <f>+H10+H11+H12+H13+H19</f>
        <v>663335209</v>
      </c>
    </row>
    <row r="21" spans="1:8" s="109" customFormat="1" x14ac:dyDescent="0.25">
      <c r="A21" s="110" t="s">
        <v>1</v>
      </c>
      <c r="B21" s="735" t="s">
        <v>135</v>
      </c>
      <c r="C21" s="736"/>
      <c r="D21" s="111">
        <f>D20-H20</f>
        <v>-436537699</v>
      </c>
      <c r="E21" s="112"/>
      <c r="F21" s="113"/>
      <c r="G21" s="396"/>
      <c r="H21" s="405"/>
    </row>
    <row r="22" spans="1:8" ht="15.75" x14ac:dyDescent="0.25">
      <c r="A22" s="114" t="s">
        <v>18</v>
      </c>
      <c r="B22" s="737" t="s">
        <v>71</v>
      </c>
      <c r="C22" s="737"/>
      <c r="D22" s="115">
        <v>7867898</v>
      </c>
      <c r="E22" s="116" t="s">
        <v>29</v>
      </c>
      <c r="F22" s="738" t="s">
        <v>136</v>
      </c>
      <c r="G22" s="739"/>
      <c r="H22" s="406">
        <v>920189</v>
      </c>
    </row>
    <row r="23" spans="1:8" ht="15.75" x14ac:dyDescent="0.25">
      <c r="A23" s="92" t="s">
        <v>29</v>
      </c>
      <c r="B23" s="697" t="s">
        <v>76</v>
      </c>
      <c r="C23" s="697"/>
      <c r="D23" s="18"/>
      <c r="E23" s="94" t="s">
        <v>31</v>
      </c>
      <c r="F23" s="669" t="s">
        <v>32</v>
      </c>
      <c r="G23" s="723"/>
      <c r="H23" s="401">
        <v>0</v>
      </c>
    </row>
    <row r="24" spans="1:8" ht="16.5" thickBot="1" x14ac:dyDescent="0.3">
      <c r="A24" s="117" t="s">
        <v>31</v>
      </c>
      <c r="B24" s="742" t="s">
        <v>81</v>
      </c>
      <c r="C24" s="742"/>
      <c r="D24" s="118">
        <v>32488107</v>
      </c>
      <c r="E24" s="99" t="s">
        <v>33</v>
      </c>
      <c r="F24" s="743" t="s">
        <v>137</v>
      </c>
      <c r="G24" s="744"/>
      <c r="H24" s="402"/>
    </row>
    <row r="25" spans="1:8" s="109" customFormat="1" ht="15.75" thickBot="1" x14ac:dyDescent="0.3">
      <c r="A25" s="105" t="s">
        <v>91</v>
      </c>
      <c r="B25" s="734" t="s">
        <v>88</v>
      </c>
      <c r="C25" s="734"/>
      <c r="D25" s="106">
        <f>SUM(D22:D24)</f>
        <v>40356005</v>
      </c>
      <c r="E25" s="107" t="s">
        <v>91</v>
      </c>
      <c r="F25" s="745" t="s">
        <v>138</v>
      </c>
      <c r="G25" s="746"/>
      <c r="H25" s="407">
        <f>SUM(H22:H24)</f>
        <v>920189</v>
      </c>
    </row>
    <row r="26" spans="1:8" s="109" customFormat="1" x14ac:dyDescent="0.25">
      <c r="A26" s="110" t="s">
        <v>35</v>
      </c>
      <c r="B26" s="735" t="s">
        <v>139</v>
      </c>
      <c r="C26" s="736"/>
      <c r="D26" s="111">
        <f>+D25-H25</f>
        <v>39435816</v>
      </c>
      <c r="E26" s="112"/>
      <c r="F26" s="119" t="s">
        <v>901</v>
      </c>
      <c r="G26" s="397"/>
      <c r="H26" s="408">
        <v>6152289</v>
      </c>
    </row>
    <row r="27" spans="1:8" ht="15.75" x14ac:dyDescent="0.25">
      <c r="A27" s="114" t="s">
        <v>33</v>
      </c>
      <c r="B27" s="737" t="s">
        <v>89</v>
      </c>
      <c r="C27" s="737"/>
      <c r="D27" s="115"/>
      <c r="E27" s="120"/>
      <c r="F27" s="740"/>
      <c r="G27" s="741"/>
      <c r="H27" s="409"/>
    </row>
    <row r="28" spans="1:8" ht="15.75" x14ac:dyDescent="0.25">
      <c r="A28" s="92" t="s">
        <v>140</v>
      </c>
      <c r="B28" s="697" t="s">
        <v>95</v>
      </c>
      <c r="C28" s="697"/>
      <c r="D28" s="18">
        <v>403254172</v>
      </c>
      <c r="E28" s="121"/>
      <c r="F28" s="747"/>
      <c r="G28" s="748"/>
      <c r="H28" s="409"/>
    </row>
    <row r="29" spans="1:8" ht="15.75" x14ac:dyDescent="0.25">
      <c r="A29" s="92" t="s">
        <v>141</v>
      </c>
      <c r="B29" s="697" t="s">
        <v>101</v>
      </c>
      <c r="C29" s="697"/>
      <c r="D29" s="18"/>
      <c r="E29" s="120"/>
      <c r="F29" s="740"/>
      <c r="G29" s="741"/>
      <c r="H29" s="409"/>
    </row>
    <row r="30" spans="1:8" ht="15.75" x14ac:dyDescent="0.25">
      <c r="A30" s="92" t="s">
        <v>142</v>
      </c>
      <c r="B30" s="697" t="s">
        <v>143</v>
      </c>
      <c r="C30" s="697"/>
      <c r="D30" s="18"/>
      <c r="E30" s="120"/>
      <c r="F30" s="741"/>
      <c r="G30" s="749"/>
      <c r="H30" s="409"/>
    </row>
    <row r="31" spans="1:8" ht="15.75" x14ac:dyDescent="0.25">
      <c r="A31" s="122" t="s">
        <v>98</v>
      </c>
      <c r="B31" s="750" t="s">
        <v>144</v>
      </c>
      <c r="C31" s="750"/>
      <c r="D31" s="123">
        <f>SUM(D27:D30)</f>
        <v>403254172</v>
      </c>
      <c r="E31" s="124" t="s">
        <v>108</v>
      </c>
      <c r="F31" s="751" t="s">
        <v>145</v>
      </c>
      <c r="G31" s="752"/>
      <c r="H31" s="410"/>
    </row>
    <row r="32" spans="1:8" ht="18.75" x14ac:dyDescent="0.3">
      <c r="A32" s="92"/>
      <c r="B32" s="697" t="s">
        <v>113</v>
      </c>
      <c r="C32" s="697"/>
      <c r="D32" s="72"/>
      <c r="E32" s="121"/>
      <c r="F32" s="753"/>
      <c r="G32" s="754"/>
      <c r="H32" s="411"/>
    </row>
    <row r="33" spans="1:8" ht="18.75" x14ac:dyDescent="0.3">
      <c r="A33" s="122" t="s">
        <v>108</v>
      </c>
      <c r="B33" s="707" t="s">
        <v>146</v>
      </c>
      <c r="C33" s="707"/>
      <c r="D33" s="72">
        <f>+D20+D25+D31+D32</f>
        <v>670407687</v>
      </c>
      <c r="E33" s="126" t="s">
        <v>110</v>
      </c>
      <c r="F33" s="703" t="s">
        <v>147</v>
      </c>
      <c r="G33" s="756"/>
      <c r="H33" s="412">
        <f>+H20+H25+H29+H31+H27+H26</f>
        <v>670407687</v>
      </c>
    </row>
    <row r="34" spans="1:8" ht="19.5" thickBot="1" x14ac:dyDescent="0.35">
      <c r="A34" s="127"/>
      <c r="B34" s="757" t="s">
        <v>148</v>
      </c>
      <c r="C34" s="757"/>
      <c r="D34" s="128"/>
      <c r="E34" s="129"/>
      <c r="F34" s="758"/>
      <c r="G34" s="759"/>
      <c r="H34" s="413"/>
    </row>
    <row r="35" spans="1:8" ht="15.75" x14ac:dyDescent="0.25">
      <c r="B35" s="130"/>
      <c r="C35" s="130"/>
      <c r="D35" s="130"/>
      <c r="E35" s="130"/>
      <c r="F35" s="755"/>
      <c r="G35" s="755"/>
      <c r="H35" s="131"/>
    </row>
    <row r="36" spans="1:8" ht="15.75" x14ac:dyDescent="0.25">
      <c r="B36" s="130"/>
      <c r="C36" s="130"/>
      <c r="D36" s="132"/>
      <c r="E36" s="130"/>
      <c r="F36" s="755"/>
      <c r="G36" s="755"/>
      <c r="H36" s="131"/>
    </row>
    <row r="37" spans="1:8" ht="15.75" x14ac:dyDescent="0.25">
      <c r="B37" s="130"/>
      <c r="C37" s="130"/>
      <c r="D37" s="130"/>
      <c r="E37" s="130"/>
      <c r="F37" s="755"/>
      <c r="G37" s="755"/>
      <c r="H37" s="131"/>
    </row>
    <row r="38" spans="1:8" ht="15.75" x14ac:dyDescent="0.25">
      <c r="B38" s="130"/>
      <c r="C38" s="130"/>
      <c r="D38" s="130"/>
      <c r="E38" s="130"/>
      <c r="F38" s="755"/>
      <c r="G38" s="755"/>
      <c r="H38" s="131"/>
    </row>
    <row r="39" spans="1:8" ht="15.75" x14ac:dyDescent="0.25">
      <c r="B39" s="130"/>
      <c r="C39" s="130"/>
      <c r="D39" s="130"/>
      <c r="E39" s="130"/>
      <c r="F39" s="755"/>
      <c r="G39" s="755"/>
      <c r="H39" s="131"/>
    </row>
    <row r="40" spans="1:8" ht="15.75" x14ac:dyDescent="0.25">
      <c r="B40" s="130"/>
      <c r="C40" s="130"/>
      <c r="D40" s="130"/>
      <c r="E40" s="130"/>
      <c r="F40" s="755"/>
      <c r="G40" s="755"/>
      <c r="H40" s="131"/>
    </row>
    <row r="41" spans="1:8" ht="15.75" x14ac:dyDescent="0.25">
      <c r="B41" s="130"/>
      <c r="C41" s="130"/>
      <c r="D41" s="130"/>
      <c r="E41" s="130"/>
      <c r="F41" s="755"/>
      <c r="G41" s="755"/>
      <c r="H41" s="131"/>
    </row>
    <row r="42" spans="1:8" ht="15.75" x14ac:dyDescent="0.25">
      <c r="B42" s="130"/>
      <c r="C42" s="130"/>
      <c r="D42" s="130"/>
      <c r="E42" s="130"/>
      <c r="F42" s="755"/>
      <c r="G42" s="755"/>
      <c r="H42" s="131"/>
    </row>
    <row r="43" spans="1:8" ht="15.75" x14ac:dyDescent="0.25">
      <c r="B43" s="130"/>
      <c r="C43" s="130"/>
      <c r="D43" s="130"/>
      <c r="E43" s="130"/>
      <c r="F43" s="755"/>
      <c r="G43" s="755"/>
      <c r="H43" s="131"/>
    </row>
    <row r="44" spans="1:8" ht="15.75" x14ac:dyDescent="0.25">
      <c r="B44" s="130"/>
      <c r="C44" s="130"/>
      <c r="D44" s="130"/>
      <c r="E44" s="130"/>
      <c r="F44" s="755"/>
      <c r="G44" s="755"/>
      <c r="H44" s="131"/>
    </row>
    <row r="45" spans="1:8" ht="15.75" x14ac:dyDescent="0.25">
      <c r="B45" s="130"/>
      <c r="C45" s="130"/>
      <c r="D45" s="130"/>
      <c r="E45" s="130"/>
      <c r="F45" s="755"/>
      <c r="G45" s="755"/>
      <c r="H45" s="131"/>
    </row>
    <row r="46" spans="1:8" ht="15.75" x14ac:dyDescent="0.25">
      <c r="B46" s="130"/>
      <c r="C46" s="130"/>
      <c r="D46" s="130"/>
      <c r="E46" s="130"/>
      <c r="F46" s="755"/>
      <c r="G46" s="755"/>
      <c r="H46" s="131"/>
    </row>
    <row r="47" spans="1:8" ht="15.75" x14ac:dyDescent="0.25">
      <c r="B47" s="130"/>
      <c r="C47" s="130"/>
      <c r="D47" s="130"/>
      <c r="E47" s="130"/>
      <c r="F47" s="755"/>
      <c r="G47" s="755"/>
      <c r="H47" s="131"/>
    </row>
    <row r="48" spans="1:8" ht="18.75" x14ac:dyDescent="0.3">
      <c r="B48" s="130"/>
      <c r="C48" s="130"/>
      <c r="D48" s="130"/>
      <c r="E48" s="130"/>
      <c r="F48" s="755"/>
      <c r="G48" s="755"/>
      <c r="H48" s="133"/>
    </row>
    <row r="49" spans="2:8" ht="18.75" x14ac:dyDescent="0.3">
      <c r="B49" s="134"/>
      <c r="C49" s="134"/>
      <c r="D49" s="134"/>
      <c r="E49" s="134"/>
      <c r="F49" s="760"/>
      <c r="G49" s="760"/>
      <c r="H49" s="133"/>
    </row>
    <row r="50" spans="2:8" ht="18.75" x14ac:dyDescent="0.3">
      <c r="B50" s="130"/>
      <c r="C50" s="130"/>
      <c r="D50" s="130"/>
      <c r="E50" s="130"/>
      <c r="F50" s="760"/>
      <c r="G50" s="760"/>
      <c r="H50" s="135"/>
    </row>
  </sheetData>
  <mergeCells count="71">
    <mergeCell ref="F49:G49"/>
    <mergeCell ref="F50:G50"/>
    <mergeCell ref="F43:G43"/>
    <mergeCell ref="F44:G44"/>
    <mergeCell ref="F45:G45"/>
    <mergeCell ref="F46:G46"/>
    <mergeCell ref="F47:G47"/>
    <mergeCell ref="F48:G48"/>
    <mergeCell ref="F42:G42"/>
    <mergeCell ref="B33:C33"/>
    <mergeCell ref="F33:G33"/>
    <mergeCell ref="B34:C34"/>
    <mergeCell ref="F34:G34"/>
    <mergeCell ref="F35:G35"/>
    <mergeCell ref="F36:G36"/>
    <mergeCell ref="F37:G37"/>
    <mergeCell ref="F38:G38"/>
    <mergeCell ref="F39:G39"/>
    <mergeCell ref="F40:G40"/>
    <mergeCell ref="F41:G41"/>
    <mergeCell ref="B30:C30"/>
    <mergeCell ref="F30:G30"/>
    <mergeCell ref="B31:C31"/>
    <mergeCell ref="F31:G31"/>
    <mergeCell ref="B32:C32"/>
    <mergeCell ref="F32:G32"/>
    <mergeCell ref="B29:C29"/>
    <mergeCell ref="F29:G29"/>
    <mergeCell ref="B23:C23"/>
    <mergeCell ref="F23:G23"/>
    <mergeCell ref="B24:C24"/>
    <mergeCell ref="F24:G24"/>
    <mergeCell ref="B25:C25"/>
    <mergeCell ref="F25:G25"/>
    <mergeCell ref="B26:C26"/>
    <mergeCell ref="B27:C27"/>
    <mergeCell ref="F27:G27"/>
    <mergeCell ref="B28:C28"/>
    <mergeCell ref="F28:G28"/>
    <mergeCell ref="F18:G18"/>
    <mergeCell ref="F19:G19"/>
    <mergeCell ref="B20:C20"/>
    <mergeCell ref="B21:C21"/>
    <mergeCell ref="B22:C22"/>
    <mergeCell ref="F22:G22"/>
    <mergeCell ref="B15:C15"/>
    <mergeCell ref="F15:G15"/>
    <mergeCell ref="B16:C16"/>
    <mergeCell ref="F16:G16"/>
    <mergeCell ref="B17:C17"/>
    <mergeCell ref="F17:G17"/>
    <mergeCell ref="B12:C12"/>
    <mergeCell ref="F12:G12"/>
    <mergeCell ref="B13:C13"/>
    <mergeCell ref="F13:G13"/>
    <mergeCell ref="B14:C14"/>
    <mergeCell ref="F14:G14"/>
    <mergeCell ref="B9:C9"/>
    <mergeCell ref="F9:G9"/>
    <mergeCell ref="B10:C10"/>
    <mergeCell ref="F10:G10"/>
    <mergeCell ref="B11:C11"/>
    <mergeCell ref="F11:G11"/>
    <mergeCell ref="B1:H1"/>
    <mergeCell ref="B2:H2"/>
    <mergeCell ref="B3:H3"/>
    <mergeCell ref="B4:H4"/>
    <mergeCell ref="B6:B8"/>
    <mergeCell ref="C6:C8"/>
    <mergeCell ref="F6:G8"/>
    <mergeCell ref="H6:H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7"/>
  <sheetViews>
    <sheetView workbookViewId="0">
      <selection activeCell="A34" sqref="A34:E34"/>
    </sheetView>
  </sheetViews>
  <sheetFormatPr defaultRowHeight="15" x14ac:dyDescent="0.25"/>
  <cols>
    <col min="1" max="1" width="70.85546875" style="184" bestFit="1" customWidth="1"/>
    <col min="2" max="2" width="22.28515625" style="138" bestFit="1" customWidth="1"/>
    <col min="3" max="3" width="14" style="138" customWidth="1"/>
    <col min="4" max="4" width="15.42578125" style="138" customWidth="1"/>
    <col min="5" max="5" width="22.28515625" style="138" bestFit="1" customWidth="1"/>
    <col min="6" max="6" width="11.5703125" style="138" bestFit="1" customWidth="1"/>
    <col min="7" max="7" width="17.5703125" style="139" customWidth="1"/>
    <col min="8" max="8" width="6.5703125" style="139" customWidth="1"/>
    <col min="9" max="9" width="15.7109375" style="139" bestFit="1" customWidth="1"/>
    <col min="11" max="11" width="14.28515625" customWidth="1"/>
  </cols>
  <sheetData>
    <row r="1" spans="1:11" ht="18.75" x14ac:dyDescent="0.25">
      <c r="A1" s="761" t="s">
        <v>899</v>
      </c>
      <c r="B1" s="761"/>
      <c r="C1" s="761"/>
      <c r="D1" s="761"/>
      <c r="E1" s="761"/>
    </row>
    <row r="2" spans="1:11" ht="18.75" x14ac:dyDescent="0.25">
      <c r="A2" s="761" t="s">
        <v>3</v>
      </c>
      <c r="B2" s="762"/>
      <c r="C2" s="762"/>
      <c r="D2" s="762"/>
      <c r="E2" s="762"/>
      <c r="F2" s="138" t="s">
        <v>149</v>
      </c>
    </row>
    <row r="3" spans="1:11" ht="18.75" x14ac:dyDescent="0.25">
      <c r="A3" s="761" t="s">
        <v>150</v>
      </c>
      <c r="B3" s="762"/>
      <c r="C3" s="762"/>
      <c r="D3" s="762"/>
      <c r="E3" s="762"/>
      <c r="F3" s="140" t="s">
        <v>151</v>
      </c>
    </row>
    <row r="4" spans="1:11" ht="19.5" thickBot="1" x14ac:dyDescent="0.3">
      <c r="A4" s="468"/>
      <c r="B4" s="469"/>
      <c r="C4" s="469"/>
      <c r="D4" s="469"/>
      <c r="E4" s="469"/>
      <c r="F4" s="140"/>
    </row>
    <row r="5" spans="1:11" ht="36.75" thickBot="1" x14ac:dyDescent="0.3">
      <c r="A5" s="141" t="s">
        <v>152</v>
      </c>
      <c r="B5" s="142" t="s">
        <v>153</v>
      </c>
      <c r="C5" s="142" t="s">
        <v>154</v>
      </c>
      <c r="D5" s="142" t="s">
        <v>614</v>
      </c>
      <c r="E5" s="142" t="s">
        <v>910</v>
      </c>
      <c r="F5" s="143" t="s">
        <v>911</v>
      </c>
    </row>
    <row r="6" spans="1:11" ht="15.75" thickBot="1" x14ac:dyDescent="0.3">
      <c r="A6" s="144">
        <v>1</v>
      </c>
      <c r="B6" s="145">
        <v>2</v>
      </c>
      <c r="C6" s="145">
        <v>3</v>
      </c>
      <c r="D6" s="145">
        <v>4</v>
      </c>
      <c r="E6" s="145">
        <v>5</v>
      </c>
      <c r="F6" s="146">
        <v>7</v>
      </c>
    </row>
    <row r="7" spans="1:11" s="151" customFormat="1" ht="20.25" customHeight="1" thickBot="1" x14ac:dyDescent="0.3">
      <c r="A7" s="147" t="s">
        <v>155</v>
      </c>
      <c r="B7" s="148">
        <f>B8+B9</f>
        <v>0</v>
      </c>
      <c r="C7" s="148"/>
      <c r="D7" s="148">
        <f t="shared" ref="D7:E7" si="0">D8+D9</f>
        <v>0</v>
      </c>
      <c r="E7" s="148">
        <f t="shared" si="0"/>
        <v>0</v>
      </c>
      <c r="F7" s="149"/>
      <c r="G7" s="150"/>
      <c r="H7" s="150"/>
      <c r="I7" s="150"/>
    </row>
    <row r="8" spans="1:11" ht="20.25" customHeight="1" x14ac:dyDescent="0.25">
      <c r="A8" s="419"/>
      <c r="B8" s="152"/>
      <c r="C8" s="153"/>
      <c r="D8" s="152"/>
      <c r="E8" s="152"/>
      <c r="F8" s="154"/>
      <c r="K8" s="155"/>
    </row>
    <row r="9" spans="1:11" ht="20.25" customHeight="1" thickBot="1" x14ac:dyDescent="0.3">
      <c r="A9" s="465"/>
      <c r="B9" s="156"/>
      <c r="C9" s="157"/>
      <c r="D9" s="156"/>
      <c r="E9" s="156"/>
      <c r="F9" s="158"/>
      <c r="K9" s="155"/>
    </row>
    <row r="10" spans="1:11" ht="20.25" customHeight="1" thickBot="1" x14ac:dyDescent="0.3">
      <c r="A10" s="159" t="s">
        <v>156</v>
      </c>
      <c r="B10" s="160">
        <f>B15+B18+B29+B40</f>
        <v>920189</v>
      </c>
      <c r="C10" s="160">
        <f t="shared" ref="C10:E10" si="1">C15+C18+C29+C40</f>
        <v>0</v>
      </c>
      <c r="D10" s="160">
        <f t="shared" si="1"/>
        <v>0</v>
      </c>
      <c r="E10" s="160">
        <f t="shared" si="1"/>
        <v>920189</v>
      </c>
      <c r="F10" s="161"/>
      <c r="G10" s="162"/>
      <c r="H10" s="162"/>
      <c r="I10" s="162"/>
    </row>
    <row r="11" spans="1:11" ht="20.25" customHeight="1" thickBot="1" x14ac:dyDescent="0.3">
      <c r="A11" s="170" t="s">
        <v>912</v>
      </c>
      <c r="B11" s="164">
        <v>127000</v>
      </c>
      <c r="C11" s="157">
        <v>2020</v>
      </c>
      <c r="D11" s="171"/>
      <c r="E11" s="172">
        <v>127000</v>
      </c>
      <c r="F11" s="165"/>
      <c r="G11" s="162"/>
      <c r="H11" s="162"/>
      <c r="I11" s="162"/>
    </row>
    <row r="12" spans="1:11" ht="20.25" customHeight="1" thickBot="1" x14ac:dyDescent="0.3">
      <c r="A12" s="163" t="s">
        <v>913</v>
      </c>
      <c r="B12" s="167">
        <v>50800</v>
      </c>
      <c r="C12" s="157">
        <v>2020</v>
      </c>
      <c r="D12" s="173"/>
      <c r="E12" s="174">
        <v>50800</v>
      </c>
      <c r="F12" s="154"/>
      <c r="G12" s="162"/>
      <c r="H12" s="162"/>
      <c r="I12" s="162"/>
    </row>
    <row r="13" spans="1:11" ht="20.25" customHeight="1" thickBot="1" x14ac:dyDescent="0.3">
      <c r="A13" s="163" t="s">
        <v>914</v>
      </c>
      <c r="B13" s="167">
        <v>25400</v>
      </c>
      <c r="C13" s="157">
        <v>2020</v>
      </c>
      <c r="D13" s="173"/>
      <c r="E13" s="174">
        <v>25400</v>
      </c>
      <c r="F13" s="154"/>
      <c r="G13" s="162"/>
      <c r="H13" s="162"/>
      <c r="I13" s="162"/>
    </row>
    <row r="14" spans="1:11" ht="20.25" customHeight="1" thickBot="1" x14ac:dyDescent="0.3">
      <c r="A14" s="163" t="s">
        <v>915</v>
      </c>
      <c r="B14" s="167">
        <v>38100</v>
      </c>
      <c r="C14" s="157">
        <v>2020</v>
      </c>
      <c r="D14" s="173"/>
      <c r="E14" s="174">
        <v>38100</v>
      </c>
      <c r="F14" s="154"/>
      <c r="G14" s="162"/>
      <c r="H14" s="162"/>
      <c r="I14" s="162"/>
    </row>
    <row r="15" spans="1:11" ht="20.25" customHeight="1" thickBot="1" x14ac:dyDescent="0.3">
      <c r="A15" s="168" t="s">
        <v>165</v>
      </c>
      <c r="B15" s="169">
        <f>B11+B12+B13+B14</f>
        <v>241300</v>
      </c>
      <c r="C15" s="169"/>
      <c r="D15" s="169">
        <f t="shared" ref="D15:E15" si="2">D11+D12+D13+D14</f>
        <v>0</v>
      </c>
      <c r="E15" s="169">
        <f t="shared" si="2"/>
        <v>241300</v>
      </c>
      <c r="F15" s="161"/>
      <c r="G15" s="162"/>
      <c r="H15" s="162"/>
      <c r="I15" s="162"/>
    </row>
    <row r="16" spans="1:11" ht="20.25" customHeight="1" thickBot="1" x14ac:dyDescent="0.3">
      <c r="A16" s="170" t="s">
        <v>917</v>
      </c>
      <c r="B16" s="164">
        <v>63500</v>
      </c>
      <c r="C16" s="157">
        <v>2020</v>
      </c>
      <c r="D16" s="171"/>
      <c r="E16" s="172">
        <v>63500</v>
      </c>
      <c r="F16" s="165"/>
      <c r="G16" s="162"/>
      <c r="H16" s="162"/>
      <c r="I16" s="162"/>
    </row>
    <row r="17" spans="1:11" ht="20.25" customHeight="1" thickBot="1" x14ac:dyDescent="0.3">
      <c r="A17" s="163" t="s">
        <v>916</v>
      </c>
      <c r="B17" s="167">
        <v>12700</v>
      </c>
      <c r="C17" s="157">
        <v>2020</v>
      </c>
      <c r="D17" s="173"/>
      <c r="E17" s="174">
        <v>12700</v>
      </c>
      <c r="F17" s="154"/>
      <c r="G17" s="162"/>
      <c r="H17" s="162"/>
      <c r="I17" s="162"/>
    </row>
    <row r="18" spans="1:11" ht="20.25" customHeight="1" thickBot="1" x14ac:dyDescent="0.3">
      <c r="A18" s="168" t="s">
        <v>169</v>
      </c>
      <c r="B18" s="169">
        <f>B16+B17</f>
        <v>76200</v>
      </c>
      <c r="C18" s="169"/>
      <c r="D18" s="169">
        <f t="shared" ref="D18:E18" si="3">D16+D17</f>
        <v>0</v>
      </c>
      <c r="E18" s="169">
        <f t="shared" si="3"/>
        <v>76200</v>
      </c>
      <c r="F18" s="161"/>
      <c r="K18" s="155"/>
    </row>
    <row r="19" spans="1:11" ht="20.25" customHeight="1" x14ac:dyDescent="0.25">
      <c r="A19" s="474"/>
      <c r="B19" s="475"/>
      <c r="C19" s="475"/>
      <c r="D19" s="475"/>
      <c r="E19" s="475"/>
      <c r="F19" s="476"/>
      <c r="K19" s="155"/>
    </row>
    <row r="20" spans="1:11" ht="20.25" customHeight="1" x14ac:dyDescent="0.25">
      <c r="A20" s="761" t="s">
        <v>899</v>
      </c>
      <c r="B20" s="761"/>
      <c r="C20" s="761"/>
      <c r="D20" s="761"/>
      <c r="E20" s="761"/>
      <c r="K20" s="155"/>
    </row>
    <row r="21" spans="1:11" ht="20.25" customHeight="1" x14ac:dyDescent="0.25">
      <c r="A21" s="761" t="s">
        <v>3</v>
      </c>
      <c r="B21" s="762"/>
      <c r="C21" s="762"/>
      <c r="D21" s="762"/>
      <c r="E21" s="762"/>
      <c r="F21" s="138" t="s">
        <v>149</v>
      </c>
      <c r="K21" s="155"/>
    </row>
    <row r="22" spans="1:11" ht="20.25" customHeight="1" thickBot="1" x14ac:dyDescent="0.3">
      <c r="A22" s="761" t="s">
        <v>150</v>
      </c>
      <c r="B22" s="762"/>
      <c r="C22" s="762"/>
      <c r="D22" s="762"/>
      <c r="E22" s="762"/>
      <c r="F22" s="140" t="s">
        <v>151</v>
      </c>
      <c r="K22" s="155"/>
    </row>
    <row r="23" spans="1:11" ht="36.75" thickBot="1" x14ac:dyDescent="0.3">
      <c r="A23" s="633" t="s">
        <v>152</v>
      </c>
      <c r="B23" s="639" t="s">
        <v>153</v>
      </c>
      <c r="C23" s="142" t="s">
        <v>154</v>
      </c>
      <c r="D23" s="639" t="s">
        <v>614</v>
      </c>
      <c r="E23" s="481" t="s">
        <v>910</v>
      </c>
      <c r="F23" s="485" t="s">
        <v>911</v>
      </c>
    </row>
    <row r="24" spans="1:11" s="586" customFormat="1" ht="15.75" customHeight="1" thickBot="1" x14ac:dyDescent="0.3">
      <c r="A24" s="635" t="s">
        <v>829</v>
      </c>
      <c r="B24" s="641">
        <v>317499</v>
      </c>
      <c r="C24" s="632"/>
      <c r="D24" s="635"/>
      <c r="E24" s="641">
        <v>317499</v>
      </c>
      <c r="F24" s="487">
        <v>0</v>
      </c>
      <c r="G24" s="636"/>
      <c r="H24" s="636"/>
      <c r="I24" s="636"/>
      <c r="K24" s="637"/>
    </row>
    <row r="25" spans="1:11" s="586" customFormat="1" ht="20.25" customHeight="1" thickBot="1" x14ac:dyDescent="0.3">
      <c r="A25" s="634" t="s">
        <v>830</v>
      </c>
      <c r="B25" s="641">
        <v>25400</v>
      </c>
      <c r="C25" s="632"/>
      <c r="D25" s="634"/>
      <c r="E25" s="641">
        <v>25400</v>
      </c>
      <c r="F25" s="488"/>
      <c r="G25" s="636"/>
      <c r="H25" s="636"/>
      <c r="I25" s="636"/>
      <c r="K25" s="637"/>
    </row>
    <row r="26" spans="1:11" s="586" customFormat="1" ht="20.25" customHeight="1" thickBot="1" x14ac:dyDescent="0.3">
      <c r="A26" s="634" t="s">
        <v>831</v>
      </c>
      <c r="B26" s="641">
        <v>25400</v>
      </c>
      <c r="C26" s="632"/>
      <c r="D26" s="634"/>
      <c r="E26" s="641">
        <v>25400</v>
      </c>
      <c r="F26" s="489"/>
      <c r="G26" s="636"/>
      <c r="H26" s="636"/>
      <c r="I26" s="636"/>
      <c r="K26" s="637"/>
    </row>
    <row r="27" spans="1:11" s="586" customFormat="1" ht="20.25" customHeight="1" thickBot="1" x14ac:dyDescent="0.3">
      <c r="A27" s="634" t="s">
        <v>833</v>
      </c>
      <c r="B27" s="641">
        <v>25400</v>
      </c>
      <c r="C27" s="632"/>
      <c r="D27" s="634"/>
      <c r="E27" s="641">
        <v>25400</v>
      </c>
      <c r="F27" s="489"/>
      <c r="G27" s="636"/>
      <c r="H27" s="636"/>
      <c r="I27" s="636"/>
      <c r="K27" s="637"/>
    </row>
    <row r="28" spans="1:11" s="586" customFormat="1" ht="20.25" customHeight="1" thickBot="1" x14ac:dyDescent="0.3">
      <c r="A28" s="638" t="s">
        <v>834</v>
      </c>
      <c r="B28" s="641">
        <v>8990</v>
      </c>
      <c r="C28" s="632"/>
      <c r="D28" s="638"/>
      <c r="E28" s="641">
        <v>8990</v>
      </c>
      <c r="F28" s="489"/>
      <c r="G28" s="636"/>
      <c r="H28" s="636"/>
      <c r="J28" s="637"/>
    </row>
    <row r="29" spans="1:11" s="479" customFormat="1" ht="20.25" customHeight="1" thickBot="1" x14ac:dyDescent="0.3">
      <c r="A29" s="176" t="s">
        <v>171</v>
      </c>
      <c r="B29" s="640">
        <f>SUM(B24:B28)</f>
        <v>402689</v>
      </c>
      <c r="C29" s="477"/>
      <c r="D29" s="640">
        <f>SUM(D24:D28)</f>
        <v>0</v>
      </c>
      <c r="E29" s="484">
        <f>SUM(E24:E28)</f>
        <v>402689</v>
      </c>
      <c r="F29" s="494"/>
      <c r="G29" s="478"/>
      <c r="H29" s="478"/>
      <c r="J29" s="480"/>
    </row>
    <row r="30" spans="1:11" ht="19.5" customHeight="1" x14ac:dyDescent="0.25">
      <c r="A30" s="490"/>
      <c r="B30" s="491"/>
      <c r="C30" s="492"/>
      <c r="D30" s="492"/>
      <c r="E30" s="491"/>
      <c r="F30" s="476"/>
      <c r="K30" s="155"/>
    </row>
    <row r="31" spans="1:11" ht="19.5" customHeight="1" x14ac:dyDescent="0.25">
      <c r="A31" s="490"/>
      <c r="B31" s="491"/>
      <c r="C31" s="492"/>
      <c r="D31" s="492"/>
      <c r="E31" s="491"/>
      <c r="F31" s="476"/>
      <c r="K31" s="155"/>
    </row>
    <row r="32" spans="1:11" ht="19.5" customHeight="1" x14ac:dyDescent="0.25">
      <c r="A32" s="490"/>
      <c r="B32" s="491"/>
      <c r="C32" s="492"/>
      <c r="D32" s="492"/>
      <c r="E32" s="491"/>
      <c r="F32" s="476"/>
      <c r="K32" s="155"/>
    </row>
    <row r="33" spans="1:11" ht="18.75" x14ac:dyDescent="0.25">
      <c r="A33" s="761" t="s">
        <v>899</v>
      </c>
      <c r="B33" s="761"/>
      <c r="C33" s="761"/>
      <c r="D33" s="761"/>
      <c r="E33" s="761"/>
    </row>
    <row r="34" spans="1:11" ht="18.75" x14ac:dyDescent="0.25">
      <c r="A34" s="761" t="s">
        <v>3</v>
      </c>
      <c r="B34" s="762"/>
      <c r="C34" s="762"/>
      <c r="D34" s="762"/>
      <c r="E34" s="762"/>
      <c r="F34" s="138" t="s">
        <v>149</v>
      </c>
    </row>
    <row r="35" spans="1:11" ht="18.75" x14ac:dyDescent="0.25">
      <c r="A35" s="761" t="s">
        <v>150</v>
      </c>
      <c r="B35" s="762"/>
      <c r="C35" s="762"/>
      <c r="D35" s="762"/>
      <c r="E35" s="762"/>
      <c r="F35" s="140" t="s">
        <v>151</v>
      </c>
    </row>
    <row r="36" spans="1:11" ht="19.5" thickBot="1" x14ac:dyDescent="0.3">
      <c r="A36" s="468"/>
      <c r="B36" s="469"/>
      <c r="C36" s="469"/>
      <c r="D36" s="469"/>
      <c r="E36" s="469"/>
      <c r="F36" s="140"/>
    </row>
    <row r="37" spans="1:11" ht="36.75" thickBot="1" x14ac:dyDescent="0.3">
      <c r="A37" s="141" t="s">
        <v>152</v>
      </c>
      <c r="B37" s="142" t="s">
        <v>153</v>
      </c>
      <c r="C37" s="142" t="s">
        <v>154</v>
      </c>
      <c r="D37" s="142" t="s">
        <v>614</v>
      </c>
      <c r="E37" s="481" t="s">
        <v>910</v>
      </c>
      <c r="F37" s="485" t="s">
        <v>911</v>
      </c>
    </row>
    <row r="38" spans="1:11" ht="15.75" thickBot="1" x14ac:dyDescent="0.3">
      <c r="A38" s="144">
        <v>1</v>
      </c>
      <c r="B38" s="145">
        <v>2</v>
      </c>
      <c r="C38" s="145">
        <v>3</v>
      </c>
      <c r="D38" s="145">
        <v>4</v>
      </c>
      <c r="E38" s="482">
        <v>5</v>
      </c>
      <c r="F38" s="486">
        <v>7</v>
      </c>
    </row>
    <row r="39" spans="1:11" ht="20.25" customHeight="1" thickBot="1" x14ac:dyDescent="0.3">
      <c r="A39" s="163" t="s">
        <v>918</v>
      </c>
      <c r="B39" s="167">
        <v>200000</v>
      </c>
      <c r="C39" s="166">
        <v>2020</v>
      </c>
      <c r="D39" s="173"/>
      <c r="E39" s="483">
        <v>200000</v>
      </c>
      <c r="F39" s="489"/>
      <c r="I39"/>
      <c r="J39" s="155"/>
    </row>
    <row r="40" spans="1:11" ht="20.25" customHeight="1" thickBot="1" x14ac:dyDescent="0.3">
      <c r="A40" s="168" t="s">
        <v>617</v>
      </c>
      <c r="B40" s="175">
        <f>B39</f>
        <v>200000</v>
      </c>
      <c r="C40" s="175"/>
      <c r="D40" s="175"/>
      <c r="E40" s="175">
        <f t="shared" ref="E40" si="4">E39</f>
        <v>200000</v>
      </c>
      <c r="F40" s="487"/>
      <c r="I40"/>
      <c r="J40" s="155"/>
    </row>
    <row r="41" spans="1:11" s="179" customFormat="1" ht="20.25" customHeight="1" thickBot="1" x14ac:dyDescent="0.3">
      <c r="A41" s="176" t="s">
        <v>172</v>
      </c>
      <c r="B41" s="177">
        <f>B40+B29+B18+B15</f>
        <v>920189</v>
      </c>
      <c r="C41" s="177">
        <f t="shared" ref="C41:F41" si="5">C40+C29+C18+C15</f>
        <v>0</v>
      </c>
      <c r="D41" s="177">
        <f t="shared" si="5"/>
        <v>0</v>
      </c>
      <c r="E41" s="177">
        <f t="shared" si="5"/>
        <v>920189</v>
      </c>
      <c r="F41" s="177">
        <f t="shared" si="5"/>
        <v>0</v>
      </c>
      <c r="G41" s="178"/>
      <c r="H41" s="178"/>
      <c r="I41" s="178"/>
      <c r="K41" s="180"/>
    </row>
    <row r="42" spans="1:11" s="182" customFormat="1" ht="21" thickBot="1" x14ac:dyDescent="0.35">
      <c r="A42" s="495" t="s">
        <v>173</v>
      </c>
      <c r="B42" s="496">
        <f>B7+B10</f>
        <v>920189</v>
      </c>
      <c r="C42" s="496">
        <f>C7+C10</f>
        <v>0</v>
      </c>
      <c r="D42" s="496">
        <f>D7+D10</f>
        <v>0</v>
      </c>
      <c r="E42" s="497">
        <f>E7+E10</f>
        <v>920189</v>
      </c>
      <c r="F42" s="493">
        <f>SUM(F7:F24)</f>
        <v>0</v>
      </c>
      <c r="G42" s="181"/>
      <c r="H42" s="181"/>
      <c r="I42" s="181"/>
      <c r="K42" s="183"/>
    </row>
    <row r="49" spans="1:4" x14ac:dyDescent="0.25">
      <c r="B49" s="185"/>
      <c r="C49" s="185"/>
      <c r="D49" s="185"/>
    </row>
    <row r="50" spans="1:4" ht="15.75" x14ac:dyDescent="0.25">
      <c r="A50" s="186"/>
      <c r="B50" s="187"/>
      <c r="C50" s="188"/>
      <c r="D50" s="189"/>
    </row>
    <row r="51" spans="1:4" ht="15.75" x14ac:dyDescent="0.25">
      <c r="A51" s="186"/>
      <c r="B51" s="190"/>
      <c r="C51" s="191"/>
      <c r="D51" s="189"/>
    </row>
    <row r="52" spans="1:4" ht="15.75" x14ac:dyDescent="0.25">
      <c r="A52" s="192"/>
      <c r="B52" s="190"/>
      <c r="C52" s="191"/>
      <c r="D52" s="189"/>
    </row>
    <row r="53" spans="1:4" ht="15.75" x14ac:dyDescent="0.25">
      <c r="A53" s="186"/>
      <c r="B53" s="190"/>
      <c r="C53" s="191"/>
    </row>
    <row r="54" spans="1:4" x14ac:dyDescent="0.25">
      <c r="A54" s="193"/>
      <c r="B54" s="190"/>
      <c r="C54" s="194"/>
    </row>
    <row r="55" spans="1:4" ht="15.75" x14ac:dyDescent="0.25">
      <c r="A55" s="137"/>
      <c r="B55" s="190"/>
      <c r="C55" s="191"/>
      <c r="D55" s="189"/>
    </row>
    <row r="56" spans="1:4" ht="15.75" x14ac:dyDescent="0.25">
      <c r="A56" s="137"/>
      <c r="C56" s="189"/>
      <c r="D56" s="189"/>
    </row>
    <row r="57" spans="1:4" ht="15.75" x14ac:dyDescent="0.25">
      <c r="A57" s="137"/>
      <c r="C57" s="189"/>
      <c r="D57" s="189"/>
    </row>
  </sheetData>
  <mergeCells count="9">
    <mergeCell ref="A33:E33"/>
    <mergeCell ref="A34:E34"/>
    <mergeCell ref="A35:E35"/>
    <mergeCell ref="A22:E22"/>
    <mergeCell ref="A1:E1"/>
    <mergeCell ref="A2:E2"/>
    <mergeCell ref="A3:E3"/>
    <mergeCell ref="A20:E20"/>
    <mergeCell ref="A21:E21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164"/>
  <sheetViews>
    <sheetView topLeftCell="A4" workbookViewId="0">
      <selection sqref="A1:AH1"/>
    </sheetView>
  </sheetViews>
  <sheetFormatPr defaultRowHeight="12.75" x14ac:dyDescent="0.2"/>
  <cols>
    <col min="1" max="6" width="3.28515625" style="196" customWidth="1"/>
    <col min="7" max="7" width="5.140625" style="196" customWidth="1"/>
    <col min="8" max="11" width="3.28515625" style="196" customWidth="1"/>
    <col min="12" max="12" width="4.28515625" style="196" customWidth="1"/>
    <col min="13" max="14" width="3.28515625" style="196" customWidth="1"/>
    <col min="15" max="15" width="4.42578125" style="196" customWidth="1"/>
    <col min="16" max="19" width="3.28515625" style="196" customWidth="1"/>
    <col min="20" max="20" width="2.42578125" style="196" customWidth="1"/>
    <col min="21" max="21" width="3.28515625" style="196" customWidth="1"/>
    <col min="22" max="22" width="16.5703125" style="198" customWidth="1"/>
    <col min="23" max="23" width="10.5703125" style="196" customWidth="1"/>
    <col min="24" max="25" width="3.28515625" style="196" hidden="1" customWidth="1"/>
    <col min="26" max="26" width="1.85546875" style="196" customWidth="1"/>
    <col min="27" max="27" width="0.42578125" style="196" customWidth="1"/>
    <col min="28" max="34" width="3.28515625" style="196" hidden="1" customWidth="1"/>
    <col min="35" max="35" width="9.140625" style="196"/>
    <col min="36" max="36" width="12.5703125" style="196" bestFit="1" customWidth="1"/>
    <col min="37" max="16384" width="9.140625" style="196"/>
  </cols>
  <sheetData>
    <row r="1" spans="1:35" ht="22.5" customHeight="1" x14ac:dyDescent="0.25">
      <c r="A1" s="777" t="s">
        <v>924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  <c r="T1" s="777"/>
      <c r="U1" s="777"/>
      <c r="V1" s="777"/>
      <c r="W1" s="777"/>
      <c r="X1" s="777"/>
      <c r="Y1" s="777"/>
      <c r="Z1" s="777"/>
      <c r="AA1" s="777"/>
      <c r="AB1" s="777"/>
      <c r="AC1" s="777"/>
      <c r="AD1" s="777"/>
      <c r="AE1" s="777"/>
      <c r="AF1" s="777"/>
      <c r="AG1" s="777"/>
      <c r="AH1" s="777"/>
    </row>
    <row r="2" spans="1:35" ht="15.75" x14ac:dyDescent="0.25">
      <c r="A2" s="777" t="s">
        <v>719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77"/>
      <c r="N2" s="777"/>
      <c r="O2" s="777"/>
      <c r="P2" s="777"/>
      <c r="Q2" s="777"/>
      <c r="R2" s="777"/>
      <c r="S2" s="777"/>
      <c r="T2" s="777"/>
      <c r="U2" s="777"/>
      <c r="V2" s="777"/>
      <c r="W2" s="777"/>
      <c r="X2" s="777"/>
      <c r="Y2" s="777"/>
      <c r="Z2" s="777"/>
      <c r="AA2" s="777"/>
      <c r="AB2" s="777"/>
      <c r="AC2" s="777"/>
      <c r="AD2" s="777"/>
      <c r="AE2" s="777"/>
      <c r="AF2" s="777"/>
      <c r="AG2" s="777"/>
      <c r="AH2" s="777"/>
    </row>
    <row r="3" spans="1:35" ht="15.75" x14ac:dyDescent="0.25">
      <c r="A3" s="555"/>
      <c r="B3" s="555"/>
      <c r="C3" s="555"/>
      <c r="D3" s="555"/>
      <c r="E3" s="555"/>
      <c r="F3" s="777" t="s">
        <v>3</v>
      </c>
      <c r="G3" s="778"/>
      <c r="H3" s="777"/>
      <c r="I3" s="777"/>
      <c r="J3" s="777"/>
      <c r="K3" s="777"/>
      <c r="L3" s="777"/>
      <c r="M3" s="777"/>
      <c r="N3" s="777"/>
      <c r="O3" s="777"/>
      <c r="P3" s="777"/>
      <c r="Q3" s="777"/>
      <c r="R3" s="777"/>
      <c r="S3" s="777"/>
      <c r="T3" s="777"/>
      <c r="U3" s="777"/>
      <c r="V3" s="195"/>
      <c r="W3" s="555"/>
      <c r="X3" s="555"/>
      <c r="Y3" s="555"/>
      <c r="Z3" s="555"/>
      <c r="AA3" s="555"/>
      <c r="AB3" s="555"/>
      <c r="AC3" s="555"/>
      <c r="AD3" s="555"/>
      <c r="AE3" s="555"/>
      <c r="AF3" s="555"/>
      <c r="AG3" s="555"/>
      <c r="AH3" s="555"/>
    </row>
    <row r="4" spans="1:35" ht="15.75" x14ac:dyDescent="0.2">
      <c r="A4" s="780" t="s">
        <v>174</v>
      </c>
      <c r="B4" s="780"/>
      <c r="C4" s="780"/>
      <c r="D4" s="780"/>
      <c r="E4" s="780"/>
      <c r="F4" s="780"/>
      <c r="G4" s="780"/>
      <c r="H4" s="780"/>
      <c r="I4" s="780"/>
      <c r="J4" s="780"/>
      <c r="K4" s="780"/>
      <c r="L4" s="780"/>
      <c r="M4" s="780"/>
      <c r="N4" s="780"/>
      <c r="O4" s="780"/>
      <c r="P4" s="780"/>
      <c r="Q4" s="780"/>
      <c r="R4" s="780"/>
      <c r="S4" s="780"/>
      <c r="T4" s="780"/>
      <c r="U4" s="780"/>
      <c r="V4" s="780"/>
      <c r="W4" s="780"/>
      <c r="X4" s="780"/>
      <c r="Y4" s="780"/>
      <c r="Z4" s="780"/>
      <c r="AA4" s="780"/>
      <c r="AB4" s="780"/>
      <c r="AC4" s="780"/>
      <c r="AD4" s="780"/>
      <c r="AE4" s="780"/>
      <c r="AF4" s="780"/>
      <c r="AG4" s="780"/>
      <c r="AH4" s="780"/>
    </row>
    <row r="5" spans="1:35" ht="15.75" x14ac:dyDescent="0.2">
      <c r="A5" s="556"/>
      <c r="B5" s="556"/>
      <c r="C5" s="556"/>
      <c r="D5" s="556"/>
      <c r="E5" s="556"/>
      <c r="F5" s="556"/>
      <c r="G5" s="556"/>
      <c r="H5" s="556"/>
      <c r="I5" s="556"/>
      <c r="J5" s="556"/>
      <c r="K5" s="556"/>
      <c r="L5" s="556"/>
      <c r="M5" s="556"/>
      <c r="N5" s="556"/>
      <c r="O5" s="556"/>
      <c r="P5" s="556"/>
      <c r="Q5" s="556"/>
      <c r="R5" s="556"/>
      <c r="S5" s="556"/>
      <c r="T5" s="556"/>
      <c r="U5" s="556"/>
      <c r="V5" s="197"/>
      <c r="W5" s="556"/>
      <c r="X5" s="556"/>
      <c r="Y5" s="556"/>
      <c r="Z5" s="556"/>
      <c r="AA5" s="556"/>
      <c r="AB5" s="556"/>
      <c r="AC5" s="556"/>
      <c r="AD5" s="556"/>
      <c r="AE5" s="556"/>
      <c r="AF5" s="556"/>
      <c r="AG5" s="556"/>
      <c r="AH5" s="556"/>
    </row>
    <row r="6" spans="1:35" x14ac:dyDescent="0.2">
      <c r="V6" s="781" t="s">
        <v>923</v>
      </c>
      <c r="W6" s="781"/>
      <c r="X6" s="781"/>
      <c r="Y6" s="781"/>
      <c r="AG6" s="199" t="s">
        <v>175</v>
      </c>
    </row>
    <row r="7" spans="1:35" ht="24.75" customHeight="1" x14ac:dyDescent="0.2">
      <c r="A7" s="767" t="s">
        <v>176</v>
      </c>
      <c r="B7" s="767"/>
      <c r="C7" s="767"/>
      <c r="D7" s="767"/>
      <c r="E7" s="767"/>
      <c r="F7" s="767"/>
      <c r="G7" s="767"/>
      <c r="H7" s="767"/>
      <c r="I7" s="767"/>
      <c r="J7" s="767"/>
      <c r="K7" s="767"/>
      <c r="L7" s="767"/>
      <c r="M7" s="767"/>
      <c r="N7" s="767"/>
      <c r="O7" s="767"/>
      <c r="P7" s="767"/>
      <c r="Q7" s="767"/>
      <c r="R7" s="767"/>
      <c r="S7" s="767"/>
      <c r="T7" s="764">
        <v>1</v>
      </c>
      <c r="U7" s="764"/>
      <c r="V7" s="779">
        <v>4000000</v>
      </c>
      <c r="W7" s="779"/>
      <c r="X7" s="779"/>
      <c r="Y7" s="779"/>
      <c r="Z7" s="779"/>
      <c r="AA7" s="776"/>
      <c r="AB7" s="776"/>
      <c r="AC7" s="776"/>
      <c r="AD7" s="776"/>
      <c r="AE7" s="776"/>
      <c r="AF7" s="581"/>
      <c r="AG7" s="581"/>
    </row>
    <row r="8" spans="1:35" ht="22.5" customHeight="1" x14ac:dyDescent="0.2">
      <c r="A8" s="767" t="s">
        <v>177</v>
      </c>
      <c r="B8" s="767"/>
      <c r="C8" s="767"/>
      <c r="D8" s="767"/>
      <c r="E8" s="767"/>
      <c r="F8" s="767"/>
      <c r="G8" s="767"/>
      <c r="H8" s="767"/>
      <c r="I8" s="767"/>
      <c r="J8" s="767"/>
      <c r="K8" s="767"/>
      <c r="L8" s="767"/>
      <c r="M8" s="767"/>
      <c r="N8" s="767"/>
      <c r="O8" s="767"/>
      <c r="P8" s="767"/>
      <c r="Q8" s="767"/>
      <c r="R8" s="767"/>
      <c r="S8" s="767"/>
      <c r="T8" s="764">
        <v>2</v>
      </c>
      <c r="U8" s="764"/>
      <c r="V8" s="779">
        <v>400000</v>
      </c>
      <c r="W8" s="779"/>
      <c r="X8" s="779"/>
      <c r="Y8" s="779"/>
      <c r="Z8" s="779"/>
      <c r="AA8" s="581"/>
      <c r="AB8" s="581"/>
      <c r="AC8" s="581"/>
      <c r="AD8" s="581"/>
      <c r="AE8" s="581"/>
      <c r="AF8" s="581"/>
      <c r="AG8" s="581"/>
    </row>
    <row r="9" spans="1:35" ht="19.5" customHeight="1" x14ac:dyDescent="0.2">
      <c r="A9" s="782" t="s">
        <v>178</v>
      </c>
      <c r="B9" s="783"/>
      <c r="C9" s="783"/>
      <c r="D9" s="783"/>
      <c r="E9" s="783"/>
      <c r="F9" s="783"/>
      <c r="G9" s="783"/>
      <c r="H9" s="783"/>
      <c r="I9" s="783"/>
      <c r="J9" s="783"/>
      <c r="K9" s="783"/>
      <c r="L9" s="783"/>
      <c r="M9" s="783"/>
      <c r="N9" s="783"/>
      <c r="O9" s="783"/>
      <c r="P9" s="783"/>
      <c r="Q9" s="783"/>
      <c r="R9" s="783"/>
      <c r="S9" s="783"/>
      <c r="T9" s="764">
        <v>4</v>
      </c>
      <c r="U9" s="764"/>
      <c r="V9" s="784">
        <f>V7+V8</f>
        <v>4400000</v>
      </c>
      <c r="W9" s="785"/>
      <c r="X9" s="785"/>
      <c r="Y9" s="785"/>
      <c r="Z9" s="786"/>
      <c r="AA9" s="776"/>
      <c r="AB9" s="776"/>
      <c r="AC9" s="776"/>
      <c r="AD9" s="776"/>
      <c r="AE9" s="776"/>
      <c r="AF9" s="581"/>
      <c r="AG9" s="581"/>
    </row>
    <row r="10" spans="1:35" ht="19.5" customHeight="1" x14ac:dyDescent="0.2">
      <c r="A10" s="767" t="s">
        <v>179</v>
      </c>
      <c r="B10" s="767"/>
      <c r="C10" s="767"/>
      <c r="D10" s="767"/>
      <c r="E10" s="767"/>
      <c r="F10" s="767"/>
      <c r="G10" s="767"/>
      <c r="H10" s="767"/>
      <c r="I10" s="767"/>
      <c r="J10" s="767"/>
      <c r="K10" s="767"/>
      <c r="L10" s="767"/>
      <c r="M10" s="767"/>
      <c r="N10" s="767"/>
      <c r="O10" s="767"/>
      <c r="P10" s="767"/>
      <c r="Q10" s="767"/>
      <c r="R10" s="767"/>
      <c r="S10" s="767"/>
      <c r="T10" s="764">
        <v>5</v>
      </c>
      <c r="U10" s="764"/>
      <c r="V10" s="768">
        <v>3442000</v>
      </c>
      <c r="W10" s="768"/>
      <c r="X10" s="768"/>
      <c r="Y10" s="768"/>
      <c r="Z10" s="768"/>
      <c r="AA10" s="776"/>
      <c r="AB10" s="776"/>
      <c r="AC10" s="776"/>
      <c r="AD10" s="776"/>
      <c r="AE10" s="776"/>
      <c r="AF10" s="581"/>
      <c r="AG10" s="581"/>
      <c r="AI10" s="553"/>
    </row>
    <row r="11" spans="1:35" ht="19.5" customHeight="1" x14ac:dyDescent="0.2">
      <c r="A11" s="767" t="s">
        <v>757</v>
      </c>
      <c r="B11" s="767"/>
      <c r="C11" s="767"/>
      <c r="D11" s="767"/>
      <c r="E11" s="767"/>
      <c r="F11" s="767"/>
      <c r="G11" s="767"/>
      <c r="H11" s="767"/>
      <c r="I11" s="767"/>
      <c r="J11" s="767"/>
      <c r="K11" s="767"/>
      <c r="L11" s="767"/>
      <c r="M11" s="767"/>
      <c r="N11" s="767"/>
      <c r="O11" s="767"/>
      <c r="P11" s="767"/>
      <c r="Q11" s="767"/>
      <c r="R11" s="767"/>
      <c r="S11" s="767"/>
      <c r="T11" s="764">
        <v>8</v>
      </c>
      <c r="U11" s="764"/>
      <c r="V11" s="768">
        <v>2569000</v>
      </c>
      <c r="W11" s="768"/>
      <c r="X11" s="768"/>
      <c r="Y11" s="768"/>
      <c r="Z11" s="768"/>
      <c r="AA11" s="776"/>
      <c r="AB11" s="776"/>
      <c r="AC11" s="776"/>
      <c r="AD11" s="776"/>
      <c r="AE11" s="776"/>
      <c r="AF11" s="581"/>
      <c r="AG11" s="581"/>
    </row>
    <row r="12" spans="1:35" ht="19.5" customHeight="1" x14ac:dyDescent="0.2">
      <c r="A12" s="767" t="s">
        <v>758</v>
      </c>
      <c r="B12" s="767"/>
      <c r="C12" s="767"/>
      <c r="D12" s="767"/>
      <c r="E12" s="767"/>
      <c r="F12" s="767"/>
      <c r="G12" s="767"/>
      <c r="H12" s="767"/>
      <c r="I12" s="767"/>
      <c r="J12" s="767"/>
      <c r="K12" s="767"/>
      <c r="L12" s="767"/>
      <c r="M12" s="767"/>
      <c r="N12" s="767"/>
      <c r="O12" s="767"/>
      <c r="P12" s="767"/>
      <c r="Q12" s="767"/>
      <c r="R12" s="767"/>
      <c r="S12" s="767"/>
      <c r="T12" s="764">
        <v>9</v>
      </c>
      <c r="U12" s="764"/>
      <c r="V12" s="768">
        <v>2010000</v>
      </c>
      <c r="W12" s="768"/>
      <c r="X12" s="768"/>
      <c r="Y12" s="768"/>
      <c r="Z12" s="768"/>
      <c r="AA12" s="776"/>
      <c r="AB12" s="776"/>
      <c r="AC12" s="776"/>
      <c r="AD12" s="776"/>
      <c r="AE12" s="776"/>
      <c r="AF12" s="581"/>
      <c r="AG12" s="581"/>
    </row>
    <row r="13" spans="1:35" ht="19.5" customHeight="1" x14ac:dyDescent="0.2">
      <c r="A13" s="767" t="s">
        <v>180</v>
      </c>
      <c r="B13" s="767"/>
      <c r="C13" s="767"/>
      <c r="D13" s="767"/>
      <c r="E13" s="767"/>
      <c r="F13" s="767"/>
      <c r="G13" s="767"/>
      <c r="H13" s="767"/>
      <c r="I13" s="767"/>
      <c r="J13" s="767"/>
      <c r="K13" s="767"/>
      <c r="L13" s="767"/>
      <c r="M13" s="767"/>
      <c r="N13" s="767"/>
      <c r="O13" s="767"/>
      <c r="P13" s="767"/>
      <c r="Q13" s="767"/>
      <c r="R13" s="767"/>
      <c r="S13" s="767"/>
      <c r="T13" s="764">
        <v>10</v>
      </c>
      <c r="U13" s="764"/>
      <c r="V13" s="768">
        <v>1000000</v>
      </c>
      <c r="W13" s="768"/>
      <c r="X13" s="768"/>
      <c r="Y13" s="768"/>
      <c r="Z13" s="768"/>
      <c r="AA13" s="581"/>
      <c r="AB13" s="581"/>
      <c r="AC13" s="581"/>
      <c r="AD13" s="581"/>
      <c r="AE13" s="581"/>
      <c r="AF13" s="581"/>
      <c r="AG13" s="581"/>
    </row>
    <row r="14" spans="1:35" ht="19.5" customHeight="1" x14ac:dyDescent="0.2">
      <c r="A14" s="775" t="s">
        <v>181</v>
      </c>
      <c r="B14" s="775"/>
      <c r="C14" s="775"/>
      <c r="D14" s="775"/>
      <c r="E14" s="775"/>
      <c r="F14" s="775"/>
      <c r="G14" s="775"/>
      <c r="H14" s="775"/>
      <c r="I14" s="775"/>
      <c r="J14" s="775"/>
      <c r="K14" s="775"/>
      <c r="L14" s="775"/>
      <c r="M14" s="775"/>
      <c r="N14" s="775"/>
      <c r="O14" s="775"/>
      <c r="P14" s="775"/>
      <c r="Q14" s="775"/>
      <c r="R14" s="775"/>
      <c r="S14" s="775"/>
      <c r="T14" s="764">
        <v>11</v>
      </c>
      <c r="U14" s="764"/>
      <c r="V14" s="768">
        <f>V10+V11+V12+V13</f>
        <v>9021000</v>
      </c>
      <c r="W14" s="768"/>
      <c r="X14" s="768"/>
      <c r="Y14" s="768"/>
      <c r="Z14" s="768"/>
      <c r="AA14" s="776"/>
      <c r="AB14" s="776"/>
      <c r="AC14" s="776"/>
      <c r="AD14" s="776"/>
      <c r="AE14" s="776"/>
      <c r="AF14" s="581"/>
      <c r="AG14" s="581"/>
    </row>
    <row r="15" spans="1:35" ht="27" customHeight="1" x14ac:dyDescent="0.25">
      <c r="A15" s="787" t="s">
        <v>182</v>
      </c>
      <c r="B15" s="787"/>
      <c r="C15" s="787"/>
      <c r="D15" s="787"/>
      <c r="E15" s="787"/>
      <c r="F15" s="787"/>
      <c r="G15" s="787"/>
      <c r="H15" s="787"/>
      <c r="I15" s="787"/>
      <c r="J15" s="787"/>
      <c r="K15" s="787"/>
      <c r="L15" s="787"/>
      <c r="M15" s="787"/>
      <c r="N15" s="787"/>
      <c r="O15" s="787"/>
      <c r="P15" s="787"/>
      <c r="Q15" s="787"/>
      <c r="R15" s="787"/>
      <c r="S15" s="787"/>
      <c r="T15" s="764">
        <v>12</v>
      </c>
      <c r="U15" s="764"/>
      <c r="V15" s="788">
        <f>V14+V9</f>
        <v>13421000</v>
      </c>
      <c r="W15" s="788"/>
      <c r="X15" s="788"/>
      <c r="Y15" s="788"/>
      <c r="Z15" s="788"/>
      <c r="AA15" s="789"/>
      <c r="AB15" s="789"/>
      <c r="AC15" s="789"/>
      <c r="AD15" s="789"/>
      <c r="AE15" s="789"/>
      <c r="AF15" s="582"/>
      <c r="AG15" s="582"/>
    </row>
    <row r="16" spans="1:35" ht="20.25" customHeight="1" x14ac:dyDescent="0.2">
      <c r="A16" s="769" t="s">
        <v>183</v>
      </c>
      <c r="B16" s="770"/>
      <c r="C16" s="770"/>
      <c r="D16" s="770"/>
      <c r="E16" s="770"/>
      <c r="F16" s="770"/>
      <c r="G16" s="770"/>
      <c r="H16" s="770"/>
      <c r="I16" s="770"/>
      <c r="J16" s="770"/>
      <c r="K16" s="770"/>
      <c r="L16" s="770"/>
      <c r="M16" s="770"/>
      <c r="N16" s="770"/>
      <c r="O16" s="770"/>
      <c r="P16" s="770"/>
      <c r="Q16" s="770"/>
      <c r="R16" s="770"/>
      <c r="S16" s="771"/>
      <c r="T16" s="764">
        <v>13</v>
      </c>
      <c r="U16" s="764"/>
      <c r="V16" s="768">
        <v>0</v>
      </c>
      <c r="W16" s="768"/>
      <c r="X16" s="768"/>
      <c r="Y16" s="768"/>
      <c r="Z16" s="768"/>
      <c r="AA16" s="772"/>
      <c r="AB16" s="773"/>
      <c r="AC16" s="773"/>
      <c r="AD16" s="773"/>
      <c r="AE16" s="774"/>
      <c r="AF16" s="581"/>
      <c r="AG16" s="581"/>
    </row>
    <row r="17" spans="1:33" ht="21.95" customHeight="1" x14ac:dyDescent="0.25">
      <c r="A17" s="763" t="s">
        <v>184</v>
      </c>
      <c r="B17" s="763"/>
      <c r="C17" s="763"/>
      <c r="D17" s="763"/>
      <c r="E17" s="763"/>
      <c r="F17" s="763"/>
      <c r="G17" s="763"/>
      <c r="H17" s="763"/>
      <c r="I17" s="763"/>
      <c r="J17" s="763"/>
      <c r="K17" s="763"/>
      <c r="L17" s="763"/>
      <c r="M17" s="763"/>
      <c r="N17" s="763"/>
      <c r="O17" s="763"/>
      <c r="P17" s="763"/>
      <c r="Q17" s="763"/>
      <c r="R17" s="763"/>
      <c r="S17" s="763"/>
      <c r="T17" s="764">
        <v>14</v>
      </c>
      <c r="U17" s="764"/>
      <c r="V17" s="765">
        <f>V15</f>
        <v>13421000</v>
      </c>
      <c r="W17" s="765"/>
      <c r="X17" s="765"/>
      <c r="Y17" s="765"/>
      <c r="Z17" s="765"/>
      <c r="AA17" s="766"/>
      <c r="AB17" s="766"/>
      <c r="AC17" s="766"/>
      <c r="AD17" s="766"/>
      <c r="AE17" s="766"/>
      <c r="AF17" s="583"/>
      <c r="AG17" s="583"/>
    </row>
    <row r="18" spans="1:33" ht="21.95" customHeight="1" x14ac:dyDescent="0.2"/>
    <row r="19" spans="1:33" ht="21.95" customHeight="1" x14ac:dyDescent="0.2"/>
    <row r="20" spans="1:33" ht="21.95" customHeight="1" x14ac:dyDescent="0.2"/>
    <row r="21" spans="1:33" ht="21.95" customHeight="1" x14ac:dyDescent="0.2"/>
    <row r="22" spans="1:33" ht="21.95" customHeight="1" x14ac:dyDescent="0.2"/>
    <row r="23" spans="1:33" ht="21.95" customHeight="1" x14ac:dyDescent="0.2"/>
    <row r="24" spans="1:33" ht="21.95" customHeight="1" x14ac:dyDescent="0.2"/>
    <row r="25" spans="1:33" ht="21.95" customHeight="1" x14ac:dyDescent="0.2"/>
    <row r="26" spans="1:33" ht="21.95" customHeight="1" x14ac:dyDescent="0.2"/>
    <row r="27" spans="1:33" ht="21.95" customHeight="1" x14ac:dyDescent="0.2"/>
    <row r="28" spans="1:33" ht="21.95" customHeight="1" x14ac:dyDescent="0.2"/>
    <row r="29" spans="1:33" ht="21.95" customHeight="1" x14ac:dyDescent="0.2"/>
    <row r="30" spans="1:33" ht="21.95" customHeight="1" x14ac:dyDescent="0.2"/>
    <row r="31" spans="1:33" ht="21.95" customHeight="1" x14ac:dyDescent="0.2"/>
    <row r="32" spans="1:33" ht="21.95" customHeight="1" x14ac:dyDescent="0.2"/>
    <row r="33" ht="21.95" customHeight="1" x14ac:dyDescent="0.2"/>
    <row r="34" ht="21.95" customHeight="1" x14ac:dyDescent="0.2"/>
    <row r="35" ht="21.95" customHeight="1" x14ac:dyDescent="0.2"/>
    <row r="36" ht="21.95" customHeight="1" x14ac:dyDescent="0.2"/>
    <row r="37" ht="21.95" customHeight="1" x14ac:dyDescent="0.2"/>
    <row r="38" ht="21.95" customHeight="1" x14ac:dyDescent="0.2"/>
    <row r="39" ht="21.95" customHeight="1" x14ac:dyDescent="0.2"/>
    <row r="40" ht="21.95" customHeight="1" x14ac:dyDescent="0.2"/>
    <row r="41" ht="21.95" customHeight="1" x14ac:dyDescent="0.2"/>
    <row r="42" ht="21.95" customHeight="1" x14ac:dyDescent="0.2"/>
    <row r="43" ht="21.95" customHeight="1" x14ac:dyDescent="0.2"/>
    <row r="44" ht="21.95" customHeight="1" x14ac:dyDescent="0.2"/>
    <row r="45" ht="21.95" customHeight="1" x14ac:dyDescent="0.2"/>
    <row r="46" ht="21.95" customHeight="1" x14ac:dyDescent="0.2"/>
    <row r="47" ht="21.95" customHeight="1" x14ac:dyDescent="0.2"/>
    <row r="48" ht="21.95" customHeight="1" x14ac:dyDescent="0.2"/>
    <row r="49" ht="21.95" customHeight="1" x14ac:dyDescent="0.2"/>
    <row r="50" ht="21.95" customHeight="1" x14ac:dyDescent="0.2"/>
    <row r="51" ht="21.95" customHeight="1" x14ac:dyDescent="0.2"/>
    <row r="52" ht="21.95" customHeight="1" x14ac:dyDescent="0.2"/>
    <row r="53" ht="21.95" customHeight="1" x14ac:dyDescent="0.2"/>
    <row r="54" ht="21.95" customHeight="1" x14ac:dyDescent="0.2"/>
    <row r="55" ht="21.95" customHeight="1" x14ac:dyDescent="0.2"/>
    <row r="56" ht="21.95" customHeight="1" x14ac:dyDescent="0.2"/>
    <row r="57" ht="21.95" customHeight="1" x14ac:dyDescent="0.2"/>
    <row r="58" ht="21.95" customHeight="1" x14ac:dyDescent="0.2"/>
    <row r="59" ht="21.95" customHeight="1" x14ac:dyDescent="0.2"/>
    <row r="60" ht="21.95" customHeight="1" x14ac:dyDescent="0.2"/>
    <row r="61" ht="21.95" customHeight="1" x14ac:dyDescent="0.2"/>
    <row r="62" ht="21.95" customHeight="1" x14ac:dyDescent="0.2"/>
    <row r="63" ht="21.95" customHeight="1" x14ac:dyDescent="0.2"/>
    <row r="64" ht="21.95" customHeight="1" x14ac:dyDescent="0.2"/>
    <row r="65" ht="21.95" customHeight="1" x14ac:dyDescent="0.2"/>
    <row r="66" ht="21.95" customHeight="1" x14ac:dyDescent="0.2"/>
    <row r="67" ht="21.95" customHeight="1" x14ac:dyDescent="0.2"/>
    <row r="68" ht="21.95" customHeight="1" x14ac:dyDescent="0.2"/>
    <row r="69" ht="21.95" customHeight="1" x14ac:dyDescent="0.2"/>
    <row r="70" ht="21.95" customHeight="1" x14ac:dyDescent="0.2"/>
    <row r="71" ht="21.95" customHeight="1" x14ac:dyDescent="0.2"/>
    <row r="72" ht="21.95" customHeight="1" x14ac:dyDescent="0.2"/>
    <row r="73" ht="21.95" customHeight="1" x14ac:dyDescent="0.2"/>
    <row r="74" ht="21.95" customHeight="1" x14ac:dyDescent="0.2"/>
    <row r="75" ht="21.95" customHeight="1" x14ac:dyDescent="0.2"/>
    <row r="76" ht="21.95" customHeight="1" x14ac:dyDescent="0.2"/>
    <row r="77" ht="21.95" customHeight="1" x14ac:dyDescent="0.2"/>
    <row r="78" ht="21.95" customHeight="1" x14ac:dyDescent="0.2"/>
    <row r="79" ht="21.95" customHeight="1" x14ac:dyDescent="0.2"/>
    <row r="80" ht="21.95" customHeight="1" x14ac:dyDescent="0.2"/>
    <row r="81" spans="1:4" ht="21.95" customHeight="1" x14ac:dyDescent="0.2"/>
    <row r="82" spans="1:4" ht="21.95" customHeight="1" x14ac:dyDescent="0.2">
      <c r="A82" s="200"/>
      <c r="B82" s="200"/>
      <c r="C82" s="200"/>
      <c r="D82" s="200"/>
    </row>
    <row r="83" spans="1:4" ht="21.95" customHeight="1" x14ac:dyDescent="0.2">
      <c r="A83" s="200"/>
      <c r="B83" s="200"/>
      <c r="C83" s="200"/>
      <c r="D83" s="200"/>
    </row>
    <row r="84" spans="1:4" ht="21.95" customHeight="1" x14ac:dyDescent="0.2">
      <c r="A84" s="200"/>
      <c r="B84" s="200"/>
      <c r="C84" s="200"/>
      <c r="D84" s="200"/>
    </row>
    <row r="85" spans="1:4" ht="21.95" customHeight="1" x14ac:dyDescent="0.2">
      <c r="A85" s="200"/>
      <c r="B85" s="200"/>
      <c r="C85" s="200"/>
      <c r="D85" s="200"/>
    </row>
    <row r="86" spans="1:4" ht="21.95" customHeight="1" x14ac:dyDescent="0.2">
      <c r="A86" s="200"/>
      <c r="B86" s="200"/>
      <c r="C86" s="200"/>
      <c r="D86" s="200"/>
    </row>
    <row r="87" spans="1:4" ht="21.95" customHeight="1" x14ac:dyDescent="0.2">
      <c r="A87" s="200"/>
      <c r="B87" s="200"/>
      <c r="C87" s="200"/>
      <c r="D87" s="200"/>
    </row>
    <row r="88" spans="1:4" ht="21.95" customHeight="1" x14ac:dyDescent="0.2">
      <c r="A88" s="200"/>
      <c r="B88" s="200"/>
      <c r="C88" s="200"/>
      <c r="D88" s="200"/>
    </row>
    <row r="89" spans="1:4" ht="21.95" customHeight="1" x14ac:dyDescent="0.2">
      <c r="A89" s="200"/>
      <c r="B89" s="200"/>
      <c r="C89" s="200"/>
      <c r="D89" s="200"/>
    </row>
    <row r="90" spans="1:4" ht="21.95" customHeight="1" x14ac:dyDescent="0.2">
      <c r="A90" s="200"/>
      <c r="B90" s="200"/>
      <c r="C90" s="200"/>
      <c r="D90" s="200"/>
    </row>
    <row r="91" spans="1:4" ht="21.95" customHeight="1" x14ac:dyDescent="0.2">
      <c r="A91" s="200"/>
      <c r="B91" s="200"/>
      <c r="C91" s="200"/>
      <c r="D91" s="200"/>
    </row>
    <row r="92" spans="1:4" ht="21.95" customHeight="1" x14ac:dyDescent="0.2">
      <c r="A92" s="200"/>
      <c r="B92" s="200"/>
      <c r="C92" s="200"/>
      <c r="D92" s="200"/>
    </row>
    <row r="93" spans="1:4" ht="21.95" customHeight="1" x14ac:dyDescent="0.2">
      <c r="A93" s="200"/>
      <c r="B93" s="200"/>
      <c r="C93" s="200"/>
      <c r="D93" s="200"/>
    </row>
    <row r="94" spans="1:4" ht="21.95" customHeight="1" x14ac:dyDescent="0.2">
      <c r="A94" s="200"/>
      <c r="B94" s="200"/>
      <c r="C94" s="200"/>
      <c r="D94" s="200"/>
    </row>
    <row r="95" spans="1:4" ht="21.95" customHeight="1" x14ac:dyDescent="0.2">
      <c r="A95" s="200"/>
      <c r="B95" s="200"/>
      <c r="C95" s="200"/>
      <c r="D95" s="200"/>
    </row>
    <row r="96" spans="1:4" ht="21.95" customHeight="1" x14ac:dyDescent="0.2">
      <c r="A96" s="200"/>
      <c r="B96" s="200"/>
      <c r="C96" s="200"/>
      <c r="D96" s="200"/>
    </row>
    <row r="97" spans="1:4" ht="21.95" customHeight="1" x14ac:dyDescent="0.2">
      <c r="A97" s="200"/>
      <c r="B97" s="200"/>
      <c r="C97" s="200"/>
      <c r="D97" s="200"/>
    </row>
    <row r="98" spans="1:4" ht="21.95" customHeight="1" x14ac:dyDescent="0.2">
      <c r="A98" s="200"/>
      <c r="B98" s="200"/>
      <c r="C98" s="200"/>
      <c r="D98" s="200"/>
    </row>
    <row r="99" spans="1:4" ht="21.95" customHeight="1" x14ac:dyDescent="0.2">
      <c r="A99" s="200"/>
      <c r="B99" s="200"/>
      <c r="C99" s="200"/>
      <c r="D99" s="200"/>
    </row>
    <row r="100" spans="1:4" ht="21.95" customHeight="1" x14ac:dyDescent="0.2">
      <c r="A100" s="200"/>
      <c r="B100" s="200"/>
      <c r="C100" s="200"/>
      <c r="D100" s="200"/>
    </row>
    <row r="101" spans="1:4" ht="21.95" customHeight="1" x14ac:dyDescent="0.2">
      <c r="A101" s="200"/>
      <c r="B101" s="200"/>
      <c r="C101" s="200"/>
      <c r="D101" s="200"/>
    </row>
    <row r="102" spans="1:4" ht="21.95" customHeight="1" x14ac:dyDescent="0.2">
      <c r="A102" s="200"/>
      <c r="B102" s="200"/>
      <c r="C102" s="200"/>
      <c r="D102" s="200"/>
    </row>
    <row r="103" spans="1:4" ht="21.95" customHeight="1" x14ac:dyDescent="0.2">
      <c r="A103" s="200"/>
      <c r="B103" s="200"/>
      <c r="C103" s="200"/>
      <c r="D103" s="200"/>
    </row>
    <row r="104" spans="1:4" ht="21.95" customHeight="1" x14ac:dyDescent="0.2">
      <c r="A104" s="200"/>
      <c r="B104" s="200"/>
      <c r="C104" s="200"/>
      <c r="D104" s="200"/>
    </row>
    <row r="105" spans="1:4" ht="21.95" customHeight="1" x14ac:dyDescent="0.2">
      <c r="A105" s="200"/>
      <c r="B105" s="200"/>
      <c r="C105" s="200"/>
      <c r="D105" s="200"/>
    </row>
    <row r="106" spans="1:4" ht="21.95" customHeight="1" x14ac:dyDescent="0.2">
      <c r="A106" s="200"/>
      <c r="B106" s="200"/>
      <c r="C106" s="200"/>
      <c r="D106" s="200"/>
    </row>
    <row r="107" spans="1:4" ht="21.95" customHeight="1" x14ac:dyDescent="0.2">
      <c r="A107" s="200"/>
      <c r="B107" s="200"/>
      <c r="C107" s="200"/>
      <c r="D107" s="200"/>
    </row>
    <row r="108" spans="1:4" ht="21.95" customHeight="1" x14ac:dyDescent="0.2">
      <c r="A108" s="200"/>
      <c r="B108" s="200"/>
      <c r="C108" s="200"/>
      <c r="D108" s="200"/>
    </row>
    <row r="109" spans="1:4" ht="21.95" customHeight="1" x14ac:dyDescent="0.2">
      <c r="A109" s="200"/>
      <c r="B109" s="200"/>
      <c r="C109" s="200"/>
      <c r="D109" s="200"/>
    </row>
    <row r="110" spans="1:4" ht="21.95" customHeight="1" x14ac:dyDescent="0.2">
      <c r="A110" s="200"/>
      <c r="B110" s="200"/>
      <c r="C110" s="200"/>
      <c r="D110" s="200"/>
    </row>
    <row r="111" spans="1:4" ht="21.95" customHeight="1" x14ac:dyDescent="0.2">
      <c r="A111" s="200"/>
      <c r="B111" s="200"/>
      <c r="C111" s="200"/>
      <c r="D111" s="200"/>
    </row>
    <row r="112" spans="1:4" ht="21.95" customHeight="1" x14ac:dyDescent="0.2">
      <c r="A112" s="200"/>
      <c r="B112" s="200"/>
      <c r="C112" s="200"/>
      <c r="D112" s="200"/>
    </row>
    <row r="113" spans="1:4" ht="21.95" customHeight="1" x14ac:dyDescent="0.2">
      <c r="A113" s="200"/>
      <c r="B113" s="200"/>
      <c r="C113" s="200"/>
      <c r="D113" s="200"/>
    </row>
    <row r="114" spans="1:4" ht="21.95" customHeight="1" x14ac:dyDescent="0.2">
      <c r="A114" s="200"/>
      <c r="B114" s="200"/>
      <c r="C114" s="200"/>
      <c r="D114" s="200"/>
    </row>
    <row r="115" spans="1:4" ht="21.95" customHeight="1" x14ac:dyDescent="0.2">
      <c r="A115" s="200"/>
      <c r="B115" s="200"/>
      <c r="C115" s="200"/>
      <c r="D115" s="200"/>
    </row>
    <row r="116" spans="1:4" ht="21.95" customHeight="1" x14ac:dyDescent="0.2">
      <c r="A116" s="200"/>
      <c r="B116" s="200"/>
      <c r="C116" s="200"/>
      <c r="D116" s="200"/>
    </row>
    <row r="117" spans="1:4" ht="21.95" customHeight="1" x14ac:dyDescent="0.2">
      <c r="A117" s="200"/>
      <c r="B117" s="200"/>
      <c r="C117" s="200"/>
      <c r="D117" s="200"/>
    </row>
    <row r="118" spans="1:4" ht="21.95" customHeight="1" x14ac:dyDescent="0.2">
      <c r="A118" s="200"/>
      <c r="B118" s="200"/>
      <c r="C118" s="200"/>
      <c r="D118" s="200"/>
    </row>
    <row r="119" spans="1:4" ht="21.95" customHeight="1" x14ac:dyDescent="0.2">
      <c r="A119" s="200"/>
      <c r="B119" s="200"/>
      <c r="C119" s="200"/>
      <c r="D119" s="200"/>
    </row>
    <row r="120" spans="1:4" ht="21.95" customHeight="1" x14ac:dyDescent="0.2">
      <c r="A120" s="200"/>
      <c r="B120" s="200"/>
      <c r="C120" s="200"/>
      <c r="D120" s="200"/>
    </row>
    <row r="121" spans="1:4" ht="21.95" customHeight="1" x14ac:dyDescent="0.2">
      <c r="A121" s="200"/>
      <c r="B121" s="200"/>
      <c r="C121" s="200"/>
      <c r="D121" s="200"/>
    </row>
    <row r="122" spans="1:4" ht="21.95" customHeight="1" x14ac:dyDescent="0.2">
      <c r="A122" s="200"/>
      <c r="B122" s="200"/>
      <c r="C122" s="200"/>
      <c r="D122" s="200"/>
    </row>
    <row r="123" spans="1:4" ht="21.95" customHeight="1" x14ac:dyDescent="0.2">
      <c r="A123" s="200"/>
      <c r="B123" s="200"/>
      <c r="C123" s="200"/>
      <c r="D123" s="200"/>
    </row>
    <row r="124" spans="1:4" ht="21.95" customHeight="1" x14ac:dyDescent="0.2">
      <c r="A124" s="200"/>
      <c r="B124" s="200"/>
      <c r="C124" s="200"/>
      <c r="D124" s="200"/>
    </row>
    <row r="125" spans="1:4" ht="21.95" customHeight="1" x14ac:dyDescent="0.2">
      <c r="A125" s="200"/>
      <c r="B125" s="200"/>
      <c r="C125" s="200"/>
      <c r="D125" s="200"/>
    </row>
    <row r="126" spans="1:4" ht="21.95" customHeight="1" x14ac:dyDescent="0.2">
      <c r="A126" s="200"/>
      <c r="B126" s="200"/>
      <c r="C126" s="200"/>
      <c r="D126" s="200"/>
    </row>
    <row r="127" spans="1:4" ht="21.95" customHeight="1" x14ac:dyDescent="0.2">
      <c r="A127" s="200"/>
      <c r="B127" s="200"/>
      <c r="C127" s="200"/>
      <c r="D127" s="200"/>
    </row>
    <row r="128" spans="1:4" ht="21.95" customHeight="1" x14ac:dyDescent="0.2">
      <c r="A128" s="200"/>
      <c r="B128" s="200"/>
      <c r="C128" s="200"/>
      <c r="D128" s="200"/>
    </row>
    <row r="129" spans="1:4" ht="21.95" customHeight="1" x14ac:dyDescent="0.2">
      <c r="A129" s="200"/>
      <c r="B129" s="200"/>
      <c r="C129" s="200"/>
      <c r="D129" s="200"/>
    </row>
    <row r="130" spans="1:4" ht="21.95" customHeight="1" x14ac:dyDescent="0.2">
      <c r="A130" s="200"/>
      <c r="B130" s="200"/>
      <c r="C130" s="200"/>
      <c r="D130" s="200"/>
    </row>
    <row r="131" spans="1:4" ht="21.95" customHeight="1" x14ac:dyDescent="0.2">
      <c r="A131" s="200"/>
      <c r="B131" s="200"/>
      <c r="C131" s="200"/>
      <c r="D131" s="200"/>
    </row>
    <row r="132" spans="1:4" ht="21.95" customHeight="1" x14ac:dyDescent="0.2">
      <c r="A132" s="200"/>
      <c r="B132" s="200"/>
      <c r="C132" s="200"/>
      <c r="D132" s="200"/>
    </row>
    <row r="133" spans="1:4" ht="21.95" customHeight="1" x14ac:dyDescent="0.2">
      <c r="A133" s="200"/>
      <c r="B133" s="200"/>
      <c r="C133" s="200"/>
      <c r="D133" s="200"/>
    </row>
    <row r="134" spans="1:4" ht="21.95" customHeight="1" x14ac:dyDescent="0.2">
      <c r="A134" s="200"/>
      <c r="B134" s="200"/>
      <c r="C134" s="200"/>
      <c r="D134" s="200"/>
    </row>
    <row r="135" spans="1:4" ht="21.95" customHeight="1" x14ac:dyDescent="0.2">
      <c r="A135" s="200"/>
      <c r="B135" s="200"/>
      <c r="C135" s="200"/>
      <c r="D135" s="200"/>
    </row>
    <row r="136" spans="1:4" ht="21.95" customHeight="1" x14ac:dyDescent="0.2">
      <c r="A136" s="200"/>
      <c r="B136" s="200"/>
      <c r="C136" s="200"/>
      <c r="D136" s="200"/>
    </row>
    <row r="137" spans="1:4" ht="21.95" customHeight="1" x14ac:dyDescent="0.2">
      <c r="A137" s="200"/>
      <c r="B137" s="200"/>
      <c r="C137" s="200"/>
      <c r="D137" s="200"/>
    </row>
    <row r="138" spans="1:4" ht="21.95" customHeight="1" x14ac:dyDescent="0.2">
      <c r="A138" s="200"/>
      <c r="B138" s="200"/>
      <c r="C138" s="200"/>
      <c r="D138" s="200"/>
    </row>
    <row r="139" spans="1:4" ht="21.95" customHeight="1" x14ac:dyDescent="0.2">
      <c r="A139" s="200"/>
      <c r="B139" s="200"/>
      <c r="C139" s="200"/>
      <c r="D139" s="200"/>
    </row>
    <row r="140" spans="1:4" ht="21.95" customHeight="1" x14ac:dyDescent="0.2">
      <c r="A140" s="200"/>
      <c r="B140" s="200"/>
      <c r="C140" s="200"/>
      <c r="D140" s="200"/>
    </row>
    <row r="141" spans="1:4" ht="21.95" customHeight="1" x14ac:dyDescent="0.2">
      <c r="A141" s="200"/>
      <c r="B141" s="200"/>
      <c r="C141" s="200"/>
      <c r="D141" s="200"/>
    </row>
    <row r="142" spans="1:4" ht="21.95" customHeight="1" x14ac:dyDescent="0.2">
      <c r="A142" s="200"/>
      <c r="B142" s="200"/>
      <c r="C142" s="200"/>
      <c r="D142" s="200"/>
    </row>
    <row r="143" spans="1:4" ht="21.95" customHeight="1" x14ac:dyDescent="0.2">
      <c r="A143" s="200"/>
      <c r="B143" s="200"/>
      <c r="C143" s="200"/>
      <c r="D143" s="200"/>
    </row>
    <row r="144" spans="1:4" ht="21.95" customHeight="1" x14ac:dyDescent="0.2">
      <c r="A144" s="200"/>
      <c r="B144" s="200"/>
      <c r="C144" s="200"/>
      <c r="D144" s="200"/>
    </row>
    <row r="145" spans="1:4" ht="21.95" customHeight="1" x14ac:dyDescent="0.2">
      <c r="A145" s="200"/>
      <c r="B145" s="200"/>
      <c r="C145" s="200"/>
      <c r="D145" s="200"/>
    </row>
    <row r="146" spans="1:4" ht="21.95" customHeight="1" x14ac:dyDescent="0.2">
      <c r="A146" s="200"/>
      <c r="B146" s="200"/>
      <c r="C146" s="200"/>
      <c r="D146" s="200"/>
    </row>
    <row r="147" spans="1:4" ht="21.95" customHeight="1" x14ac:dyDescent="0.2">
      <c r="A147" s="200"/>
      <c r="B147" s="200"/>
      <c r="C147" s="200"/>
      <c r="D147" s="200"/>
    </row>
    <row r="148" spans="1:4" ht="21.95" customHeight="1" x14ac:dyDescent="0.2">
      <c r="A148" s="200"/>
      <c r="B148" s="200"/>
      <c r="C148" s="200"/>
      <c r="D148" s="200"/>
    </row>
    <row r="149" spans="1:4" ht="21.95" customHeight="1" x14ac:dyDescent="0.2">
      <c r="A149" s="200"/>
      <c r="B149" s="200"/>
      <c r="C149" s="200"/>
      <c r="D149" s="200"/>
    </row>
    <row r="150" spans="1:4" ht="21.95" customHeight="1" x14ac:dyDescent="0.2">
      <c r="A150" s="200"/>
      <c r="B150" s="200"/>
      <c r="C150" s="200"/>
      <c r="D150" s="200"/>
    </row>
    <row r="151" spans="1:4" ht="21.95" customHeight="1" x14ac:dyDescent="0.2">
      <c r="A151" s="200"/>
      <c r="B151" s="200"/>
      <c r="C151" s="200"/>
      <c r="D151" s="200"/>
    </row>
    <row r="152" spans="1:4" ht="21.95" customHeight="1" x14ac:dyDescent="0.2">
      <c r="A152" s="200"/>
      <c r="B152" s="200"/>
      <c r="C152" s="200"/>
      <c r="D152" s="200"/>
    </row>
    <row r="153" spans="1:4" ht="21.95" customHeight="1" x14ac:dyDescent="0.2">
      <c r="A153" s="200"/>
      <c r="B153" s="200"/>
      <c r="C153" s="200"/>
      <c r="D153" s="200"/>
    </row>
    <row r="154" spans="1:4" ht="21.95" customHeight="1" x14ac:dyDescent="0.2">
      <c r="A154" s="200"/>
      <c r="B154" s="200"/>
      <c r="C154" s="200"/>
      <c r="D154" s="200"/>
    </row>
    <row r="155" spans="1:4" ht="21.95" customHeight="1" x14ac:dyDescent="0.2">
      <c r="A155" s="200"/>
      <c r="B155" s="200"/>
      <c r="C155" s="200"/>
      <c r="D155" s="200"/>
    </row>
    <row r="156" spans="1:4" ht="21.95" customHeight="1" x14ac:dyDescent="0.2">
      <c r="A156" s="200"/>
      <c r="B156" s="200"/>
      <c r="C156" s="200"/>
      <c r="D156" s="200"/>
    </row>
    <row r="157" spans="1:4" ht="21.95" customHeight="1" x14ac:dyDescent="0.2">
      <c r="A157" s="200"/>
      <c r="B157" s="200"/>
      <c r="C157" s="200"/>
      <c r="D157" s="200"/>
    </row>
    <row r="158" spans="1:4" x14ac:dyDescent="0.2">
      <c r="A158" s="200"/>
      <c r="B158" s="200"/>
      <c r="C158" s="200"/>
      <c r="D158" s="200"/>
    </row>
    <row r="159" spans="1:4" x14ac:dyDescent="0.2">
      <c r="A159" s="200"/>
      <c r="B159" s="200"/>
      <c r="C159" s="200"/>
      <c r="D159" s="200"/>
    </row>
    <row r="160" spans="1:4" x14ac:dyDescent="0.2">
      <c r="A160" s="200"/>
      <c r="B160" s="200"/>
      <c r="C160" s="200"/>
      <c r="D160" s="200"/>
    </row>
    <row r="161" spans="1:4" x14ac:dyDescent="0.2">
      <c r="A161" s="200"/>
      <c r="B161" s="200"/>
      <c r="C161" s="200"/>
      <c r="D161" s="200"/>
    </row>
    <row r="162" spans="1:4" x14ac:dyDescent="0.2">
      <c r="A162" s="200"/>
      <c r="B162" s="200"/>
      <c r="C162" s="200"/>
      <c r="D162" s="200"/>
    </row>
    <row r="163" spans="1:4" x14ac:dyDescent="0.2">
      <c r="A163" s="200"/>
      <c r="B163" s="200"/>
      <c r="C163" s="200"/>
      <c r="D163" s="200"/>
    </row>
    <row r="164" spans="1:4" x14ac:dyDescent="0.2">
      <c r="A164" s="200"/>
      <c r="B164" s="200"/>
      <c r="C164" s="200"/>
      <c r="D164" s="200"/>
    </row>
  </sheetData>
  <mergeCells count="47">
    <mergeCell ref="T15:U15"/>
    <mergeCell ref="V15:Z15"/>
    <mergeCell ref="AA15:AE15"/>
    <mergeCell ref="A11:S11"/>
    <mergeCell ref="T11:U11"/>
    <mergeCell ref="V11:Z11"/>
    <mergeCell ref="AA11:AE11"/>
    <mergeCell ref="A12:S12"/>
    <mergeCell ref="T12:U12"/>
    <mergeCell ref="V12:Z12"/>
    <mergeCell ref="AA12:AE12"/>
    <mergeCell ref="A9:S9"/>
    <mergeCell ref="T9:U9"/>
    <mergeCell ref="V9:Z9"/>
    <mergeCell ref="AA9:AE9"/>
    <mergeCell ref="A10:S10"/>
    <mergeCell ref="T10:U10"/>
    <mergeCell ref="V10:Z10"/>
    <mergeCell ref="AA10:AE10"/>
    <mergeCell ref="A1:AH1"/>
    <mergeCell ref="A2:AH2"/>
    <mergeCell ref="A4:AH4"/>
    <mergeCell ref="V6:Y6"/>
    <mergeCell ref="A8:S8"/>
    <mergeCell ref="T8:U8"/>
    <mergeCell ref="V8:Z8"/>
    <mergeCell ref="F3:U3"/>
    <mergeCell ref="A7:S7"/>
    <mergeCell ref="T7:U7"/>
    <mergeCell ref="V7:Z7"/>
    <mergeCell ref="AA7:AE7"/>
    <mergeCell ref="A17:S17"/>
    <mergeCell ref="T17:U17"/>
    <mergeCell ref="V17:Z17"/>
    <mergeCell ref="AA17:AE17"/>
    <mergeCell ref="A13:S13"/>
    <mergeCell ref="T13:U13"/>
    <mergeCell ref="V13:Z13"/>
    <mergeCell ref="A16:S16"/>
    <mergeCell ref="T16:U16"/>
    <mergeCell ref="V16:Z16"/>
    <mergeCell ref="AA16:AE16"/>
    <mergeCell ref="A14:S14"/>
    <mergeCell ref="T14:U14"/>
    <mergeCell ref="V14:Z14"/>
    <mergeCell ref="AA14:AE14"/>
    <mergeCell ref="A15:S1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187"/>
  <sheetViews>
    <sheetView workbookViewId="0">
      <selection activeCell="B4" sqref="B4:W4"/>
    </sheetView>
  </sheetViews>
  <sheetFormatPr defaultRowHeight="12.75" x14ac:dyDescent="0.2"/>
  <cols>
    <col min="1" max="1" width="5.28515625" style="498" customWidth="1"/>
    <col min="2" max="7" width="3.28515625" style="498" customWidth="1"/>
    <col min="8" max="8" width="5.140625" style="498" customWidth="1"/>
    <col min="9" max="12" width="3.28515625" style="498" customWidth="1"/>
    <col min="13" max="13" width="4.28515625" style="498" customWidth="1"/>
    <col min="14" max="15" width="3.28515625" style="498" customWidth="1"/>
    <col min="16" max="16" width="4.42578125" style="498" customWidth="1"/>
    <col min="17" max="19" width="3.28515625" style="498" customWidth="1"/>
    <col min="20" max="20" width="6.28515625" style="498" customWidth="1"/>
    <col min="21" max="21" width="2.42578125" style="498" hidden="1" customWidth="1"/>
    <col min="22" max="22" width="2.85546875" style="498" hidden="1" customWidth="1"/>
    <col min="23" max="23" width="4.140625" style="498" hidden="1" customWidth="1"/>
    <col min="24" max="25" width="9.140625" style="498"/>
    <col min="26" max="26" width="1" style="498" customWidth="1"/>
    <col min="27" max="28" width="10.28515625" style="498" hidden="1" customWidth="1"/>
    <col min="29" max="29" width="9.140625" style="498"/>
    <col min="30" max="30" width="2.85546875" style="498" customWidth="1"/>
    <col min="31" max="33" width="10.28515625" style="498" hidden="1" customWidth="1"/>
    <col min="34" max="34" width="3" style="498" customWidth="1"/>
    <col min="35" max="37" width="10.28515625" style="498" hidden="1" customWidth="1"/>
    <col min="38" max="16384" width="9.140625" style="498"/>
  </cols>
  <sheetData>
    <row r="1" spans="1:37" ht="12.75" customHeight="1" x14ac:dyDescent="0.2">
      <c r="B1" s="793" t="s">
        <v>723</v>
      </c>
      <c r="C1" s="793"/>
      <c r="D1" s="793"/>
      <c r="E1" s="793"/>
      <c r="F1" s="793"/>
      <c r="G1" s="793"/>
      <c r="H1" s="793"/>
      <c r="I1" s="793"/>
      <c r="J1" s="793"/>
      <c r="K1" s="793"/>
      <c r="L1" s="793"/>
      <c r="M1" s="793"/>
      <c r="N1" s="793"/>
      <c r="O1" s="793"/>
      <c r="P1" s="793"/>
      <c r="Q1" s="793"/>
      <c r="R1" s="793"/>
      <c r="S1" s="793"/>
      <c r="T1" s="793"/>
      <c r="U1" s="793"/>
      <c r="V1" s="793"/>
      <c r="W1" s="793"/>
    </row>
    <row r="2" spans="1:37" ht="12.75" customHeight="1" x14ac:dyDescent="0.2"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793"/>
      <c r="O2" s="793"/>
      <c r="P2" s="793"/>
      <c r="Q2" s="793"/>
      <c r="R2" s="793"/>
      <c r="S2" s="793"/>
      <c r="T2" s="793"/>
      <c r="U2" s="793"/>
      <c r="V2" s="793"/>
      <c r="W2" s="793"/>
    </row>
    <row r="3" spans="1:37" ht="15.75" x14ac:dyDescent="0.25">
      <c r="B3" s="793" t="s">
        <v>874</v>
      </c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3"/>
      <c r="T3" s="793"/>
      <c r="U3" s="793"/>
      <c r="V3" s="793"/>
      <c r="W3" s="793"/>
    </row>
    <row r="4" spans="1:37" ht="15.75" x14ac:dyDescent="0.25">
      <c r="B4" s="793"/>
      <c r="C4" s="793"/>
      <c r="D4" s="793"/>
      <c r="E4" s="793"/>
      <c r="F4" s="793"/>
      <c r="G4" s="793"/>
      <c r="H4" s="793"/>
      <c r="I4" s="793"/>
      <c r="J4" s="793"/>
      <c r="K4" s="793"/>
      <c r="L4" s="793"/>
      <c r="M4" s="793"/>
      <c r="N4" s="793"/>
      <c r="O4" s="793"/>
      <c r="P4" s="793"/>
      <c r="Q4" s="793"/>
      <c r="R4" s="793"/>
      <c r="S4" s="793"/>
      <c r="T4" s="793"/>
      <c r="U4" s="793"/>
      <c r="V4" s="793"/>
      <c r="W4" s="793"/>
    </row>
    <row r="5" spans="1:37" ht="15.75" x14ac:dyDescent="0.25">
      <c r="B5" s="570"/>
      <c r="C5" s="570"/>
      <c r="D5" s="570"/>
      <c r="E5" s="570"/>
      <c r="F5" s="570"/>
      <c r="G5" s="793" t="s">
        <v>3</v>
      </c>
      <c r="H5" s="794"/>
      <c r="I5" s="793"/>
      <c r="J5" s="793"/>
      <c r="K5" s="793"/>
      <c r="L5" s="793"/>
      <c r="M5" s="793"/>
      <c r="N5" s="793"/>
      <c r="O5" s="793"/>
      <c r="P5" s="793"/>
      <c r="Q5" s="793"/>
      <c r="R5" s="793"/>
      <c r="S5" s="793"/>
      <c r="T5" s="793"/>
      <c r="U5" s="570"/>
      <c r="V5" s="570"/>
      <c r="W5" s="570"/>
    </row>
    <row r="6" spans="1:37" ht="15.75" x14ac:dyDescent="0.2">
      <c r="B6" s="795" t="s">
        <v>185</v>
      </c>
      <c r="C6" s="795"/>
      <c r="D6" s="795"/>
      <c r="E6" s="795"/>
      <c r="F6" s="795"/>
      <c r="G6" s="795"/>
      <c r="H6" s="795"/>
      <c r="I6" s="795"/>
      <c r="J6" s="795"/>
      <c r="K6" s="795"/>
      <c r="L6" s="795"/>
      <c r="M6" s="795"/>
      <c r="N6" s="795"/>
      <c r="O6" s="795"/>
      <c r="P6" s="795"/>
      <c r="Q6" s="795"/>
      <c r="R6" s="795"/>
      <c r="S6" s="795"/>
      <c r="T6" s="795"/>
      <c r="U6" s="795"/>
      <c r="V6" s="795"/>
      <c r="W6" s="795"/>
      <c r="X6" s="498" t="s">
        <v>186</v>
      </c>
    </row>
    <row r="7" spans="1:37" ht="16.5" thickBot="1" x14ac:dyDescent="0.25">
      <c r="B7" s="571"/>
      <c r="C7" s="571"/>
      <c r="D7" s="571"/>
      <c r="E7" s="571"/>
      <c r="F7" s="571"/>
      <c r="G7" s="571"/>
      <c r="H7" s="571"/>
      <c r="I7" s="571"/>
      <c r="J7" s="571"/>
      <c r="K7" s="571"/>
      <c r="L7" s="571"/>
      <c r="M7" s="571"/>
      <c r="N7" s="571"/>
      <c r="O7" s="571"/>
      <c r="P7" s="571"/>
      <c r="Q7" s="571"/>
      <c r="R7" s="571"/>
      <c r="S7" s="571"/>
      <c r="T7" s="571"/>
      <c r="U7" s="571"/>
      <c r="V7" s="571"/>
      <c r="W7" s="571"/>
    </row>
    <row r="8" spans="1:37" ht="13.5" thickBot="1" x14ac:dyDescent="0.25">
      <c r="U8" s="499" t="s">
        <v>186</v>
      </c>
      <c r="X8" s="797" t="s">
        <v>767</v>
      </c>
      <c r="Y8" s="798"/>
      <c r="Z8" s="798"/>
      <c r="AA8" s="798"/>
      <c r="AB8" s="798"/>
      <c r="AC8" s="798"/>
      <c r="AD8" s="798"/>
      <c r="AE8" s="798"/>
      <c r="AF8" s="798"/>
      <c r="AG8" s="798"/>
      <c r="AH8" s="799"/>
    </row>
    <row r="9" spans="1:37" ht="12.75" customHeight="1" x14ac:dyDescent="0.2">
      <c r="A9" s="790"/>
      <c r="B9" s="801" t="s">
        <v>7</v>
      </c>
      <c r="C9" s="801"/>
      <c r="D9" s="801"/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796"/>
      <c r="V9" s="796"/>
      <c r="W9" s="796"/>
      <c r="X9" s="800" t="s">
        <v>187</v>
      </c>
      <c r="Y9" s="800"/>
      <c r="Z9" s="800"/>
      <c r="AA9" s="800"/>
      <c r="AB9" s="800"/>
      <c r="AC9" s="800" t="s">
        <v>188</v>
      </c>
      <c r="AD9" s="800"/>
      <c r="AE9" s="800"/>
      <c r="AF9" s="800"/>
      <c r="AG9" s="800"/>
      <c r="AH9" s="800"/>
      <c r="AI9" s="796"/>
      <c r="AJ9" s="796"/>
      <c r="AK9" s="796"/>
    </row>
    <row r="10" spans="1:37" ht="12.75" customHeight="1" x14ac:dyDescent="0.2">
      <c r="A10" s="790"/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500"/>
      <c r="N10" s="500"/>
      <c r="O10" s="500"/>
      <c r="P10" s="500"/>
      <c r="Q10" s="500"/>
      <c r="R10" s="500"/>
      <c r="S10" s="500"/>
      <c r="T10" s="500"/>
      <c r="U10" s="796"/>
      <c r="V10" s="796"/>
      <c r="W10" s="796"/>
      <c r="X10" s="801"/>
      <c r="Y10" s="801"/>
      <c r="Z10" s="801"/>
      <c r="AA10" s="801"/>
      <c r="AB10" s="801"/>
      <c r="AC10" s="801"/>
      <c r="AD10" s="801"/>
      <c r="AE10" s="801"/>
      <c r="AF10" s="801"/>
      <c r="AG10" s="801"/>
      <c r="AH10" s="796"/>
      <c r="AI10" s="796"/>
      <c r="AJ10" s="796"/>
      <c r="AK10" s="796"/>
    </row>
    <row r="11" spans="1:37" ht="12.75" customHeight="1" x14ac:dyDescent="0.2">
      <c r="A11" s="501"/>
      <c r="B11" s="805" t="s">
        <v>189</v>
      </c>
      <c r="C11" s="805"/>
      <c r="D11" s="805"/>
      <c r="E11" s="805"/>
      <c r="F11" s="805"/>
      <c r="G11" s="805"/>
      <c r="H11" s="805"/>
      <c r="I11" s="805"/>
      <c r="J11" s="805"/>
      <c r="K11" s="805"/>
      <c r="L11" s="805"/>
      <c r="M11" s="805"/>
      <c r="N11" s="805"/>
      <c r="O11" s="805"/>
      <c r="P11" s="805"/>
      <c r="Q11" s="805"/>
      <c r="R11" s="805"/>
      <c r="S11" s="805"/>
      <c r="T11" s="805"/>
      <c r="U11" s="790"/>
      <c r="V11" s="790"/>
      <c r="W11" s="790"/>
      <c r="X11" s="779"/>
      <c r="Y11" s="779"/>
      <c r="Z11" s="779"/>
      <c r="AA11" s="779"/>
      <c r="AB11" s="779"/>
      <c r="AC11" s="790"/>
      <c r="AD11" s="790"/>
      <c r="AE11" s="790"/>
      <c r="AF11" s="790"/>
      <c r="AG11" s="790"/>
      <c r="AH11" s="790"/>
      <c r="AI11" s="790"/>
      <c r="AJ11" s="790"/>
      <c r="AK11" s="790"/>
    </row>
    <row r="12" spans="1:37" ht="12.75" customHeight="1" x14ac:dyDescent="0.2">
      <c r="A12" s="501"/>
      <c r="B12" s="792" t="s">
        <v>190</v>
      </c>
      <c r="C12" s="792"/>
      <c r="D12" s="792"/>
      <c r="E12" s="792"/>
      <c r="F12" s="792"/>
      <c r="G12" s="792"/>
      <c r="H12" s="792"/>
      <c r="I12" s="792"/>
      <c r="J12" s="792"/>
      <c r="K12" s="792"/>
      <c r="L12" s="792"/>
      <c r="M12" s="792"/>
      <c r="N12" s="792"/>
      <c r="O12" s="792"/>
      <c r="P12" s="792"/>
      <c r="Q12" s="792"/>
      <c r="R12" s="792"/>
      <c r="S12" s="792"/>
      <c r="T12" s="792"/>
      <c r="U12" s="790"/>
      <c r="V12" s="790"/>
      <c r="W12" s="790"/>
      <c r="X12" s="809">
        <v>400000</v>
      </c>
      <c r="Y12" s="809"/>
      <c r="Z12" s="809"/>
      <c r="AA12" s="809"/>
      <c r="AB12" s="809"/>
      <c r="AC12" s="790" t="s">
        <v>191</v>
      </c>
      <c r="AD12" s="790"/>
      <c r="AE12" s="790"/>
      <c r="AF12" s="790"/>
      <c r="AG12" s="790"/>
      <c r="AH12" s="790"/>
      <c r="AI12" s="790"/>
      <c r="AJ12" s="790"/>
      <c r="AK12" s="790"/>
    </row>
    <row r="13" spans="1:37" ht="29.25" customHeight="1" x14ac:dyDescent="0.2">
      <c r="A13" s="501"/>
      <c r="B13" s="792" t="s">
        <v>759</v>
      </c>
      <c r="C13" s="792"/>
      <c r="D13" s="792"/>
      <c r="E13" s="792"/>
      <c r="F13" s="792"/>
      <c r="G13" s="792"/>
      <c r="H13" s="792"/>
      <c r="I13" s="792"/>
      <c r="J13" s="792"/>
      <c r="K13" s="792"/>
      <c r="L13" s="792"/>
      <c r="M13" s="792"/>
      <c r="N13" s="792"/>
      <c r="O13" s="792"/>
      <c r="P13" s="792"/>
      <c r="Q13" s="792"/>
      <c r="R13" s="792"/>
      <c r="S13" s="792"/>
      <c r="T13" s="792"/>
      <c r="U13" s="790"/>
      <c r="V13" s="790"/>
      <c r="W13" s="790"/>
      <c r="X13" s="779">
        <v>2642849</v>
      </c>
      <c r="Y13" s="779"/>
      <c r="Z13" s="779"/>
      <c r="AA13" s="779"/>
      <c r="AB13" s="779"/>
      <c r="AC13" s="790" t="s">
        <v>192</v>
      </c>
      <c r="AD13" s="790"/>
      <c r="AE13" s="790"/>
      <c r="AF13" s="790"/>
      <c r="AG13" s="790"/>
      <c r="AH13" s="790"/>
      <c r="AI13" s="790"/>
      <c r="AJ13" s="790"/>
      <c r="AK13" s="790"/>
    </row>
    <row r="14" spans="1:37" x14ac:dyDescent="0.2">
      <c r="A14" s="501"/>
      <c r="B14" s="806" t="s">
        <v>760</v>
      </c>
      <c r="C14" s="806"/>
      <c r="D14" s="806"/>
      <c r="E14" s="806"/>
      <c r="F14" s="806"/>
      <c r="G14" s="806"/>
      <c r="H14" s="806"/>
      <c r="I14" s="806"/>
      <c r="J14" s="806"/>
      <c r="K14" s="806"/>
      <c r="L14" s="806"/>
      <c r="M14" s="806"/>
      <c r="N14" s="806"/>
      <c r="O14" s="806"/>
      <c r="P14" s="806"/>
      <c r="Q14" s="806"/>
      <c r="R14" s="806"/>
      <c r="S14" s="806"/>
      <c r="T14" s="806"/>
      <c r="U14" s="790"/>
      <c r="V14" s="790"/>
      <c r="W14" s="790"/>
      <c r="X14" s="809">
        <v>46075</v>
      </c>
      <c r="Y14" s="809"/>
      <c r="Z14" s="809"/>
      <c r="AA14" s="809"/>
      <c r="AB14" s="809"/>
      <c r="AC14" s="790" t="s">
        <v>193</v>
      </c>
      <c r="AD14" s="790"/>
      <c r="AE14" s="790"/>
      <c r="AF14" s="790"/>
      <c r="AG14" s="790"/>
      <c r="AH14" s="790"/>
      <c r="AI14" s="790"/>
      <c r="AJ14" s="790"/>
      <c r="AK14" s="790"/>
    </row>
    <row r="15" spans="1:37" ht="12.75" customHeight="1" x14ac:dyDescent="0.2">
      <c r="A15" s="501"/>
      <c r="B15" s="792" t="s">
        <v>618</v>
      </c>
      <c r="C15" s="792"/>
      <c r="D15" s="792"/>
      <c r="E15" s="792"/>
      <c r="F15" s="792"/>
      <c r="G15" s="792"/>
      <c r="H15" s="792"/>
      <c r="I15" s="792"/>
      <c r="J15" s="792"/>
      <c r="K15" s="792"/>
      <c r="L15" s="792"/>
      <c r="M15" s="792"/>
      <c r="N15" s="792"/>
      <c r="O15" s="792"/>
      <c r="P15" s="792"/>
      <c r="Q15" s="792"/>
      <c r="R15" s="792"/>
      <c r="S15" s="792"/>
      <c r="T15" s="792"/>
      <c r="U15" s="790"/>
      <c r="V15" s="790"/>
      <c r="W15" s="790"/>
      <c r="X15" s="809">
        <v>150000</v>
      </c>
      <c r="Y15" s="809"/>
      <c r="Z15" s="809"/>
      <c r="AA15" s="809"/>
      <c r="AB15" s="809"/>
      <c r="AC15" s="790" t="s">
        <v>192</v>
      </c>
      <c r="AD15" s="790"/>
      <c r="AE15" s="790"/>
      <c r="AF15" s="790"/>
      <c r="AG15" s="790"/>
      <c r="AH15" s="790"/>
      <c r="AI15" s="790"/>
      <c r="AJ15" s="790"/>
      <c r="AK15" s="790"/>
    </row>
    <row r="16" spans="1:37" ht="12.75" customHeight="1" x14ac:dyDescent="0.2">
      <c r="A16" s="501"/>
      <c r="B16" s="792" t="s">
        <v>761</v>
      </c>
      <c r="C16" s="792"/>
      <c r="D16" s="792"/>
      <c r="E16" s="792"/>
      <c r="F16" s="792"/>
      <c r="G16" s="792"/>
      <c r="H16" s="792"/>
      <c r="I16" s="792"/>
      <c r="J16" s="792"/>
      <c r="K16" s="792"/>
      <c r="L16" s="792"/>
      <c r="M16" s="792"/>
      <c r="N16" s="792"/>
      <c r="O16" s="792"/>
      <c r="P16" s="792"/>
      <c r="Q16" s="792"/>
      <c r="R16" s="792"/>
      <c r="S16" s="792"/>
      <c r="T16" s="792"/>
      <c r="U16" s="790"/>
      <c r="V16" s="790"/>
      <c r="W16" s="790"/>
      <c r="X16" s="779">
        <v>397150</v>
      </c>
      <c r="Y16" s="779"/>
      <c r="Z16" s="779"/>
      <c r="AA16" s="779"/>
      <c r="AB16" s="779"/>
      <c r="AC16" s="790" t="s">
        <v>192</v>
      </c>
      <c r="AD16" s="790"/>
      <c r="AE16" s="790"/>
      <c r="AF16" s="790"/>
      <c r="AG16" s="790"/>
      <c r="AH16" s="790"/>
      <c r="AI16" s="790"/>
      <c r="AJ16" s="790"/>
      <c r="AK16" s="790"/>
    </row>
    <row r="17" spans="1:37" ht="12.75" customHeight="1" x14ac:dyDescent="0.2">
      <c r="A17" s="501">
        <v>0</v>
      </c>
      <c r="B17" s="802" t="s">
        <v>619</v>
      </c>
      <c r="C17" s="803"/>
      <c r="D17" s="803"/>
      <c r="E17" s="803"/>
      <c r="F17" s="803"/>
      <c r="G17" s="803"/>
      <c r="H17" s="803"/>
      <c r="I17" s="803"/>
      <c r="J17" s="803"/>
      <c r="K17" s="803"/>
      <c r="L17" s="803"/>
      <c r="M17" s="803"/>
      <c r="N17" s="803"/>
      <c r="O17" s="803"/>
      <c r="P17" s="803"/>
      <c r="Q17" s="803"/>
      <c r="R17" s="803"/>
      <c r="S17" s="803"/>
      <c r="T17" s="804"/>
      <c r="U17" s="569"/>
      <c r="V17" s="569"/>
      <c r="W17" s="569"/>
      <c r="X17" s="810">
        <v>1832748</v>
      </c>
      <c r="Y17" s="812"/>
      <c r="Z17" s="812"/>
      <c r="AA17" s="812"/>
      <c r="AB17" s="811"/>
      <c r="AC17" s="569"/>
      <c r="AD17" s="569"/>
      <c r="AE17" s="569"/>
      <c r="AF17" s="569"/>
      <c r="AG17" s="569"/>
      <c r="AH17" s="569"/>
      <c r="AI17" s="569"/>
      <c r="AJ17" s="569"/>
      <c r="AK17" s="569"/>
    </row>
    <row r="18" spans="1:37" ht="23.25" customHeight="1" x14ac:dyDescent="0.2">
      <c r="A18" s="501"/>
      <c r="B18" s="792" t="s">
        <v>762</v>
      </c>
      <c r="C18" s="792"/>
      <c r="D18" s="792"/>
      <c r="E18" s="792"/>
      <c r="F18" s="792"/>
      <c r="G18" s="792"/>
      <c r="H18" s="792"/>
      <c r="I18" s="792"/>
      <c r="J18" s="792"/>
      <c r="K18" s="792"/>
      <c r="L18" s="792"/>
      <c r="M18" s="792"/>
      <c r="N18" s="792"/>
      <c r="O18" s="792"/>
      <c r="P18" s="792"/>
      <c r="Q18" s="792"/>
      <c r="R18" s="792"/>
      <c r="S18" s="792"/>
      <c r="T18" s="792"/>
      <c r="U18" s="569"/>
      <c r="V18" s="569"/>
      <c r="W18" s="569"/>
      <c r="X18" s="779">
        <v>125324</v>
      </c>
      <c r="Y18" s="779"/>
      <c r="Z18" s="779"/>
      <c r="AA18" s="779"/>
      <c r="AB18" s="779"/>
      <c r="AC18" s="790" t="s">
        <v>192</v>
      </c>
      <c r="AD18" s="790"/>
      <c r="AE18" s="790"/>
      <c r="AF18" s="790"/>
      <c r="AG18" s="790"/>
      <c r="AH18" s="569"/>
      <c r="AI18" s="569"/>
      <c r="AJ18" s="569"/>
      <c r="AK18" s="569"/>
    </row>
    <row r="19" spans="1:37" ht="23.25" customHeight="1" x14ac:dyDescent="0.2">
      <c r="A19" s="501"/>
      <c r="B19" s="792" t="s">
        <v>763</v>
      </c>
      <c r="C19" s="792"/>
      <c r="D19" s="792"/>
      <c r="E19" s="792"/>
      <c r="F19" s="792"/>
      <c r="G19" s="792"/>
      <c r="H19" s="792"/>
      <c r="I19" s="792"/>
      <c r="J19" s="792"/>
      <c r="K19" s="792"/>
      <c r="L19" s="792"/>
      <c r="M19" s="792"/>
      <c r="N19" s="792"/>
      <c r="O19" s="792"/>
      <c r="P19" s="792"/>
      <c r="Q19" s="792"/>
      <c r="R19" s="792"/>
      <c r="S19" s="792"/>
      <c r="T19" s="792"/>
      <c r="U19" s="569"/>
      <c r="V19" s="569"/>
      <c r="W19" s="569"/>
      <c r="X19" s="810">
        <v>184200</v>
      </c>
      <c r="Y19" s="811"/>
      <c r="Z19" s="568"/>
      <c r="AA19" s="568"/>
      <c r="AB19" s="568"/>
      <c r="AC19" s="569"/>
      <c r="AD19" s="569"/>
      <c r="AE19" s="569"/>
      <c r="AF19" s="569"/>
      <c r="AG19" s="569"/>
      <c r="AH19" s="569"/>
      <c r="AI19" s="569"/>
      <c r="AJ19" s="569"/>
      <c r="AK19" s="569"/>
    </row>
    <row r="20" spans="1:37" ht="23.25" customHeight="1" x14ac:dyDescent="0.2">
      <c r="A20" s="501"/>
      <c r="B20" s="792" t="s">
        <v>620</v>
      </c>
      <c r="C20" s="792"/>
      <c r="D20" s="792"/>
      <c r="E20" s="792"/>
      <c r="F20" s="792"/>
      <c r="G20" s="792"/>
      <c r="H20" s="792"/>
      <c r="I20" s="792"/>
      <c r="J20" s="792"/>
      <c r="K20" s="792"/>
      <c r="L20" s="792"/>
      <c r="M20" s="792"/>
      <c r="N20" s="792"/>
      <c r="O20" s="792"/>
      <c r="P20" s="792"/>
      <c r="Q20" s="792"/>
      <c r="R20" s="792"/>
      <c r="S20" s="792"/>
      <c r="T20" s="792"/>
      <c r="U20" s="790"/>
      <c r="V20" s="790"/>
      <c r="W20" s="790"/>
      <c r="X20" s="779">
        <v>397149</v>
      </c>
      <c r="Y20" s="779"/>
      <c r="Z20" s="779"/>
      <c r="AA20" s="779"/>
      <c r="AB20" s="779"/>
      <c r="AC20" s="790" t="s">
        <v>192</v>
      </c>
      <c r="AD20" s="790"/>
      <c r="AE20" s="790"/>
      <c r="AF20" s="790"/>
      <c r="AG20" s="790"/>
      <c r="AH20" s="790"/>
      <c r="AI20" s="790"/>
      <c r="AJ20" s="790"/>
      <c r="AK20" s="790"/>
    </row>
    <row r="21" spans="1:37" ht="23.25" customHeight="1" x14ac:dyDescent="0.2">
      <c r="A21" s="501"/>
      <c r="B21" s="792" t="s">
        <v>870</v>
      </c>
      <c r="C21" s="792"/>
      <c r="D21" s="792"/>
      <c r="E21" s="792"/>
      <c r="F21" s="792"/>
      <c r="G21" s="792"/>
      <c r="H21" s="792"/>
      <c r="I21" s="792"/>
      <c r="J21" s="792"/>
      <c r="K21" s="792"/>
      <c r="L21" s="792"/>
      <c r="M21" s="792"/>
      <c r="N21" s="792"/>
      <c r="O21" s="792"/>
      <c r="P21" s="792"/>
      <c r="Q21" s="792"/>
      <c r="R21" s="792"/>
      <c r="S21" s="792"/>
      <c r="T21" s="792"/>
      <c r="U21" s="569"/>
      <c r="V21" s="569"/>
      <c r="W21" s="569"/>
      <c r="X21" s="810">
        <v>2000000</v>
      </c>
      <c r="Y21" s="812"/>
      <c r="Z21" s="811"/>
      <c r="AA21" s="568"/>
      <c r="AB21" s="568"/>
      <c r="AC21" s="569"/>
      <c r="AD21" s="569"/>
      <c r="AE21" s="569"/>
      <c r="AF21" s="569"/>
      <c r="AG21" s="569"/>
      <c r="AH21" s="569"/>
      <c r="AI21" s="569"/>
      <c r="AJ21" s="569"/>
      <c r="AK21" s="569"/>
    </row>
    <row r="22" spans="1:37" ht="19.5" customHeight="1" x14ac:dyDescent="0.2">
      <c r="A22" s="501"/>
      <c r="B22" s="791" t="s">
        <v>194</v>
      </c>
      <c r="C22" s="791"/>
      <c r="D22" s="791"/>
      <c r="E22" s="791"/>
      <c r="F22" s="791"/>
      <c r="G22" s="791"/>
      <c r="H22" s="791"/>
      <c r="I22" s="791"/>
      <c r="J22" s="791"/>
      <c r="K22" s="791"/>
      <c r="L22" s="791"/>
      <c r="M22" s="791"/>
      <c r="N22" s="791"/>
      <c r="O22" s="791"/>
      <c r="P22" s="791"/>
      <c r="Q22" s="791"/>
      <c r="R22" s="791"/>
      <c r="S22" s="791"/>
      <c r="T22" s="791"/>
      <c r="U22" s="790"/>
      <c r="V22" s="790"/>
      <c r="W22" s="790"/>
      <c r="X22" s="813">
        <f>SUM(X12:AB21)</f>
        <v>8175495</v>
      </c>
      <c r="Y22" s="813"/>
      <c r="Z22" s="813"/>
      <c r="AA22" s="813"/>
      <c r="AB22" s="813"/>
      <c r="AC22" s="790"/>
      <c r="AD22" s="790"/>
      <c r="AE22" s="790"/>
      <c r="AF22" s="790"/>
      <c r="AG22" s="790"/>
      <c r="AH22" s="790"/>
      <c r="AI22" s="790"/>
      <c r="AJ22" s="790"/>
      <c r="AK22" s="790"/>
    </row>
    <row r="23" spans="1:37" ht="19.5" customHeight="1" x14ac:dyDescent="0.2">
      <c r="A23" s="501"/>
      <c r="B23" s="808"/>
      <c r="C23" s="808"/>
      <c r="D23" s="808"/>
      <c r="E23" s="808"/>
      <c r="F23" s="808"/>
      <c r="G23" s="808"/>
      <c r="H23" s="808"/>
      <c r="I23" s="808"/>
      <c r="J23" s="808"/>
      <c r="K23" s="808"/>
      <c r="L23" s="808"/>
      <c r="M23" s="808"/>
      <c r="N23" s="808"/>
      <c r="O23" s="808"/>
      <c r="P23" s="808"/>
      <c r="Q23" s="808"/>
      <c r="R23" s="808"/>
      <c r="S23" s="808"/>
      <c r="T23" s="808"/>
      <c r="U23" s="790"/>
      <c r="V23" s="790"/>
      <c r="W23" s="790"/>
      <c r="X23" s="816"/>
      <c r="Y23" s="816"/>
      <c r="Z23" s="816"/>
      <c r="AA23" s="816"/>
      <c r="AB23" s="816"/>
      <c r="AC23" s="816"/>
      <c r="AD23" s="816"/>
      <c r="AE23" s="816"/>
      <c r="AF23" s="816"/>
      <c r="AG23" s="816"/>
      <c r="AH23" s="790"/>
      <c r="AI23" s="790"/>
      <c r="AJ23" s="790"/>
      <c r="AK23" s="790"/>
    </row>
    <row r="24" spans="1:37" ht="19.5" customHeight="1" x14ac:dyDescent="0.2">
      <c r="A24" s="501"/>
      <c r="B24" s="805" t="s">
        <v>195</v>
      </c>
      <c r="C24" s="805"/>
      <c r="D24" s="805"/>
      <c r="E24" s="805"/>
      <c r="F24" s="805"/>
      <c r="G24" s="805"/>
      <c r="H24" s="805"/>
      <c r="I24" s="805"/>
      <c r="J24" s="805"/>
      <c r="K24" s="805"/>
      <c r="L24" s="805"/>
      <c r="M24" s="805"/>
      <c r="N24" s="805"/>
      <c r="O24" s="805"/>
      <c r="P24" s="805"/>
      <c r="Q24" s="805"/>
      <c r="R24" s="805"/>
      <c r="S24" s="805"/>
      <c r="T24" s="805"/>
      <c r="U24" s="790"/>
      <c r="V24" s="790"/>
      <c r="W24" s="790"/>
      <c r="X24" s="779"/>
      <c r="Y24" s="779"/>
      <c r="Z24" s="779"/>
      <c r="AA24" s="779"/>
      <c r="AB24" s="779"/>
      <c r="AC24" s="790"/>
      <c r="AD24" s="790"/>
      <c r="AE24" s="790"/>
      <c r="AF24" s="790"/>
      <c r="AG24" s="790"/>
      <c r="AH24" s="790"/>
      <c r="AI24" s="790"/>
      <c r="AJ24" s="790"/>
      <c r="AK24" s="790"/>
    </row>
    <row r="25" spans="1:37" ht="26.25" customHeight="1" x14ac:dyDescent="0.2">
      <c r="A25" s="501"/>
      <c r="B25" s="792" t="s">
        <v>871</v>
      </c>
      <c r="C25" s="792"/>
      <c r="D25" s="792"/>
      <c r="E25" s="792"/>
      <c r="F25" s="792"/>
      <c r="G25" s="792"/>
      <c r="H25" s="792"/>
      <c r="I25" s="792"/>
      <c r="J25" s="792"/>
      <c r="K25" s="792"/>
      <c r="L25" s="792"/>
      <c r="M25" s="792"/>
      <c r="N25" s="792"/>
      <c r="O25" s="792"/>
      <c r="P25" s="792"/>
      <c r="Q25" s="792"/>
      <c r="R25" s="792"/>
      <c r="S25" s="792"/>
      <c r="T25" s="792"/>
      <c r="U25" s="569"/>
      <c r="V25" s="569"/>
      <c r="W25" s="569"/>
      <c r="X25" s="810">
        <v>7849000</v>
      </c>
      <c r="Y25" s="812"/>
      <c r="Z25" s="811"/>
      <c r="AA25" s="568"/>
      <c r="AB25" s="568"/>
      <c r="AC25" s="814" t="s">
        <v>872</v>
      </c>
      <c r="AD25" s="815"/>
      <c r="AE25" s="569"/>
      <c r="AF25" s="569"/>
      <c r="AG25" s="569"/>
      <c r="AH25" s="569"/>
      <c r="AI25" s="569"/>
      <c r="AJ25" s="569"/>
      <c r="AK25" s="569"/>
    </row>
    <row r="26" spans="1:37" ht="19.5" customHeight="1" x14ac:dyDescent="0.2">
      <c r="A26" s="501"/>
      <c r="B26" s="806" t="s">
        <v>196</v>
      </c>
      <c r="C26" s="807"/>
      <c r="D26" s="807"/>
      <c r="E26" s="807"/>
      <c r="F26" s="807"/>
      <c r="G26" s="807"/>
      <c r="H26" s="807"/>
      <c r="I26" s="807"/>
      <c r="J26" s="807"/>
      <c r="K26" s="807"/>
      <c r="L26" s="807"/>
      <c r="M26" s="807"/>
      <c r="N26" s="807"/>
      <c r="O26" s="807"/>
      <c r="P26" s="807"/>
      <c r="Q26" s="807"/>
      <c r="R26" s="807"/>
      <c r="S26" s="807"/>
      <c r="T26" s="807"/>
      <c r="U26" s="790"/>
      <c r="V26" s="790"/>
      <c r="W26" s="790"/>
      <c r="X26" s="779">
        <v>500000</v>
      </c>
      <c r="Y26" s="779"/>
      <c r="Z26" s="779"/>
      <c r="AA26" s="779"/>
      <c r="AB26" s="779"/>
      <c r="AC26" s="790"/>
      <c r="AD26" s="790"/>
      <c r="AE26" s="790"/>
      <c r="AF26" s="790"/>
      <c r="AG26" s="790"/>
      <c r="AH26" s="790"/>
      <c r="AI26" s="790"/>
      <c r="AJ26" s="790"/>
      <c r="AK26" s="790"/>
    </row>
    <row r="27" spans="1:37" ht="19.5" customHeight="1" x14ac:dyDescent="0.2">
      <c r="A27" s="501"/>
      <c r="B27" s="806" t="s">
        <v>197</v>
      </c>
      <c r="C27" s="806"/>
      <c r="D27" s="806"/>
      <c r="E27" s="806"/>
      <c r="F27" s="806"/>
      <c r="G27" s="806"/>
      <c r="H27" s="806"/>
      <c r="I27" s="806"/>
      <c r="J27" s="806"/>
      <c r="K27" s="806"/>
      <c r="L27" s="806"/>
      <c r="M27" s="806"/>
      <c r="N27" s="806"/>
      <c r="O27" s="806"/>
      <c r="P27" s="806"/>
      <c r="Q27" s="806"/>
      <c r="R27" s="806"/>
      <c r="S27" s="806"/>
      <c r="T27" s="806"/>
      <c r="U27" s="790"/>
      <c r="V27" s="790"/>
      <c r="W27" s="790"/>
      <c r="X27" s="779">
        <v>1500000</v>
      </c>
      <c r="Y27" s="779"/>
      <c r="Z27" s="779"/>
      <c r="AA27" s="779"/>
      <c r="AB27" s="779"/>
      <c r="AC27" s="790" t="s">
        <v>198</v>
      </c>
      <c r="AD27" s="790"/>
      <c r="AE27" s="790"/>
      <c r="AF27" s="790"/>
      <c r="AG27" s="790"/>
      <c r="AH27" s="790"/>
      <c r="AI27" s="790"/>
      <c r="AJ27" s="790"/>
      <c r="AK27" s="790"/>
    </row>
    <row r="28" spans="1:37" ht="19.5" customHeight="1" x14ac:dyDescent="0.2">
      <c r="A28" s="501"/>
      <c r="B28" s="806" t="s">
        <v>621</v>
      </c>
      <c r="C28" s="806"/>
      <c r="D28" s="806"/>
      <c r="E28" s="806"/>
      <c r="F28" s="806"/>
      <c r="G28" s="806"/>
      <c r="H28" s="806"/>
      <c r="I28" s="806"/>
      <c r="J28" s="806"/>
      <c r="K28" s="806"/>
      <c r="L28" s="806"/>
      <c r="M28" s="806"/>
      <c r="N28" s="806"/>
      <c r="O28" s="806"/>
      <c r="P28" s="806"/>
      <c r="Q28" s="806"/>
      <c r="R28" s="806"/>
      <c r="S28" s="806"/>
      <c r="T28" s="806"/>
      <c r="U28" s="790"/>
      <c r="V28" s="790"/>
      <c r="W28" s="790"/>
      <c r="X28" s="779">
        <v>50000</v>
      </c>
      <c r="Y28" s="779"/>
      <c r="Z28" s="779"/>
      <c r="AA28" s="779"/>
      <c r="AB28" s="779"/>
      <c r="AC28" s="790" t="s">
        <v>199</v>
      </c>
      <c r="AD28" s="790"/>
      <c r="AE28" s="790"/>
      <c r="AF28" s="790"/>
      <c r="AG28" s="790"/>
      <c r="AH28" s="790"/>
      <c r="AI28" s="790"/>
      <c r="AJ28" s="790"/>
      <c r="AK28" s="790"/>
    </row>
    <row r="29" spans="1:37" ht="19.5" customHeight="1" x14ac:dyDescent="0.2">
      <c r="A29" s="501"/>
      <c r="B29" s="806" t="s">
        <v>200</v>
      </c>
      <c r="C29" s="806"/>
      <c r="D29" s="806"/>
      <c r="E29" s="806"/>
      <c r="F29" s="806"/>
      <c r="G29" s="806"/>
      <c r="H29" s="806"/>
      <c r="I29" s="806"/>
      <c r="J29" s="806"/>
      <c r="K29" s="806"/>
      <c r="L29" s="806"/>
      <c r="M29" s="806"/>
      <c r="N29" s="806"/>
      <c r="O29" s="806"/>
      <c r="P29" s="806"/>
      <c r="Q29" s="806"/>
      <c r="R29" s="806"/>
      <c r="S29" s="806"/>
      <c r="T29" s="806"/>
      <c r="U29" s="790"/>
      <c r="V29" s="790"/>
      <c r="W29" s="790"/>
      <c r="X29" s="779">
        <v>30000</v>
      </c>
      <c r="Y29" s="779"/>
      <c r="Z29" s="779"/>
      <c r="AA29" s="779"/>
      <c r="AB29" s="779"/>
      <c r="AC29" s="790" t="s">
        <v>199</v>
      </c>
      <c r="AD29" s="790"/>
      <c r="AE29" s="790"/>
      <c r="AF29" s="790"/>
      <c r="AG29" s="790"/>
      <c r="AH29" s="790"/>
      <c r="AI29" s="790"/>
      <c r="AJ29" s="790"/>
      <c r="AK29" s="790"/>
    </row>
    <row r="30" spans="1:37" ht="19.5" customHeight="1" x14ac:dyDescent="0.2">
      <c r="A30" s="501"/>
      <c r="B30" s="806" t="s">
        <v>764</v>
      </c>
      <c r="C30" s="806"/>
      <c r="D30" s="806"/>
      <c r="E30" s="806"/>
      <c r="F30" s="806"/>
      <c r="G30" s="806"/>
      <c r="H30" s="806"/>
      <c r="I30" s="806"/>
      <c r="J30" s="806"/>
      <c r="K30" s="806"/>
      <c r="L30" s="806"/>
      <c r="M30" s="806"/>
      <c r="N30" s="806"/>
      <c r="O30" s="806"/>
      <c r="P30" s="806"/>
      <c r="Q30" s="806"/>
      <c r="R30" s="806"/>
      <c r="S30" s="806"/>
      <c r="T30" s="806"/>
      <c r="U30" s="790"/>
      <c r="V30" s="790"/>
      <c r="W30" s="790"/>
      <c r="X30" s="779">
        <v>10000</v>
      </c>
      <c r="Y30" s="779"/>
      <c r="Z30" s="779"/>
      <c r="AA30" s="779"/>
      <c r="AB30" s="779"/>
      <c r="AC30" s="790" t="s">
        <v>199</v>
      </c>
      <c r="AD30" s="790"/>
      <c r="AE30" s="790"/>
      <c r="AF30" s="790"/>
      <c r="AG30" s="790"/>
      <c r="AH30" s="790"/>
      <c r="AI30" s="790"/>
      <c r="AJ30" s="790"/>
      <c r="AK30" s="790"/>
    </row>
    <row r="31" spans="1:37" ht="19.5" customHeight="1" x14ac:dyDescent="0.2">
      <c r="A31" s="501"/>
      <c r="B31" s="806" t="s">
        <v>765</v>
      </c>
      <c r="C31" s="806"/>
      <c r="D31" s="806"/>
      <c r="E31" s="806"/>
      <c r="F31" s="806"/>
      <c r="G31" s="806"/>
      <c r="H31" s="806"/>
      <c r="I31" s="806"/>
      <c r="J31" s="806"/>
      <c r="K31" s="806"/>
      <c r="L31" s="806"/>
      <c r="M31" s="806"/>
      <c r="N31" s="806"/>
      <c r="O31" s="806"/>
      <c r="P31" s="806"/>
      <c r="Q31" s="806"/>
      <c r="R31" s="806"/>
      <c r="S31" s="806"/>
      <c r="T31" s="806"/>
      <c r="U31" s="569"/>
      <c r="V31" s="569"/>
      <c r="W31" s="569"/>
      <c r="X31" s="779">
        <v>30000</v>
      </c>
      <c r="Y31" s="779"/>
      <c r="Z31" s="779"/>
      <c r="AA31" s="779"/>
      <c r="AB31" s="779"/>
      <c r="AC31" s="790" t="s">
        <v>199</v>
      </c>
      <c r="AD31" s="790"/>
      <c r="AE31" s="790"/>
      <c r="AF31" s="790"/>
      <c r="AG31" s="790"/>
      <c r="AH31" s="569"/>
      <c r="AI31" s="569"/>
      <c r="AJ31" s="569"/>
      <c r="AK31" s="569"/>
    </row>
    <row r="32" spans="1:37" ht="19.5" customHeight="1" x14ac:dyDescent="0.2">
      <c r="A32" s="501"/>
      <c r="B32" s="806" t="s">
        <v>766</v>
      </c>
      <c r="C32" s="806"/>
      <c r="D32" s="806"/>
      <c r="E32" s="806"/>
      <c r="F32" s="806"/>
      <c r="G32" s="806"/>
      <c r="H32" s="806"/>
      <c r="I32" s="806"/>
      <c r="J32" s="806"/>
      <c r="K32" s="806"/>
      <c r="L32" s="806"/>
      <c r="M32" s="806"/>
      <c r="N32" s="806"/>
      <c r="O32" s="806"/>
      <c r="P32" s="806"/>
      <c r="Q32" s="806"/>
      <c r="R32" s="806"/>
      <c r="S32" s="806"/>
      <c r="T32" s="806"/>
      <c r="U32" s="569"/>
      <c r="V32" s="569"/>
      <c r="W32" s="569"/>
      <c r="X32" s="779">
        <v>10000</v>
      </c>
      <c r="Y32" s="779"/>
      <c r="Z32" s="779"/>
      <c r="AA32" s="779"/>
      <c r="AB32" s="779"/>
      <c r="AC32" s="790" t="s">
        <v>199</v>
      </c>
      <c r="AD32" s="790"/>
      <c r="AE32" s="790"/>
      <c r="AF32" s="790"/>
      <c r="AG32" s="790"/>
      <c r="AH32" s="569"/>
      <c r="AI32" s="569"/>
      <c r="AJ32" s="569"/>
      <c r="AK32" s="569"/>
    </row>
    <row r="33" spans="1:37" ht="19.5" customHeight="1" x14ac:dyDescent="0.2">
      <c r="A33" s="501"/>
      <c r="B33" s="806" t="s">
        <v>622</v>
      </c>
      <c r="C33" s="806"/>
      <c r="D33" s="806"/>
      <c r="E33" s="806"/>
      <c r="F33" s="806"/>
      <c r="G33" s="806"/>
      <c r="H33" s="806"/>
      <c r="I33" s="806"/>
      <c r="J33" s="806"/>
      <c r="K33" s="806"/>
      <c r="L33" s="806"/>
      <c r="M33" s="806"/>
      <c r="N33" s="806"/>
      <c r="O33" s="806"/>
      <c r="P33" s="806"/>
      <c r="Q33" s="806"/>
      <c r="R33" s="806"/>
      <c r="S33" s="806"/>
      <c r="T33" s="806"/>
      <c r="U33" s="790"/>
      <c r="V33" s="790"/>
      <c r="W33" s="790"/>
      <c r="X33" s="809">
        <f>8400*12</f>
        <v>100800</v>
      </c>
      <c r="Y33" s="809"/>
      <c r="Z33" s="809"/>
      <c r="AA33" s="809"/>
      <c r="AB33" s="809"/>
      <c r="AC33" s="790" t="s">
        <v>201</v>
      </c>
      <c r="AD33" s="790"/>
      <c r="AE33" s="790"/>
      <c r="AF33" s="790"/>
      <c r="AG33" s="790"/>
      <c r="AH33" s="790"/>
      <c r="AI33" s="790"/>
      <c r="AJ33" s="790"/>
      <c r="AK33" s="790"/>
    </row>
    <row r="34" spans="1:37" ht="19.5" customHeight="1" x14ac:dyDescent="0.2">
      <c r="A34" s="501"/>
      <c r="B34" s="792" t="s">
        <v>873</v>
      </c>
      <c r="C34" s="792"/>
      <c r="D34" s="792"/>
      <c r="E34" s="792"/>
      <c r="F34" s="792"/>
      <c r="G34" s="792"/>
      <c r="H34" s="792"/>
      <c r="I34" s="792"/>
      <c r="J34" s="792"/>
      <c r="K34" s="792"/>
      <c r="L34" s="792"/>
      <c r="M34" s="792"/>
      <c r="N34" s="792"/>
      <c r="O34" s="792"/>
      <c r="P34" s="792"/>
      <c r="Q34" s="792"/>
      <c r="R34" s="792"/>
      <c r="S34" s="792"/>
      <c r="T34" s="792"/>
      <c r="U34" s="790"/>
      <c r="V34" s="790"/>
      <c r="W34" s="790"/>
      <c r="X34" s="779">
        <v>391424</v>
      </c>
      <c r="Y34" s="779"/>
      <c r="Z34" s="779"/>
      <c r="AA34" s="779"/>
      <c r="AB34" s="779"/>
      <c r="AC34" s="790"/>
      <c r="AD34" s="790"/>
      <c r="AE34" s="790"/>
      <c r="AF34" s="790"/>
      <c r="AG34" s="790"/>
      <c r="AH34" s="790"/>
      <c r="AI34" s="790"/>
      <c r="AJ34" s="790"/>
      <c r="AK34" s="790"/>
    </row>
    <row r="35" spans="1:37" ht="19.5" customHeight="1" x14ac:dyDescent="0.2">
      <c r="A35" s="501"/>
      <c r="B35" s="791" t="s">
        <v>202</v>
      </c>
      <c r="C35" s="791"/>
      <c r="D35" s="791"/>
      <c r="E35" s="791"/>
      <c r="F35" s="791"/>
      <c r="G35" s="791"/>
      <c r="H35" s="791"/>
      <c r="I35" s="791"/>
      <c r="J35" s="791"/>
      <c r="K35" s="791"/>
      <c r="L35" s="791"/>
      <c r="M35" s="791"/>
      <c r="N35" s="791"/>
      <c r="O35" s="791"/>
      <c r="P35" s="791"/>
      <c r="Q35" s="791"/>
      <c r="R35" s="791"/>
      <c r="S35" s="791"/>
      <c r="T35" s="791"/>
      <c r="U35" s="790"/>
      <c r="V35" s="790"/>
      <c r="W35" s="790"/>
      <c r="X35" s="813">
        <f>SUM(X25:AB34)</f>
        <v>10471224</v>
      </c>
      <c r="Y35" s="813"/>
      <c r="Z35" s="813"/>
      <c r="AA35" s="813"/>
      <c r="AB35" s="813"/>
      <c r="AC35" s="790"/>
      <c r="AD35" s="790"/>
      <c r="AE35" s="790"/>
      <c r="AF35" s="790"/>
      <c r="AG35" s="790"/>
      <c r="AH35" s="790"/>
      <c r="AI35" s="790"/>
      <c r="AJ35" s="790"/>
      <c r="AK35" s="790"/>
    </row>
    <row r="36" spans="1:37" ht="19.5" customHeight="1" x14ac:dyDescent="0.2">
      <c r="A36" s="501"/>
      <c r="B36" s="791" t="s">
        <v>203</v>
      </c>
      <c r="C36" s="791"/>
      <c r="D36" s="791"/>
      <c r="E36" s="791"/>
      <c r="F36" s="791"/>
      <c r="G36" s="791"/>
      <c r="H36" s="791"/>
      <c r="I36" s="791"/>
      <c r="J36" s="791"/>
      <c r="K36" s="791"/>
      <c r="L36" s="791"/>
      <c r="M36" s="791"/>
      <c r="N36" s="791"/>
      <c r="O36" s="791"/>
      <c r="P36" s="791"/>
      <c r="Q36" s="791"/>
      <c r="R36" s="791"/>
      <c r="S36" s="791"/>
      <c r="T36" s="791"/>
      <c r="U36" s="790"/>
      <c r="V36" s="790"/>
      <c r="W36" s="790"/>
      <c r="X36" s="813">
        <f>+X35+X22</f>
        <v>18646719</v>
      </c>
      <c r="Y36" s="813"/>
      <c r="Z36" s="813"/>
      <c r="AA36" s="813"/>
      <c r="AB36" s="813"/>
      <c r="AC36" s="790"/>
      <c r="AD36" s="790"/>
      <c r="AE36" s="790"/>
      <c r="AF36" s="790"/>
      <c r="AG36" s="790"/>
      <c r="AH36" s="790"/>
      <c r="AI36" s="790"/>
      <c r="AJ36" s="790"/>
      <c r="AK36" s="790"/>
    </row>
    <row r="37" spans="1:37" ht="19.5" customHeight="1" x14ac:dyDescent="0.2">
      <c r="A37" s="501"/>
      <c r="B37" s="792"/>
      <c r="C37" s="792"/>
      <c r="D37" s="792"/>
      <c r="E37" s="792"/>
      <c r="F37" s="792"/>
      <c r="G37" s="792"/>
      <c r="H37" s="792"/>
      <c r="I37" s="792"/>
      <c r="J37" s="792"/>
      <c r="K37" s="792"/>
      <c r="L37" s="792"/>
      <c r="M37" s="792"/>
      <c r="N37" s="792"/>
      <c r="O37" s="792"/>
      <c r="P37" s="792"/>
      <c r="Q37" s="792"/>
      <c r="R37" s="792"/>
      <c r="S37" s="792"/>
      <c r="T37" s="792"/>
      <c r="U37" s="790"/>
      <c r="V37" s="790"/>
      <c r="W37" s="790"/>
      <c r="X37" s="779"/>
      <c r="Y37" s="779"/>
      <c r="Z37" s="779"/>
      <c r="AA37" s="779"/>
      <c r="AB37" s="779"/>
      <c r="AC37" s="790" t="s">
        <v>204</v>
      </c>
      <c r="AD37" s="790"/>
      <c r="AE37" s="790"/>
      <c r="AF37" s="790"/>
      <c r="AG37" s="790"/>
      <c r="AH37" s="790"/>
      <c r="AI37" s="790"/>
      <c r="AJ37" s="790"/>
      <c r="AK37" s="790"/>
    </row>
    <row r="38" spans="1:37" ht="19.5" customHeight="1" x14ac:dyDescent="0.2">
      <c r="A38" s="501"/>
      <c r="B38" s="792"/>
      <c r="C38" s="792"/>
      <c r="D38" s="792"/>
      <c r="E38" s="792"/>
      <c r="F38" s="792"/>
      <c r="G38" s="792"/>
      <c r="H38" s="792"/>
      <c r="I38" s="792"/>
      <c r="J38" s="792"/>
      <c r="K38" s="792"/>
      <c r="L38" s="792"/>
      <c r="M38" s="792"/>
      <c r="N38" s="792"/>
      <c r="O38" s="792"/>
      <c r="P38" s="792"/>
      <c r="Q38" s="792"/>
      <c r="R38" s="792"/>
      <c r="S38" s="792"/>
      <c r="T38" s="792"/>
      <c r="U38" s="790"/>
      <c r="V38" s="790"/>
      <c r="W38" s="790"/>
      <c r="X38" s="779"/>
      <c r="Y38" s="779"/>
      <c r="Z38" s="779"/>
      <c r="AA38" s="779"/>
      <c r="AB38" s="779"/>
      <c r="AC38" s="790" t="s">
        <v>205</v>
      </c>
      <c r="AD38" s="790"/>
      <c r="AE38" s="790"/>
      <c r="AF38" s="790"/>
      <c r="AG38" s="790"/>
      <c r="AH38" s="790"/>
      <c r="AI38" s="790"/>
      <c r="AJ38" s="790"/>
      <c r="AK38" s="790"/>
    </row>
    <row r="39" spans="1:37" ht="19.5" customHeight="1" x14ac:dyDescent="0.2">
      <c r="A39" s="501"/>
      <c r="B39" s="791" t="s">
        <v>206</v>
      </c>
      <c r="C39" s="791"/>
      <c r="D39" s="791"/>
      <c r="E39" s="791"/>
      <c r="F39" s="791"/>
      <c r="G39" s="791"/>
      <c r="H39" s="791"/>
      <c r="I39" s="791"/>
      <c r="J39" s="791"/>
      <c r="K39" s="791"/>
      <c r="L39" s="791"/>
      <c r="M39" s="791"/>
      <c r="N39" s="791"/>
      <c r="O39" s="791"/>
      <c r="P39" s="791"/>
      <c r="Q39" s="791"/>
      <c r="R39" s="791"/>
      <c r="S39" s="791"/>
      <c r="T39" s="791"/>
      <c r="U39" s="790"/>
      <c r="V39" s="790"/>
      <c r="W39" s="790"/>
      <c r="X39" s="813">
        <f>+X37+X38</f>
        <v>0</v>
      </c>
      <c r="Y39" s="813"/>
      <c r="Z39" s="813"/>
      <c r="AA39" s="813"/>
      <c r="AB39" s="813"/>
      <c r="AC39" s="790"/>
      <c r="AD39" s="790"/>
      <c r="AE39" s="790"/>
      <c r="AF39" s="790"/>
      <c r="AG39" s="790"/>
      <c r="AH39" s="790"/>
      <c r="AI39" s="790"/>
      <c r="AJ39" s="790"/>
      <c r="AK39" s="790"/>
    </row>
    <row r="40" spans="1:37" ht="21.95" customHeight="1" x14ac:dyDescent="0.2">
      <c r="Z40" s="614"/>
    </row>
    <row r="41" spans="1:37" ht="21.95" customHeight="1" x14ac:dyDescent="0.2"/>
    <row r="42" spans="1:37" ht="21.95" customHeight="1" x14ac:dyDescent="0.2"/>
    <row r="43" spans="1:37" ht="21.95" customHeight="1" x14ac:dyDescent="0.2"/>
    <row r="44" spans="1:37" ht="21.95" customHeight="1" x14ac:dyDescent="0.2"/>
    <row r="45" spans="1:37" ht="21.95" customHeight="1" x14ac:dyDescent="0.2"/>
    <row r="46" spans="1:37" ht="21.95" customHeight="1" x14ac:dyDescent="0.2"/>
    <row r="47" spans="1:37" ht="21.95" customHeight="1" x14ac:dyDescent="0.2"/>
    <row r="48" spans="1:37" ht="21.95" customHeight="1" x14ac:dyDescent="0.2"/>
    <row r="49" ht="21.95" customHeight="1" x14ac:dyDescent="0.2"/>
    <row r="50" ht="21.95" customHeight="1" x14ac:dyDescent="0.2"/>
    <row r="51" ht="21.95" customHeight="1" x14ac:dyDescent="0.2"/>
    <row r="52" ht="21.95" customHeight="1" x14ac:dyDescent="0.2"/>
    <row r="53" ht="21.95" customHeight="1" x14ac:dyDescent="0.2"/>
    <row r="105" spans="2:5" x14ac:dyDescent="0.2">
      <c r="B105" s="502"/>
      <c r="C105" s="502"/>
      <c r="D105" s="502"/>
      <c r="E105" s="502"/>
    </row>
    <row r="106" spans="2:5" x14ac:dyDescent="0.2">
      <c r="B106" s="502"/>
      <c r="C106" s="502"/>
      <c r="D106" s="502"/>
      <c r="E106" s="502"/>
    </row>
    <row r="107" spans="2:5" x14ac:dyDescent="0.2">
      <c r="B107" s="502"/>
      <c r="C107" s="502"/>
      <c r="D107" s="502"/>
      <c r="E107" s="502"/>
    </row>
    <row r="108" spans="2:5" x14ac:dyDescent="0.2">
      <c r="B108" s="502"/>
      <c r="C108" s="502"/>
      <c r="D108" s="502"/>
      <c r="E108" s="502"/>
    </row>
    <row r="109" spans="2:5" x14ac:dyDescent="0.2">
      <c r="B109" s="502"/>
      <c r="C109" s="502"/>
      <c r="D109" s="502"/>
      <c r="E109" s="502"/>
    </row>
    <row r="110" spans="2:5" x14ac:dyDescent="0.2">
      <c r="B110" s="502"/>
      <c r="C110" s="502"/>
      <c r="D110" s="502"/>
      <c r="E110" s="502"/>
    </row>
    <row r="111" spans="2:5" x14ac:dyDescent="0.2">
      <c r="B111" s="502"/>
      <c r="C111" s="502"/>
      <c r="D111" s="502"/>
      <c r="E111" s="502"/>
    </row>
    <row r="112" spans="2:5" x14ac:dyDescent="0.2">
      <c r="B112" s="502"/>
      <c r="C112" s="502"/>
      <c r="D112" s="502"/>
      <c r="E112" s="502"/>
    </row>
    <row r="113" spans="2:5" x14ac:dyDescent="0.2">
      <c r="B113" s="502"/>
      <c r="C113" s="502"/>
      <c r="D113" s="502"/>
      <c r="E113" s="502"/>
    </row>
    <row r="114" spans="2:5" x14ac:dyDescent="0.2">
      <c r="B114" s="502"/>
      <c r="C114" s="502"/>
      <c r="D114" s="502"/>
      <c r="E114" s="502"/>
    </row>
    <row r="115" spans="2:5" x14ac:dyDescent="0.2">
      <c r="B115" s="502"/>
      <c r="C115" s="502"/>
      <c r="D115" s="502"/>
      <c r="E115" s="502"/>
    </row>
    <row r="116" spans="2:5" x14ac:dyDescent="0.2">
      <c r="B116" s="502"/>
      <c r="C116" s="502"/>
      <c r="D116" s="502"/>
      <c r="E116" s="502"/>
    </row>
    <row r="117" spans="2:5" x14ac:dyDescent="0.2">
      <c r="B117" s="502"/>
      <c r="C117" s="502"/>
      <c r="D117" s="502"/>
      <c r="E117" s="502"/>
    </row>
    <row r="118" spans="2:5" x14ac:dyDescent="0.2">
      <c r="B118" s="502"/>
      <c r="C118" s="502"/>
      <c r="D118" s="502"/>
      <c r="E118" s="502"/>
    </row>
    <row r="119" spans="2:5" x14ac:dyDescent="0.2">
      <c r="B119" s="502"/>
      <c r="C119" s="502"/>
      <c r="D119" s="502"/>
      <c r="E119" s="502"/>
    </row>
    <row r="120" spans="2:5" x14ac:dyDescent="0.2">
      <c r="B120" s="502"/>
      <c r="C120" s="502"/>
      <c r="D120" s="502"/>
      <c r="E120" s="502"/>
    </row>
    <row r="121" spans="2:5" x14ac:dyDescent="0.2">
      <c r="B121" s="502"/>
      <c r="C121" s="502"/>
      <c r="D121" s="502"/>
      <c r="E121" s="502"/>
    </row>
    <row r="122" spans="2:5" x14ac:dyDescent="0.2">
      <c r="B122" s="502"/>
      <c r="C122" s="502"/>
      <c r="D122" s="502"/>
      <c r="E122" s="502"/>
    </row>
    <row r="123" spans="2:5" x14ac:dyDescent="0.2">
      <c r="B123" s="502"/>
      <c r="C123" s="502"/>
      <c r="D123" s="502"/>
      <c r="E123" s="502"/>
    </row>
    <row r="124" spans="2:5" x14ac:dyDescent="0.2">
      <c r="B124" s="502"/>
      <c r="C124" s="502"/>
      <c r="D124" s="502"/>
      <c r="E124" s="502"/>
    </row>
    <row r="125" spans="2:5" x14ac:dyDescent="0.2">
      <c r="B125" s="502"/>
      <c r="C125" s="502"/>
      <c r="D125" s="502"/>
      <c r="E125" s="502"/>
    </row>
    <row r="126" spans="2:5" x14ac:dyDescent="0.2">
      <c r="B126" s="502"/>
      <c r="C126" s="502"/>
      <c r="D126" s="502"/>
      <c r="E126" s="502"/>
    </row>
    <row r="127" spans="2:5" x14ac:dyDescent="0.2">
      <c r="B127" s="502"/>
      <c r="C127" s="502"/>
      <c r="D127" s="502"/>
      <c r="E127" s="502"/>
    </row>
    <row r="128" spans="2:5" x14ac:dyDescent="0.2">
      <c r="B128" s="502"/>
      <c r="C128" s="502"/>
      <c r="D128" s="502"/>
      <c r="E128" s="502"/>
    </row>
    <row r="129" spans="2:5" x14ac:dyDescent="0.2">
      <c r="B129" s="502"/>
      <c r="C129" s="502"/>
      <c r="D129" s="502"/>
      <c r="E129" s="502"/>
    </row>
    <row r="130" spans="2:5" x14ac:dyDescent="0.2">
      <c r="B130" s="502"/>
      <c r="C130" s="502"/>
      <c r="D130" s="502"/>
      <c r="E130" s="502"/>
    </row>
    <row r="131" spans="2:5" x14ac:dyDescent="0.2">
      <c r="B131" s="502"/>
      <c r="C131" s="502"/>
      <c r="D131" s="502"/>
      <c r="E131" s="502"/>
    </row>
    <row r="132" spans="2:5" x14ac:dyDescent="0.2">
      <c r="B132" s="502"/>
      <c r="C132" s="502"/>
      <c r="D132" s="502"/>
      <c r="E132" s="502"/>
    </row>
    <row r="133" spans="2:5" x14ac:dyDescent="0.2">
      <c r="B133" s="502"/>
      <c r="C133" s="502"/>
      <c r="D133" s="502"/>
      <c r="E133" s="502"/>
    </row>
    <row r="134" spans="2:5" x14ac:dyDescent="0.2">
      <c r="B134" s="502"/>
      <c r="C134" s="502"/>
      <c r="D134" s="502"/>
      <c r="E134" s="502"/>
    </row>
    <row r="135" spans="2:5" x14ac:dyDescent="0.2">
      <c r="B135" s="502"/>
      <c r="C135" s="502"/>
      <c r="D135" s="502"/>
      <c r="E135" s="502"/>
    </row>
    <row r="136" spans="2:5" x14ac:dyDescent="0.2">
      <c r="B136" s="502"/>
      <c r="C136" s="502"/>
      <c r="D136" s="502"/>
      <c r="E136" s="502"/>
    </row>
    <row r="137" spans="2:5" x14ac:dyDescent="0.2">
      <c r="B137" s="502"/>
      <c r="C137" s="502"/>
      <c r="D137" s="502"/>
      <c r="E137" s="502"/>
    </row>
    <row r="138" spans="2:5" x14ac:dyDescent="0.2">
      <c r="B138" s="502"/>
      <c r="C138" s="502"/>
      <c r="D138" s="502"/>
      <c r="E138" s="502"/>
    </row>
    <row r="139" spans="2:5" x14ac:dyDescent="0.2">
      <c r="B139" s="502"/>
      <c r="C139" s="502"/>
      <c r="D139" s="502"/>
      <c r="E139" s="502"/>
    </row>
    <row r="140" spans="2:5" x14ac:dyDescent="0.2">
      <c r="B140" s="502"/>
      <c r="C140" s="502"/>
      <c r="D140" s="502"/>
      <c r="E140" s="502"/>
    </row>
    <row r="141" spans="2:5" x14ac:dyDescent="0.2">
      <c r="B141" s="502"/>
      <c r="C141" s="502"/>
      <c r="D141" s="502"/>
      <c r="E141" s="502"/>
    </row>
    <row r="142" spans="2:5" x14ac:dyDescent="0.2">
      <c r="B142" s="502"/>
      <c r="C142" s="502"/>
      <c r="D142" s="502"/>
      <c r="E142" s="502"/>
    </row>
    <row r="143" spans="2:5" x14ac:dyDescent="0.2">
      <c r="B143" s="502"/>
      <c r="C143" s="502"/>
      <c r="D143" s="502"/>
      <c r="E143" s="502"/>
    </row>
    <row r="144" spans="2:5" x14ac:dyDescent="0.2">
      <c r="B144" s="502"/>
      <c r="C144" s="502"/>
      <c r="D144" s="502"/>
      <c r="E144" s="502"/>
    </row>
    <row r="145" spans="2:5" x14ac:dyDescent="0.2">
      <c r="B145" s="502"/>
      <c r="C145" s="502"/>
      <c r="D145" s="502"/>
      <c r="E145" s="502"/>
    </row>
    <row r="146" spans="2:5" x14ac:dyDescent="0.2">
      <c r="B146" s="502"/>
      <c r="C146" s="502"/>
      <c r="D146" s="502"/>
      <c r="E146" s="502"/>
    </row>
    <row r="147" spans="2:5" x14ac:dyDescent="0.2">
      <c r="B147" s="502"/>
      <c r="C147" s="502"/>
      <c r="D147" s="502"/>
      <c r="E147" s="502"/>
    </row>
    <row r="148" spans="2:5" x14ac:dyDescent="0.2">
      <c r="B148" s="502"/>
      <c r="C148" s="502"/>
      <c r="D148" s="502"/>
      <c r="E148" s="502"/>
    </row>
    <row r="149" spans="2:5" x14ac:dyDescent="0.2">
      <c r="B149" s="502"/>
      <c r="C149" s="502"/>
      <c r="D149" s="502"/>
      <c r="E149" s="502"/>
    </row>
    <row r="150" spans="2:5" x14ac:dyDescent="0.2">
      <c r="B150" s="502"/>
      <c r="C150" s="502"/>
      <c r="D150" s="502"/>
      <c r="E150" s="502"/>
    </row>
    <row r="151" spans="2:5" x14ac:dyDescent="0.2">
      <c r="B151" s="502"/>
      <c r="C151" s="502"/>
      <c r="D151" s="502"/>
      <c r="E151" s="502"/>
    </row>
    <row r="152" spans="2:5" x14ac:dyDescent="0.2">
      <c r="B152" s="502"/>
      <c r="C152" s="502"/>
      <c r="D152" s="502"/>
      <c r="E152" s="502"/>
    </row>
    <row r="153" spans="2:5" x14ac:dyDescent="0.2">
      <c r="B153" s="502"/>
      <c r="C153" s="502"/>
      <c r="D153" s="502"/>
      <c r="E153" s="502"/>
    </row>
    <row r="154" spans="2:5" x14ac:dyDescent="0.2">
      <c r="B154" s="502"/>
      <c r="C154" s="502"/>
      <c r="D154" s="502"/>
      <c r="E154" s="502"/>
    </row>
    <row r="155" spans="2:5" x14ac:dyDescent="0.2">
      <c r="B155" s="502"/>
      <c r="C155" s="502"/>
      <c r="D155" s="502"/>
      <c r="E155" s="502"/>
    </row>
    <row r="156" spans="2:5" x14ac:dyDescent="0.2">
      <c r="B156" s="502"/>
      <c r="C156" s="502"/>
      <c r="D156" s="502"/>
      <c r="E156" s="502"/>
    </row>
    <row r="157" spans="2:5" x14ac:dyDescent="0.2">
      <c r="B157" s="502"/>
      <c r="C157" s="502"/>
      <c r="D157" s="502"/>
      <c r="E157" s="502"/>
    </row>
    <row r="158" spans="2:5" x14ac:dyDescent="0.2">
      <c r="B158" s="502"/>
      <c r="C158" s="502"/>
      <c r="D158" s="502"/>
      <c r="E158" s="502"/>
    </row>
    <row r="159" spans="2:5" x14ac:dyDescent="0.2">
      <c r="B159" s="502"/>
      <c r="C159" s="502"/>
      <c r="D159" s="502"/>
      <c r="E159" s="502"/>
    </row>
    <row r="160" spans="2:5" x14ac:dyDescent="0.2">
      <c r="B160" s="502"/>
      <c r="C160" s="502"/>
      <c r="D160" s="502"/>
      <c r="E160" s="502"/>
    </row>
    <row r="161" spans="2:5" x14ac:dyDescent="0.2">
      <c r="B161" s="502"/>
      <c r="C161" s="502"/>
      <c r="D161" s="502"/>
      <c r="E161" s="502"/>
    </row>
    <row r="162" spans="2:5" x14ac:dyDescent="0.2">
      <c r="B162" s="502"/>
      <c r="C162" s="502"/>
      <c r="D162" s="502"/>
      <c r="E162" s="502"/>
    </row>
    <row r="163" spans="2:5" x14ac:dyDescent="0.2">
      <c r="B163" s="502"/>
      <c r="C163" s="502"/>
      <c r="D163" s="502"/>
      <c r="E163" s="502"/>
    </row>
    <row r="164" spans="2:5" x14ac:dyDescent="0.2">
      <c r="B164" s="502"/>
      <c r="C164" s="502"/>
      <c r="D164" s="502"/>
      <c r="E164" s="502"/>
    </row>
    <row r="165" spans="2:5" x14ac:dyDescent="0.2">
      <c r="B165" s="502"/>
      <c r="C165" s="502"/>
      <c r="D165" s="502"/>
      <c r="E165" s="502"/>
    </row>
    <row r="166" spans="2:5" x14ac:dyDescent="0.2">
      <c r="B166" s="502"/>
      <c r="C166" s="502"/>
      <c r="D166" s="502"/>
      <c r="E166" s="502"/>
    </row>
    <row r="167" spans="2:5" x14ac:dyDescent="0.2">
      <c r="B167" s="502"/>
      <c r="C167" s="502"/>
      <c r="D167" s="502"/>
      <c r="E167" s="502"/>
    </row>
    <row r="168" spans="2:5" x14ac:dyDescent="0.2">
      <c r="B168" s="502"/>
      <c r="C168" s="502"/>
      <c r="D168" s="502"/>
      <c r="E168" s="502"/>
    </row>
    <row r="169" spans="2:5" x14ac:dyDescent="0.2">
      <c r="B169" s="502"/>
      <c r="C169" s="502"/>
      <c r="D169" s="502"/>
      <c r="E169" s="502"/>
    </row>
    <row r="170" spans="2:5" x14ac:dyDescent="0.2">
      <c r="B170" s="502"/>
      <c r="C170" s="502"/>
      <c r="D170" s="502"/>
      <c r="E170" s="502"/>
    </row>
    <row r="171" spans="2:5" x14ac:dyDescent="0.2">
      <c r="B171" s="502"/>
      <c r="C171" s="502"/>
      <c r="D171" s="502"/>
      <c r="E171" s="502"/>
    </row>
    <row r="172" spans="2:5" x14ac:dyDescent="0.2">
      <c r="B172" s="502"/>
      <c r="C172" s="502"/>
      <c r="D172" s="502"/>
      <c r="E172" s="502"/>
    </row>
    <row r="173" spans="2:5" x14ac:dyDescent="0.2">
      <c r="B173" s="502"/>
      <c r="C173" s="502"/>
      <c r="D173" s="502"/>
      <c r="E173" s="502"/>
    </row>
    <row r="174" spans="2:5" x14ac:dyDescent="0.2">
      <c r="B174" s="502"/>
      <c r="C174" s="502"/>
      <c r="D174" s="502"/>
      <c r="E174" s="502"/>
    </row>
    <row r="175" spans="2:5" x14ac:dyDescent="0.2">
      <c r="B175" s="502"/>
      <c r="C175" s="502"/>
      <c r="D175" s="502"/>
      <c r="E175" s="502"/>
    </row>
    <row r="176" spans="2:5" x14ac:dyDescent="0.2">
      <c r="B176" s="502"/>
      <c r="C176" s="502"/>
      <c r="D176" s="502"/>
      <c r="E176" s="502"/>
    </row>
    <row r="177" spans="2:5" x14ac:dyDescent="0.2">
      <c r="B177" s="502"/>
      <c r="C177" s="502"/>
      <c r="D177" s="502"/>
      <c r="E177" s="502"/>
    </row>
    <row r="178" spans="2:5" x14ac:dyDescent="0.2">
      <c r="B178" s="502"/>
      <c r="C178" s="502"/>
      <c r="D178" s="502"/>
      <c r="E178" s="502"/>
    </row>
    <row r="179" spans="2:5" x14ac:dyDescent="0.2">
      <c r="B179" s="502"/>
      <c r="C179" s="502"/>
      <c r="D179" s="502"/>
      <c r="E179" s="502"/>
    </row>
    <row r="180" spans="2:5" x14ac:dyDescent="0.2">
      <c r="B180" s="502"/>
      <c r="C180" s="502"/>
      <c r="D180" s="502"/>
      <c r="E180" s="502"/>
    </row>
    <row r="181" spans="2:5" x14ac:dyDescent="0.2">
      <c r="B181" s="502"/>
      <c r="C181" s="502"/>
      <c r="D181" s="502"/>
      <c r="E181" s="502"/>
    </row>
    <row r="182" spans="2:5" x14ac:dyDescent="0.2">
      <c r="B182" s="502"/>
      <c r="C182" s="502"/>
      <c r="D182" s="502"/>
      <c r="E182" s="502"/>
    </row>
    <row r="183" spans="2:5" x14ac:dyDescent="0.2">
      <c r="B183" s="502"/>
      <c r="C183" s="502"/>
      <c r="D183" s="502"/>
      <c r="E183" s="502"/>
    </row>
    <row r="184" spans="2:5" x14ac:dyDescent="0.2">
      <c r="B184" s="502"/>
      <c r="C184" s="502"/>
      <c r="D184" s="502"/>
      <c r="E184" s="502"/>
    </row>
    <row r="185" spans="2:5" x14ac:dyDescent="0.2">
      <c r="B185" s="502"/>
      <c r="C185" s="502"/>
      <c r="D185" s="502"/>
      <c r="E185" s="502"/>
    </row>
    <row r="186" spans="2:5" x14ac:dyDescent="0.2">
      <c r="B186" s="502"/>
      <c r="C186" s="502"/>
      <c r="D186" s="502"/>
      <c r="E186" s="502"/>
    </row>
    <row r="187" spans="2:5" x14ac:dyDescent="0.2">
      <c r="B187" s="502"/>
      <c r="C187" s="502"/>
      <c r="D187" s="502"/>
      <c r="E187" s="502"/>
    </row>
  </sheetData>
  <mergeCells count="140">
    <mergeCell ref="AC39:AG39"/>
    <mergeCell ref="AH39:AK39"/>
    <mergeCell ref="B39:T39"/>
    <mergeCell ref="U39:W39"/>
    <mergeCell ref="X39:AB39"/>
    <mergeCell ref="X37:AB37"/>
    <mergeCell ref="AC37:AG37"/>
    <mergeCell ref="AH37:AK37"/>
    <mergeCell ref="B38:T38"/>
    <mergeCell ref="U38:W38"/>
    <mergeCell ref="X38:AB38"/>
    <mergeCell ref="AC38:AG38"/>
    <mergeCell ref="AH38:AK38"/>
    <mergeCell ref="X35:AB35"/>
    <mergeCell ref="AC35:AG35"/>
    <mergeCell ref="AH35:AK35"/>
    <mergeCell ref="U36:W36"/>
    <mergeCell ref="X36:AB36"/>
    <mergeCell ref="AC36:AG36"/>
    <mergeCell ref="AH36:AK36"/>
    <mergeCell ref="AH33:AK33"/>
    <mergeCell ref="U34:W34"/>
    <mergeCell ref="X34:AB34"/>
    <mergeCell ref="AC34:AG34"/>
    <mergeCell ref="AH34:AK34"/>
    <mergeCell ref="X32:AB32"/>
    <mergeCell ref="AC32:AG32"/>
    <mergeCell ref="U33:W33"/>
    <mergeCell ref="X33:AB33"/>
    <mergeCell ref="AC33:AG33"/>
    <mergeCell ref="X30:AB30"/>
    <mergeCell ref="AC30:AG30"/>
    <mergeCell ref="AH30:AK30"/>
    <mergeCell ref="X31:AB31"/>
    <mergeCell ref="AC31:AG31"/>
    <mergeCell ref="X28:AB28"/>
    <mergeCell ref="AC28:AG28"/>
    <mergeCell ref="AH28:AK28"/>
    <mergeCell ref="U29:W29"/>
    <mergeCell ref="X29:AB29"/>
    <mergeCell ref="AC29:AG29"/>
    <mergeCell ref="AH29:AK29"/>
    <mergeCell ref="AH26:AK26"/>
    <mergeCell ref="U27:W27"/>
    <mergeCell ref="X27:AB27"/>
    <mergeCell ref="AC27:AG27"/>
    <mergeCell ref="AH27:AK27"/>
    <mergeCell ref="X25:Z25"/>
    <mergeCell ref="AC25:AD25"/>
    <mergeCell ref="U26:W26"/>
    <mergeCell ref="X26:AB26"/>
    <mergeCell ref="AC26:AG26"/>
    <mergeCell ref="X23:AB23"/>
    <mergeCell ref="AC23:AG23"/>
    <mergeCell ref="AH23:AK23"/>
    <mergeCell ref="U24:W24"/>
    <mergeCell ref="X24:AB24"/>
    <mergeCell ref="AC24:AG24"/>
    <mergeCell ref="AH24:AK24"/>
    <mergeCell ref="AH20:AK20"/>
    <mergeCell ref="X21:Z21"/>
    <mergeCell ref="U22:W22"/>
    <mergeCell ref="X22:AB22"/>
    <mergeCell ref="AC22:AG22"/>
    <mergeCell ref="AH22:AK22"/>
    <mergeCell ref="U20:W20"/>
    <mergeCell ref="X20:AB20"/>
    <mergeCell ref="AC20:AG20"/>
    <mergeCell ref="X18:AB18"/>
    <mergeCell ref="AC18:AG18"/>
    <mergeCell ref="X19:Y19"/>
    <mergeCell ref="X16:AB16"/>
    <mergeCell ref="AC16:AG16"/>
    <mergeCell ref="AH16:AK16"/>
    <mergeCell ref="X17:AB17"/>
    <mergeCell ref="X14:AB14"/>
    <mergeCell ref="AC14:AG14"/>
    <mergeCell ref="AH14:AK14"/>
    <mergeCell ref="U15:W15"/>
    <mergeCell ref="X15:AB15"/>
    <mergeCell ref="AC15:AG15"/>
    <mergeCell ref="AH15:AK15"/>
    <mergeCell ref="U12:W12"/>
    <mergeCell ref="X12:AB12"/>
    <mergeCell ref="AC12:AG12"/>
    <mergeCell ref="AH12:AK12"/>
    <mergeCell ref="U13:W13"/>
    <mergeCell ref="X13:AB13"/>
    <mergeCell ref="AC13:AG13"/>
    <mergeCell ref="AH13:AK13"/>
    <mergeCell ref="U14:W14"/>
    <mergeCell ref="B15:T15"/>
    <mergeCell ref="B16:T16"/>
    <mergeCell ref="B21:T21"/>
    <mergeCell ref="A9:A10"/>
    <mergeCell ref="B9:T9"/>
    <mergeCell ref="B13:T13"/>
    <mergeCell ref="B11:T11"/>
    <mergeCell ref="B14:T14"/>
    <mergeCell ref="B12:T12"/>
    <mergeCell ref="B19:T19"/>
    <mergeCell ref="B20:T20"/>
    <mergeCell ref="B1:W2"/>
    <mergeCell ref="B3:W3"/>
    <mergeCell ref="B4:W4"/>
    <mergeCell ref="G5:T5"/>
    <mergeCell ref="B6:W6"/>
    <mergeCell ref="U9:W10"/>
    <mergeCell ref="U11:W11"/>
    <mergeCell ref="X8:AH8"/>
    <mergeCell ref="X9:AB10"/>
    <mergeCell ref="AC9:AG10"/>
    <mergeCell ref="AH9:AK10"/>
    <mergeCell ref="X11:AB11"/>
    <mergeCell ref="AC11:AG11"/>
    <mergeCell ref="AH11:AK11"/>
    <mergeCell ref="U16:W16"/>
    <mergeCell ref="U23:W23"/>
    <mergeCell ref="U28:W28"/>
    <mergeCell ref="U30:W30"/>
    <mergeCell ref="B35:T35"/>
    <mergeCell ref="B34:T34"/>
    <mergeCell ref="U35:W35"/>
    <mergeCell ref="B36:T36"/>
    <mergeCell ref="B37:T37"/>
    <mergeCell ref="U37:W37"/>
    <mergeCell ref="B17:T17"/>
    <mergeCell ref="B18:T18"/>
    <mergeCell ref="B29:T29"/>
    <mergeCell ref="B30:T30"/>
    <mergeCell ref="B27:T27"/>
    <mergeCell ref="B28:T28"/>
    <mergeCell ref="B33:T33"/>
    <mergeCell ref="B31:T31"/>
    <mergeCell ref="B32:T32"/>
    <mergeCell ref="B22:T22"/>
    <mergeCell ref="B25:T25"/>
    <mergeCell ref="B26:T26"/>
    <mergeCell ref="B23:T23"/>
    <mergeCell ref="B24:T2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9"/>
  <sheetViews>
    <sheetView topLeftCell="A67" workbookViewId="0">
      <selection activeCell="B35" sqref="B35:E35"/>
    </sheetView>
  </sheetViews>
  <sheetFormatPr defaultRowHeight="15" x14ac:dyDescent="0.25"/>
  <cols>
    <col min="1" max="1" width="38.140625" style="201" customWidth="1"/>
    <col min="2" max="2" width="16.7109375" style="204" bestFit="1" customWidth="1"/>
    <col min="3" max="3" width="18" style="204" bestFit="1" customWidth="1"/>
    <col min="4" max="4" width="15.5703125" style="204" bestFit="1" customWidth="1"/>
    <col min="5" max="5" width="18" style="204" bestFit="1" customWidth="1"/>
    <col min="6" max="7" width="9.140625" style="201" customWidth="1"/>
    <col min="8" max="8" width="9.85546875" style="349" bestFit="1" customWidth="1"/>
  </cols>
  <sheetData>
    <row r="1" spans="1:5" ht="18" x14ac:dyDescent="0.25">
      <c r="A1" s="817" t="s">
        <v>613</v>
      </c>
      <c r="B1" s="817"/>
      <c r="C1" s="817"/>
      <c r="D1" s="817"/>
      <c r="E1" s="817"/>
    </row>
    <row r="2" spans="1:5" ht="18.75" x14ac:dyDescent="0.3">
      <c r="A2" s="818" t="s">
        <v>3</v>
      </c>
      <c r="B2" s="818"/>
      <c r="C2" s="818"/>
      <c r="D2" s="818"/>
      <c r="E2" s="818"/>
    </row>
    <row r="4" spans="1:5" ht="45" customHeight="1" x14ac:dyDescent="0.25">
      <c r="A4" s="819" t="s">
        <v>207</v>
      </c>
      <c r="B4" s="819"/>
      <c r="C4" s="819"/>
      <c r="D4" s="819"/>
      <c r="E4" s="819"/>
    </row>
    <row r="5" spans="1:5" ht="29.25" customHeight="1" x14ac:dyDescent="0.25"/>
    <row r="6" spans="1:5" ht="18" customHeight="1" x14ac:dyDescent="0.25"/>
    <row r="7" spans="1:5" ht="15.75" x14ac:dyDescent="0.25">
      <c r="B7" s="826"/>
      <c r="C7" s="826"/>
      <c r="D7" s="826"/>
      <c r="E7" s="826"/>
    </row>
    <row r="8" spans="1:5" ht="33.75" customHeight="1" x14ac:dyDescent="0.25">
      <c r="A8" s="205" t="s">
        <v>208</v>
      </c>
      <c r="B8" s="823" t="s">
        <v>623</v>
      </c>
      <c r="C8" s="824"/>
      <c r="D8" s="824"/>
      <c r="E8" s="825"/>
    </row>
    <row r="9" spans="1:5" ht="15.75" thickBot="1" x14ac:dyDescent="0.3">
      <c r="E9" s="204" t="s">
        <v>223</v>
      </c>
    </row>
    <row r="10" spans="1:5" ht="16.5" thickBot="1" x14ac:dyDescent="0.3">
      <c r="A10" s="206" t="s">
        <v>209</v>
      </c>
      <c r="B10" s="207">
        <v>2019</v>
      </c>
      <c r="C10" s="207">
        <v>2020</v>
      </c>
      <c r="D10" s="207">
        <v>2021</v>
      </c>
      <c r="E10" s="208" t="s">
        <v>210</v>
      </c>
    </row>
    <row r="11" spans="1:5" ht="15.75" x14ac:dyDescent="0.25">
      <c r="A11" s="209" t="s">
        <v>211</v>
      </c>
      <c r="B11" s="210"/>
      <c r="C11" s="210"/>
      <c r="D11" s="210"/>
      <c r="E11" s="211">
        <f t="shared" ref="E11:E17" si="0">SUM(B11:D11)</f>
        <v>0</v>
      </c>
    </row>
    <row r="12" spans="1:5" ht="15.75" x14ac:dyDescent="0.25">
      <c r="A12" s="212" t="s">
        <v>212</v>
      </c>
      <c r="B12" s="213"/>
      <c r="C12" s="213"/>
      <c r="D12" s="213"/>
      <c r="E12" s="211">
        <f t="shared" si="0"/>
        <v>0</v>
      </c>
    </row>
    <row r="13" spans="1:5" ht="15.75" x14ac:dyDescent="0.25">
      <c r="A13" s="214" t="s">
        <v>213</v>
      </c>
      <c r="B13" s="213">
        <v>152463696</v>
      </c>
      <c r="C13" s="213"/>
      <c r="D13" s="213"/>
      <c r="E13" s="211">
        <f t="shared" si="0"/>
        <v>152463696</v>
      </c>
    </row>
    <row r="14" spans="1:5" ht="15.75" x14ac:dyDescent="0.25">
      <c r="A14" s="214" t="s">
        <v>214</v>
      </c>
      <c r="B14" s="213"/>
      <c r="C14" s="213"/>
      <c r="D14" s="213"/>
      <c r="E14" s="211">
        <f t="shared" si="0"/>
        <v>0</v>
      </c>
    </row>
    <row r="15" spans="1:5" ht="15.75" x14ac:dyDescent="0.25">
      <c r="A15" s="214" t="s">
        <v>215</v>
      </c>
      <c r="B15" s="213"/>
      <c r="C15" s="213"/>
      <c r="D15" s="213"/>
      <c r="E15" s="211">
        <f t="shared" si="0"/>
        <v>0</v>
      </c>
    </row>
    <row r="16" spans="1:5" ht="16.5" thickBot="1" x14ac:dyDescent="0.3">
      <c r="A16" s="215" t="s">
        <v>216</v>
      </c>
      <c r="B16" s="216"/>
      <c r="C16" s="216"/>
      <c r="D16" s="216"/>
      <c r="E16" s="217">
        <f t="shared" si="0"/>
        <v>0</v>
      </c>
    </row>
    <row r="17" spans="1:5" ht="16.5" thickBot="1" x14ac:dyDescent="0.3">
      <c r="A17" s="206" t="s">
        <v>217</v>
      </c>
      <c r="B17" s="218">
        <f>SUM(B11:B16)</f>
        <v>152463696</v>
      </c>
      <c r="C17" s="218">
        <f>SUM(C11:C16)</f>
        <v>0</v>
      </c>
      <c r="D17" s="218">
        <f>SUM(D11:D16)</f>
        <v>0</v>
      </c>
      <c r="E17" s="219">
        <f t="shared" si="0"/>
        <v>152463696</v>
      </c>
    </row>
    <row r="18" spans="1:5" ht="16.5" thickBot="1" x14ac:dyDescent="0.3">
      <c r="A18" s="220"/>
      <c r="B18" s="221"/>
      <c r="C18" s="221"/>
      <c r="D18" s="221"/>
      <c r="E18" s="221"/>
    </row>
    <row r="19" spans="1:5" ht="16.5" thickBot="1" x14ac:dyDescent="0.3">
      <c r="A19" s="206" t="s">
        <v>218</v>
      </c>
      <c r="B19" s="207">
        <v>2019</v>
      </c>
      <c r="C19" s="207">
        <v>2020</v>
      </c>
      <c r="D19" s="207">
        <v>2021</v>
      </c>
      <c r="E19" s="208" t="s">
        <v>210</v>
      </c>
    </row>
    <row r="20" spans="1:5" ht="15.75" x14ac:dyDescent="0.25">
      <c r="A20" s="209" t="s">
        <v>219</v>
      </c>
      <c r="B20" s="210"/>
      <c r="C20" s="210"/>
      <c r="D20" s="210"/>
      <c r="E20" s="211">
        <f>B20+C20+D20</f>
        <v>0</v>
      </c>
    </row>
    <row r="21" spans="1:5" ht="15.75" x14ac:dyDescent="0.25">
      <c r="A21" s="214" t="s">
        <v>220</v>
      </c>
      <c r="B21" s="213">
        <v>152463696</v>
      </c>
      <c r="C21" s="213"/>
      <c r="D21" s="213"/>
      <c r="E21" s="211">
        <f t="shared" ref="E21:E22" si="1">B21+C21+D21</f>
        <v>152463696</v>
      </c>
    </row>
    <row r="22" spans="1:5" ht="15.75" x14ac:dyDescent="0.25">
      <c r="A22" s="214" t="s">
        <v>221</v>
      </c>
      <c r="B22" s="213"/>
      <c r="C22" s="213"/>
      <c r="D22" s="213"/>
      <c r="E22" s="211">
        <f t="shared" si="1"/>
        <v>0</v>
      </c>
    </row>
    <row r="23" spans="1:5" ht="16.5" thickBot="1" x14ac:dyDescent="0.3">
      <c r="A23" s="215" t="s">
        <v>222</v>
      </c>
      <c r="B23" s="216"/>
      <c r="C23" s="216"/>
      <c r="D23" s="216"/>
      <c r="E23" s="217">
        <f>SUM(B23:D23)</f>
        <v>0</v>
      </c>
    </row>
    <row r="24" spans="1:5" ht="16.5" thickBot="1" x14ac:dyDescent="0.3">
      <c r="A24" s="206" t="s">
        <v>210</v>
      </c>
      <c r="B24" s="218">
        <f>SUM(B20:B23)</f>
        <v>152463696</v>
      </c>
      <c r="C24" s="218">
        <f>SUM(C20:C23)</f>
        <v>0</v>
      </c>
      <c r="D24" s="218">
        <f>SUM(D20:D23)</f>
        <v>0</v>
      </c>
      <c r="E24" s="219">
        <f>SUM(B24:D24)</f>
        <v>152463696</v>
      </c>
    </row>
    <row r="26" spans="1:5" ht="15.75" x14ac:dyDescent="0.25">
      <c r="A26" s="202"/>
      <c r="B26" s="203"/>
      <c r="C26" s="203"/>
      <c r="D26" s="203"/>
      <c r="E26" s="203"/>
    </row>
    <row r="27" spans="1:5" ht="15.75" x14ac:dyDescent="0.25">
      <c r="A27" s="202"/>
      <c r="B27" s="203"/>
      <c r="C27" s="203"/>
      <c r="D27" s="203"/>
      <c r="E27" s="203"/>
    </row>
    <row r="28" spans="1:5" ht="18" x14ac:dyDescent="0.25">
      <c r="A28" s="817" t="s">
        <v>613</v>
      </c>
      <c r="B28" s="817"/>
      <c r="C28" s="817"/>
      <c r="D28" s="817"/>
      <c r="E28" s="817"/>
    </row>
    <row r="29" spans="1:5" ht="18.75" x14ac:dyDescent="0.3">
      <c r="A29" s="818" t="s">
        <v>3</v>
      </c>
      <c r="B29" s="818"/>
      <c r="C29" s="818"/>
      <c r="D29" s="818"/>
      <c r="E29" s="818"/>
    </row>
    <row r="31" spans="1:5" ht="45" customHeight="1" x14ac:dyDescent="0.25">
      <c r="A31" s="819" t="s">
        <v>207</v>
      </c>
      <c r="B31" s="819"/>
      <c r="C31" s="819"/>
      <c r="D31" s="819"/>
      <c r="E31" s="819"/>
    </row>
    <row r="32" spans="1:5" ht="15.75" x14ac:dyDescent="0.25">
      <c r="A32" s="202"/>
      <c r="B32" s="203"/>
      <c r="C32" s="203"/>
      <c r="D32" s="203"/>
      <c r="E32" s="203"/>
    </row>
    <row r="35" spans="1:5" ht="36" customHeight="1" x14ac:dyDescent="0.25">
      <c r="A35" s="205" t="s">
        <v>208</v>
      </c>
      <c r="B35" s="823"/>
      <c r="C35" s="824"/>
      <c r="D35" s="824"/>
      <c r="E35" s="825"/>
    </row>
    <row r="36" spans="1:5" ht="15.75" thickBot="1" x14ac:dyDescent="0.3">
      <c r="E36" s="204" t="s">
        <v>223</v>
      </c>
    </row>
    <row r="37" spans="1:5" ht="16.5" thickBot="1" x14ac:dyDescent="0.3">
      <c r="A37" s="206" t="s">
        <v>209</v>
      </c>
      <c r="B37" s="207">
        <v>2019</v>
      </c>
      <c r="C37" s="207">
        <v>2020</v>
      </c>
      <c r="D37" s="207">
        <v>2021</v>
      </c>
      <c r="E37" s="208" t="s">
        <v>210</v>
      </c>
    </row>
    <row r="38" spans="1:5" ht="15.75" x14ac:dyDescent="0.25">
      <c r="A38" s="209" t="s">
        <v>211</v>
      </c>
      <c r="B38" s="210"/>
      <c r="C38" s="210"/>
      <c r="D38" s="210"/>
      <c r="E38" s="211">
        <f t="shared" ref="E38:E44" si="2">SUM(B38:D38)</f>
        <v>0</v>
      </c>
    </row>
    <row r="39" spans="1:5" ht="15.75" x14ac:dyDescent="0.25">
      <c r="A39" s="212" t="s">
        <v>212</v>
      </c>
      <c r="B39" s="213"/>
      <c r="C39" s="213"/>
      <c r="D39" s="213"/>
      <c r="E39" s="211">
        <f t="shared" si="2"/>
        <v>0</v>
      </c>
    </row>
    <row r="40" spans="1:5" ht="15.75" x14ac:dyDescent="0.25">
      <c r="A40" s="214" t="s">
        <v>213</v>
      </c>
      <c r="B40" s="213">
        <v>198182422</v>
      </c>
      <c r="C40" s="213"/>
      <c r="D40" s="213"/>
      <c r="E40" s="211">
        <f t="shared" si="2"/>
        <v>198182422</v>
      </c>
    </row>
    <row r="41" spans="1:5" ht="15.75" x14ac:dyDescent="0.25">
      <c r="A41" s="214" t="s">
        <v>214</v>
      </c>
      <c r="B41" s="213"/>
      <c r="C41" s="213"/>
      <c r="D41" s="213"/>
      <c r="E41" s="211">
        <f t="shared" si="2"/>
        <v>0</v>
      </c>
    </row>
    <row r="42" spans="1:5" ht="15.75" x14ac:dyDescent="0.25">
      <c r="A42" s="214" t="s">
        <v>215</v>
      </c>
      <c r="B42" s="213"/>
      <c r="C42" s="213"/>
      <c r="D42" s="213"/>
      <c r="E42" s="211">
        <f t="shared" si="2"/>
        <v>0</v>
      </c>
    </row>
    <row r="43" spans="1:5" ht="16.5" thickBot="1" x14ac:dyDescent="0.3">
      <c r="A43" s="215" t="s">
        <v>216</v>
      </c>
      <c r="B43" s="216"/>
      <c r="C43" s="216"/>
      <c r="D43" s="216"/>
      <c r="E43" s="217">
        <f t="shared" si="2"/>
        <v>0</v>
      </c>
    </row>
    <row r="44" spans="1:5" ht="16.5" thickBot="1" x14ac:dyDescent="0.3">
      <c r="A44" s="206" t="s">
        <v>217</v>
      </c>
      <c r="B44" s="218">
        <f>SUM(B38:B43)</f>
        <v>198182422</v>
      </c>
      <c r="C44" s="218">
        <f>SUM(C38:C43)</f>
        <v>0</v>
      </c>
      <c r="D44" s="218">
        <f>SUM(D38:D43)</f>
        <v>0</v>
      </c>
      <c r="E44" s="219">
        <f t="shared" si="2"/>
        <v>198182422</v>
      </c>
    </row>
    <row r="45" spans="1:5" ht="16.5" thickBot="1" x14ac:dyDescent="0.3">
      <c r="A45" s="220"/>
      <c r="B45" s="221"/>
      <c r="C45" s="221"/>
      <c r="D45" s="221"/>
      <c r="E45" s="221"/>
    </row>
    <row r="46" spans="1:5" ht="16.5" thickBot="1" x14ac:dyDescent="0.3">
      <c r="A46" s="206" t="s">
        <v>218</v>
      </c>
      <c r="B46" s="207">
        <v>2019</v>
      </c>
      <c r="C46" s="207">
        <v>2020</v>
      </c>
      <c r="D46" s="207">
        <v>2021</v>
      </c>
      <c r="E46" s="208" t="s">
        <v>210</v>
      </c>
    </row>
    <row r="47" spans="1:5" ht="15.75" x14ac:dyDescent="0.25">
      <c r="A47" s="209" t="s">
        <v>219</v>
      </c>
      <c r="B47" s="210"/>
      <c r="C47" s="210"/>
      <c r="D47" s="210"/>
      <c r="E47" s="211"/>
    </row>
    <row r="48" spans="1:5" ht="15.75" x14ac:dyDescent="0.25">
      <c r="A48" s="214" t="s">
        <v>220</v>
      </c>
      <c r="B48" s="213">
        <v>198182422</v>
      </c>
      <c r="C48" s="213"/>
      <c r="D48" s="213"/>
      <c r="E48" s="211">
        <f>B48+C48</f>
        <v>198182422</v>
      </c>
    </row>
    <row r="49" spans="1:5" ht="15.75" x14ac:dyDescent="0.25">
      <c r="A49" s="214" t="s">
        <v>221</v>
      </c>
      <c r="B49" s="213"/>
      <c r="C49" s="213"/>
      <c r="D49" s="213"/>
      <c r="E49" s="211"/>
    </row>
    <row r="50" spans="1:5" ht="16.5" thickBot="1" x14ac:dyDescent="0.3">
      <c r="A50" s="215" t="s">
        <v>222</v>
      </c>
      <c r="B50" s="216"/>
      <c r="C50" s="216"/>
      <c r="D50" s="216"/>
      <c r="E50" s="217">
        <f>SUM(B50:D50)</f>
        <v>0</v>
      </c>
    </row>
    <row r="51" spans="1:5" ht="16.5" thickBot="1" x14ac:dyDescent="0.3">
      <c r="A51" s="206" t="s">
        <v>210</v>
      </c>
      <c r="B51" s="218">
        <f>SUM(B47:B50)</f>
        <v>198182422</v>
      </c>
      <c r="C51" s="218">
        <f>SUM(C47:C50)</f>
        <v>0</v>
      </c>
      <c r="D51" s="218">
        <f>SUM(D47:D50)</f>
        <v>0</v>
      </c>
      <c r="E51" s="219">
        <f>SUM(B51:D51)</f>
        <v>198182422</v>
      </c>
    </row>
    <row r="52" spans="1:5" ht="15.75" x14ac:dyDescent="0.25">
      <c r="A52" s="202"/>
      <c r="B52" s="203"/>
      <c r="C52" s="203"/>
      <c r="D52" s="203"/>
      <c r="E52" s="203"/>
    </row>
    <row r="53" spans="1:5" ht="15.75" x14ac:dyDescent="0.25">
      <c r="A53" s="202"/>
      <c r="B53" s="203"/>
      <c r="C53" s="203"/>
      <c r="D53" s="203"/>
      <c r="E53" s="203"/>
    </row>
    <row r="54" spans="1:5" ht="15.75" x14ac:dyDescent="0.25">
      <c r="A54" s="202"/>
      <c r="B54" s="203"/>
      <c r="C54" s="203"/>
      <c r="D54" s="203"/>
      <c r="E54" s="203"/>
    </row>
    <row r="55" spans="1:5" ht="18" x14ac:dyDescent="0.25">
      <c r="A55" s="817" t="s">
        <v>899</v>
      </c>
      <c r="B55" s="817"/>
      <c r="C55" s="817"/>
      <c r="D55" s="817"/>
      <c r="E55" s="817"/>
    </row>
    <row r="56" spans="1:5" ht="18.75" x14ac:dyDescent="0.3">
      <c r="A56" s="818" t="s">
        <v>3</v>
      </c>
      <c r="B56" s="818"/>
      <c r="C56" s="818"/>
      <c r="D56" s="818"/>
      <c r="E56" s="818"/>
    </row>
    <row r="58" spans="1:5" ht="45" customHeight="1" x14ac:dyDescent="0.25">
      <c r="A58" s="819" t="s">
        <v>207</v>
      </c>
      <c r="B58" s="819"/>
      <c r="C58" s="819"/>
      <c r="D58" s="819"/>
      <c r="E58" s="819"/>
    </row>
    <row r="59" spans="1:5" ht="15.75" x14ac:dyDescent="0.25">
      <c r="A59" s="202"/>
      <c r="B59" s="203"/>
      <c r="C59" s="203"/>
      <c r="D59" s="203"/>
      <c r="E59" s="203"/>
    </row>
    <row r="60" spans="1:5" ht="15.75" x14ac:dyDescent="0.25">
      <c r="A60" s="202"/>
      <c r="B60" s="203"/>
      <c r="C60" s="203"/>
      <c r="D60" s="203"/>
      <c r="E60" s="203"/>
    </row>
    <row r="63" spans="1:5" ht="15.75" x14ac:dyDescent="0.25">
      <c r="A63" s="205" t="s">
        <v>506</v>
      </c>
      <c r="B63" s="820"/>
      <c r="C63" s="821"/>
      <c r="D63" s="821"/>
      <c r="E63" s="822"/>
    </row>
    <row r="64" spans="1:5" ht="15.75" thickBot="1" x14ac:dyDescent="0.3">
      <c r="E64" s="204" t="s">
        <v>223</v>
      </c>
    </row>
    <row r="65" spans="1:5" ht="16.5" thickBot="1" x14ac:dyDescent="0.3">
      <c r="A65" s="206" t="s">
        <v>209</v>
      </c>
      <c r="B65" s="207">
        <v>2020</v>
      </c>
      <c r="C65" s="207">
        <v>2021</v>
      </c>
      <c r="D65" s="207">
        <v>2022</v>
      </c>
      <c r="E65" s="208" t="s">
        <v>210</v>
      </c>
    </row>
    <row r="66" spans="1:5" ht="15.75" x14ac:dyDescent="0.25">
      <c r="A66" s="209" t="s">
        <v>211</v>
      </c>
      <c r="B66" s="210"/>
      <c r="C66" s="210"/>
      <c r="D66" s="210"/>
      <c r="E66" s="211">
        <f t="shared" ref="E66:E72" si="3">SUM(B66:D66)</f>
        <v>0</v>
      </c>
    </row>
    <row r="67" spans="1:5" ht="15.75" x14ac:dyDescent="0.25">
      <c r="A67" s="212" t="s">
        <v>212</v>
      </c>
      <c r="B67" s="213"/>
      <c r="C67" s="213"/>
      <c r="D67" s="213"/>
      <c r="E67" s="211">
        <f t="shared" si="3"/>
        <v>0</v>
      </c>
    </row>
    <row r="68" spans="1:5" ht="15.75" x14ac:dyDescent="0.25">
      <c r="A68" s="214" t="s">
        <v>213</v>
      </c>
      <c r="B68" s="213"/>
      <c r="C68" s="213"/>
      <c r="D68" s="213"/>
      <c r="E68" s="211">
        <f t="shared" si="3"/>
        <v>0</v>
      </c>
    </row>
    <row r="69" spans="1:5" ht="15.75" x14ac:dyDescent="0.25">
      <c r="A69" s="214" t="s">
        <v>214</v>
      </c>
      <c r="B69" s="213"/>
      <c r="C69" s="213"/>
      <c r="D69" s="213"/>
      <c r="E69" s="211">
        <f t="shared" si="3"/>
        <v>0</v>
      </c>
    </row>
    <row r="70" spans="1:5" ht="15.75" x14ac:dyDescent="0.25">
      <c r="A70" s="214" t="s">
        <v>215</v>
      </c>
      <c r="B70" s="213"/>
      <c r="C70" s="213"/>
      <c r="D70" s="213"/>
      <c r="E70" s="211">
        <f t="shared" si="3"/>
        <v>0</v>
      </c>
    </row>
    <row r="71" spans="1:5" ht="16.5" thickBot="1" x14ac:dyDescent="0.3">
      <c r="A71" s="215" t="s">
        <v>216</v>
      </c>
      <c r="B71" s="216"/>
      <c r="C71" s="216"/>
      <c r="D71" s="216"/>
      <c r="E71" s="217">
        <f t="shared" si="3"/>
        <v>0</v>
      </c>
    </row>
    <row r="72" spans="1:5" ht="16.5" thickBot="1" x14ac:dyDescent="0.3">
      <c r="A72" s="206" t="s">
        <v>217</v>
      </c>
      <c r="B72" s="218">
        <f>SUM(B66:B71)</f>
        <v>0</v>
      </c>
      <c r="C72" s="218">
        <f>SUM(C66:C71)</f>
        <v>0</v>
      </c>
      <c r="D72" s="218">
        <f>SUM(D66:D71)</f>
        <v>0</v>
      </c>
      <c r="E72" s="219">
        <f t="shared" si="3"/>
        <v>0</v>
      </c>
    </row>
    <row r="73" spans="1:5" ht="16.5" thickBot="1" x14ac:dyDescent="0.3">
      <c r="A73" s="220"/>
      <c r="B73" s="221"/>
      <c r="C73" s="221"/>
      <c r="D73" s="221"/>
      <c r="E73" s="221"/>
    </row>
    <row r="74" spans="1:5" ht="16.5" thickBot="1" x14ac:dyDescent="0.3">
      <c r="A74" s="206" t="s">
        <v>218</v>
      </c>
      <c r="B74" s="207">
        <v>2020</v>
      </c>
      <c r="C74" s="207">
        <v>2021</v>
      </c>
      <c r="D74" s="207">
        <v>2022</v>
      </c>
      <c r="E74" s="208" t="s">
        <v>210</v>
      </c>
    </row>
    <row r="75" spans="1:5" ht="15.75" x14ac:dyDescent="0.25">
      <c r="A75" s="209" t="s">
        <v>219</v>
      </c>
      <c r="B75" s="210"/>
      <c r="C75" s="210"/>
      <c r="D75" s="210"/>
      <c r="E75" s="211"/>
    </row>
    <row r="76" spans="1:5" ht="15.75" x14ac:dyDescent="0.25">
      <c r="A76" s="214" t="s">
        <v>220</v>
      </c>
      <c r="B76" s="213"/>
      <c r="C76" s="213"/>
      <c r="D76" s="213"/>
      <c r="E76" s="211"/>
    </row>
    <row r="77" spans="1:5" ht="15.75" x14ac:dyDescent="0.25">
      <c r="A77" s="214" t="s">
        <v>221</v>
      </c>
      <c r="B77" s="213"/>
      <c r="C77" s="213"/>
      <c r="D77" s="213"/>
      <c r="E77" s="211">
        <f>B77+C77</f>
        <v>0</v>
      </c>
    </row>
    <row r="78" spans="1:5" ht="16.5" thickBot="1" x14ac:dyDescent="0.3">
      <c r="A78" s="215" t="s">
        <v>222</v>
      </c>
      <c r="B78" s="216"/>
      <c r="C78" s="216"/>
      <c r="D78" s="216"/>
      <c r="E78" s="217">
        <f>SUM(B78:D78)</f>
        <v>0</v>
      </c>
    </row>
    <row r="79" spans="1:5" ht="16.5" thickBot="1" x14ac:dyDescent="0.3">
      <c r="A79" s="206" t="s">
        <v>210</v>
      </c>
      <c r="B79" s="218">
        <f>SUM(B75:B78)</f>
        <v>0</v>
      </c>
      <c r="C79" s="218">
        <f>SUM(C75:C78)</f>
        <v>0</v>
      </c>
      <c r="D79" s="218">
        <f>SUM(D75:D78)</f>
        <v>0</v>
      </c>
      <c r="E79" s="219">
        <f>SUM(B79:D79)</f>
        <v>0</v>
      </c>
    </row>
  </sheetData>
  <mergeCells count="13">
    <mergeCell ref="A1:E1"/>
    <mergeCell ref="A2:E2"/>
    <mergeCell ref="A4:E4"/>
    <mergeCell ref="B7:E7"/>
    <mergeCell ref="B8:E8"/>
    <mergeCell ref="A55:E55"/>
    <mergeCell ref="A56:E56"/>
    <mergeCell ref="A58:E58"/>
    <mergeCell ref="B63:E63"/>
    <mergeCell ref="A28:E28"/>
    <mergeCell ref="A29:E29"/>
    <mergeCell ref="A31:E31"/>
    <mergeCell ref="B35:E35"/>
  </mergeCells>
  <pageMargins left="0.70866141732283472" right="0.70866141732283472" top="0.74803149606299213" bottom="0.74803149606299213" header="0.31496062992125984" footer="0.31496062992125984"/>
  <pageSetup paperSize="9" scale="10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7"/>
  <sheetViews>
    <sheetView workbookViewId="0">
      <selection activeCell="J6" sqref="J6"/>
    </sheetView>
  </sheetViews>
  <sheetFormatPr defaultColWidth="8" defaultRowHeight="12.75" x14ac:dyDescent="0.25"/>
  <cols>
    <col min="1" max="1" width="5" style="222" customWidth="1"/>
    <col min="2" max="2" width="47" style="223" customWidth="1"/>
    <col min="3" max="4" width="15.140625" style="223" customWidth="1"/>
    <col min="5" max="16384" width="8" style="223"/>
  </cols>
  <sheetData>
    <row r="1" spans="1:4" ht="18" x14ac:dyDescent="0.25">
      <c r="B1" s="827" t="s">
        <v>900</v>
      </c>
      <c r="C1" s="828"/>
    </row>
    <row r="3" spans="1:4" ht="18" x14ac:dyDescent="0.25">
      <c r="B3" s="827" t="s">
        <v>3</v>
      </c>
      <c r="C3" s="828"/>
    </row>
    <row r="4" spans="1:4" ht="18" x14ac:dyDescent="0.25">
      <c r="B4" s="827" t="s">
        <v>224</v>
      </c>
      <c r="C4" s="828"/>
    </row>
    <row r="5" spans="1:4" s="225" customFormat="1" ht="15.75" thickBot="1" x14ac:dyDescent="0.3">
      <c r="A5" s="224"/>
      <c r="D5" s="226" t="s">
        <v>225</v>
      </c>
    </row>
    <row r="6" spans="1:4" s="230" customFormat="1" ht="48" customHeight="1" thickBot="1" x14ac:dyDescent="0.3">
      <c r="A6" s="227" t="s">
        <v>6</v>
      </c>
      <c r="B6" s="228" t="s">
        <v>226</v>
      </c>
      <c r="C6" s="228" t="s">
        <v>227</v>
      </c>
      <c r="D6" s="229" t="s">
        <v>228</v>
      </c>
    </row>
    <row r="7" spans="1:4" s="230" customFormat="1" ht="13.5" thickBot="1" x14ac:dyDescent="0.3">
      <c r="A7" s="231">
        <v>1</v>
      </c>
      <c r="B7" s="232">
        <v>2</v>
      </c>
      <c r="C7" s="232">
        <v>3</v>
      </c>
      <c r="D7" s="233">
        <v>4</v>
      </c>
    </row>
    <row r="8" spans="1:4" x14ac:dyDescent="0.25">
      <c r="A8" s="234" t="s">
        <v>43</v>
      </c>
      <c r="B8" s="235" t="s">
        <v>229</v>
      </c>
      <c r="C8" s="236"/>
      <c r="D8" s="237"/>
    </row>
    <row r="9" spans="1:4" x14ac:dyDescent="0.25">
      <c r="A9" s="238" t="s">
        <v>45</v>
      </c>
      <c r="B9" s="239" t="s">
        <v>230</v>
      </c>
      <c r="C9" s="240"/>
      <c r="D9" s="241"/>
    </row>
    <row r="10" spans="1:4" x14ac:dyDescent="0.25">
      <c r="A10" s="238" t="s">
        <v>53</v>
      </c>
      <c r="B10" s="239" t="s">
        <v>231</v>
      </c>
      <c r="C10" s="240"/>
      <c r="D10" s="241"/>
    </row>
    <row r="11" spans="1:4" x14ac:dyDescent="0.25">
      <c r="A11" s="238" t="s">
        <v>16</v>
      </c>
      <c r="B11" s="239" t="s">
        <v>232</v>
      </c>
      <c r="C11" s="240"/>
      <c r="D11" s="241"/>
    </row>
    <row r="12" spans="1:4" x14ac:dyDescent="0.25">
      <c r="A12" s="238" t="s">
        <v>18</v>
      </c>
      <c r="B12" s="239" t="s">
        <v>233</v>
      </c>
      <c r="C12" s="240"/>
      <c r="D12" s="241"/>
    </row>
    <row r="13" spans="1:4" x14ac:dyDescent="0.25">
      <c r="A13" s="238" t="s">
        <v>29</v>
      </c>
      <c r="B13" s="239" t="s">
        <v>234</v>
      </c>
      <c r="C13" s="240"/>
      <c r="D13" s="241"/>
    </row>
    <row r="14" spans="1:4" x14ac:dyDescent="0.25">
      <c r="A14" s="238" t="s">
        <v>31</v>
      </c>
      <c r="B14" s="242" t="s">
        <v>235</v>
      </c>
      <c r="C14" s="240"/>
      <c r="D14" s="241"/>
    </row>
    <row r="15" spans="1:4" x14ac:dyDescent="0.25">
      <c r="A15" s="238" t="s">
        <v>33</v>
      </c>
      <c r="B15" s="242" t="s">
        <v>236</v>
      </c>
      <c r="C15" s="240"/>
      <c r="D15" s="241"/>
    </row>
    <row r="16" spans="1:4" x14ac:dyDescent="0.25">
      <c r="A16" s="238" t="s">
        <v>140</v>
      </c>
      <c r="B16" s="242" t="s">
        <v>237</v>
      </c>
      <c r="C16" s="240">
        <v>8893500</v>
      </c>
      <c r="D16" s="241">
        <v>885400</v>
      </c>
    </row>
    <row r="17" spans="1:4" x14ac:dyDescent="0.25">
      <c r="A17" s="238" t="s">
        <v>141</v>
      </c>
      <c r="B17" s="242" t="s">
        <v>238</v>
      </c>
      <c r="C17" s="240"/>
      <c r="D17" s="241"/>
    </row>
    <row r="18" spans="1:4" x14ac:dyDescent="0.25">
      <c r="A18" s="238" t="s">
        <v>142</v>
      </c>
      <c r="B18" s="242" t="s">
        <v>239</v>
      </c>
      <c r="C18" s="240"/>
      <c r="D18" s="241"/>
    </row>
    <row r="19" spans="1:4" ht="22.5" x14ac:dyDescent="0.25">
      <c r="A19" s="238" t="s">
        <v>240</v>
      </c>
      <c r="B19" s="242" t="s">
        <v>241</v>
      </c>
      <c r="C19" s="240"/>
      <c r="D19" s="241"/>
    </row>
    <row r="20" spans="1:4" x14ac:dyDescent="0.25">
      <c r="A20" s="238" t="s">
        <v>242</v>
      </c>
      <c r="B20" s="239" t="s">
        <v>243</v>
      </c>
      <c r="C20" s="240">
        <v>5000000</v>
      </c>
      <c r="D20" s="241">
        <v>82852</v>
      </c>
    </row>
    <row r="21" spans="1:4" x14ac:dyDescent="0.25">
      <c r="A21" s="238" t="s">
        <v>244</v>
      </c>
      <c r="B21" s="239" t="s">
        <v>245</v>
      </c>
      <c r="C21" s="240"/>
      <c r="D21" s="241"/>
    </row>
    <row r="22" spans="1:4" x14ac:dyDescent="0.25">
      <c r="A22" s="238" t="s">
        <v>246</v>
      </c>
      <c r="B22" s="239" t="s">
        <v>247</v>
      </c>
      <c r="C22" s="240"/>
      <c r="D22" s="241"/>
    </row>
    <row r="23" spans="1:4" x14ac:dyDescent="0.25">
      <c r="A23" s="238" t="s">
        <v>248</v>
      </c>
      <c r="B23" s="239" t="s">
        <v>249</v>
      </c>
      <c r="C23" s="240"/>
      <c r="D23" s="241"/>
    </row>
    <row r="24" spans="1:4" x14ac:dyDescent="0.25">
      <c r="A24" s="238" t="s">
        <v>250</v>
      </c>
      <c r="B24" s="239" t="s">
        <v>251</v>
      </c>
      <c r="C24" s="240"/>
      <c r="D24" s="241"/>
    </row>
    <row r="25" spans="1:4" ht="13.5" thickBot="1" x14ac:dyDescent="0.3">
      <c r="A25" s="238" t="s">
        <v>252</v>
      </c>
      <c r="B25" s="243"/>
      <c r="C25" s="244"/>
      <c r="D25" s="241"/>
    </row>
    <row r="26" spans="1:4" ht="13.5" thickBot="1" x14ac:dyDescent="0.3">
      <c r="A26" s="245" t="s">
        <v>253</v>
      </c>
      <c r="B26" s="246" t="s">
        <v>254</v>
      </c>
      <c r="C26" s="247">
        <f>SUM(C8:C25)</f>
        <v>13893500</v>
      </c>
      <c r="D26" s="248">
        <f>SUM(D8:D25)</f>
        <v>968252</v>
      </c>
    </row>
    <row r="27" spans="1:4" x14ac:dyDescent="0.25">
      <c r="A27" s="249"/>
      <c r="B27" s="829"/>
      <c r="C27" s="829"/>
      <c r="D27" s="829"/>
    </row>
  </sheetData>
  <mergeCells count="4">
    <mergeCell ref="B1:C1"/>
    <mergeCell ref="B3:C3"/>
    <mergeCell ref="B4:C4"/>
    <mergeCell ref="B27:D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7"/>
  <sheetViews>
    <sheetView topLeftCell="A7" workbookViewId="0">
      <selection activeCell="I16" sqref="I16"/>
    </sheetView>
  </sheetViews>
  <sheetFormatPr defaultColWidth="8" defaultRowHeight="12.75" x14ac:dyDescent="0.25"/>
  <cols>
    <col min="1" max="1" width="5.85546875" style="184" customWidth="1"/>
    <col min="2" max="2" width="38.5703125" style="138" bestFit="1" customWidth="1"/>
    <col min="3" max="3" width="12.140625" style="138" bestFit="1" customWidth="1"/>
    <col min="4" max="4" width="11" style="138" customWidth="1"/>
    <col min="5" max="5" width="15.42578125" style="138" bestFit="1" customWidth="1"/>
    <col min="6" max="8" width="11" style="138" customWidth="1"/>
    <col min="9" max="9" width="14" style="138" bestFit="1" customWidth="1"/>
    <col min="10" max="11" width="8" style="138"/>
    <col min="12" max="12" width="11.28515625" style="138" bestFit="1" customWidth="1"/>
    <col min="13" max="16384" width="8" style="138"/>
  </cols>
  <sheetData>
    <row r="1" spans="1:9" ht="18" x14ac:dyDescent="0.25">
      <c r="B1" s="837" t="s">
        <v>908</v>
      </c>
      <c r="C1" s="838"/>
      <c r="D1" s="838"/>
      <c r="E1" s="838"/>
      <c r="F1" s="838"/>
      <c r="G1" s="838"/>
      <c r="H1" s="838"/>
    </row>
    <row r="2" spans="1:9" ht="18.75" x14ac:dyDescent="0.25">
      <c r="B2" s="837" t="s">
        <v>3</v>
      </c>
      <c r="C2" s="837"/>
      <c r="D2" s="837"/>
      <c r="E2" s="837"/>
      <c r="F2" s="837"/>
      <c r="G2" s="837"/>
      <c r="H2" s="837"/>
      <c r="I2" s="185" t="s">
        <v>255</v>
      </c>
    </row>
    <row r="3" spans="1:9" ht="18" x14ac:dyDescent="0.25">
      <c r="B3" s="837" t="s">
        <v>256</v>
      </c>
      <c r="C3" s="838"/>
      <c r="D3" s="838"/>
      <c r="E3" s="838"/>
      <c r="F3" s="838"/>
      <c r="G3" s="838"/>
      <c r="H3" s="838"/>
    </row>
    <row r="5" spans="1:9" ht="14.25" thickBot="1" x14ac:dyDescent="0.3">
      <c r="I5" s="250" t="s">
        <v>257</v>
      </c>
    </row>
    <row r="6" spans="1:9" x14ac:dyDescent="0.25">
      <c r="A6" s="839" t="s">
        <v>258</v>
      </c>
      <c r="B6" s="833" t="s">
        <v>259</v>
      </c>
      <c r="C6" s="839" t="s">
        <v>260</v>
      </c>
      <c r="D6" s="839" t="s">
        <v>725</v>
      </c>
      <c r="E6" s="841" t="s">
        <v>261</v>
      </c>
      <c r="F6" s="842"/>
      <c r="G6" s="842"/>
      <c r="H6" s="843"/>
      <c r="I6" s="833" t="s">
        <v>210</v>
      </c>
    </row>
    <row r="7" spans="1:9" ht="13.5" thickBot="1" x14ac:dyDescent="0.3">
      <c r="A7" s="840"/>
      <c r="B7" s="834"/>
      <c r="C7" s="834"/>
      <c r="D7" s="840"/>
      <c r="E7" s="251" t="s">
        <v>262</v>
      </c>
      <c r="F7" s="251">
        <v>2020</v>
      </c>
      <c r="G7" s="251" t="s">
        <v>724</v>
      </c>
      <c r="H7" s="252" t="s">
        <v>263</v>
      </c>
      <c r="I7" s="834"/>
    </row>
    <row r="8" spans="1:9" ht="13.5" thickBot="1" x14ac:dyDescent="0.3">
      <c r="A8" s="253">
        <v>1</v>
      </c>
      <c r="B8" s="254">
        <v>2</v>
      </c>
      <c r="C8" s="255">
        <v>3</v>
      </c>
      <c r="D8" s="254">
        <v>4</v>
      </c>
      <c r="E8" s="253">
        <v>5</v>
      </c>
      <c r="F8" s="255">
        <v>6</v>
      </c>
      <c r="G8" s="255">
        <v>7</v>
      </c>
      <c r="H8" s="256">
        <v>8</v>
      </c>
      <c r="I8" s="257" t="s">
        <v>264</v>
      </c>
    </row>
    <row r="9" spans="1:9" ht="13.5" thickBot="1" x14ac:dyDescent="0.3">
      <c r="A9" s="258" t="s">
        <v>43</v>
      </c>
      <c r="B9" s="259" t="s">
        <v>265</v>
      </c>
      <c r="C9" s="260"/>
      <c r="D9" s="261">
        <f>SUM(D10:D11)</f>
        <v>0</v>
      </c>
      <c r="E9" s="262"/>
      <c r="F9" s="263"/>
      <c r="G9" s="263"/>
      <c r="H9" s="264"/>
      <c r="I9" s="265"/>
    </row>
    <row r="10" spans="1:9" x14ac:dyDescent="0.25">
      <c r="A10" s="266" t="s">
        <v>45</v>
      </c>
      <c r="B10" s="267"/>
      <c r="C10" s="268"/>
      <c r="D10" s="269"/>
      <c r="E10" s="270"/>
      <c r="F10" s="271"/>
      <c r="G10" s="271"/>
      <c r="H10" s="272"/>
      <c r="I10" s="273">
        <f t="shared" ref="I10:I27" si="0">SUM(D10:H10)</f>
        <v>0</v>
      </c>
    </row>
    <row r="11" spans="1:9" ht="13.5" thickBot="1" x14ac:dyDescent="0.3">
      <c r="A11" s="266" t="s">
        <v>53</v>
      </c>
      <c r="B11" s="267"/>
      <c r="C11" s="268"/>
      <c r="D11" s="269"/>
      <c r="E11" s="270"/>
      <c r="F11" s="271"/>
      <c r="G11" s="271"/>
      <c r="H11" s="272"/>
      <c r="I11" s="273">
        <f t="shared" si="0"/>
        <v>0</v>
      </c>
    </row>
    <row r="12" spans="1:9" ht="13.5" thickBot="1" x14ac:dyDescent="0.3">
      <c r="A12" s="258" t="s">
        <v>16</v>
      </c>
      <c r="B12" s="274" t="s">
        <v>266</v>
      </c>
      <c r="C12" s="275"/>
      <c r="D12" s="261">
        <f>SUM(D13:D14)</f>
        <v>0</v>
      </c>
      <c r="E12" s="262">
        <f>SUM(E13:E14)</f>
        <v>0</v>
      </c>
      <c r="F12" s="263">
        <f>SUM(F13:F14)</f>
        <v>0</v>
      </c>
      <c r="G12" s="263">
        <f>SUM(G13:G14)</f>
        <v>0</v>
      </c>
      <c r="H12" s="264">
        <f>SUM(H13:H14)</f>
        <v>0</v>
      </c>
      <c r="I12" s="265">
        <f t="shared" si="0"/>
        <v>0</v>
      </c>
    </row>
    <row r="13" spans="1:9" x14ac:dyDescent="0.25">
      <c r="A13" s="266" t="s">
        <v>18</v>
      </c>
      <c r="B13" s="267"/>
      <c r="C13" s="276"/>
      <c r="D13" s="269"/>
      <c r="E13" s="270"/>
      <c r="F13" s="271"/>
      <c r="G13" s="271"/>
      <c r="H13" s="272"/>
      <c r="I13" s="273">
        <f t="shared" si="0"/>
        <v>0</v>
      </c>
    </row>
    <row r="14" spans="1:9" ht="13.5" thickBot="1" x14ac:dyDescent="0.3">
      <c r="A14" s="266" t="s">
        <v>29</v>
      </c>
      <c r="B14" s="267"/>
      <c r="C14" s="268"/>
      <c r="D14" s="269"/>
      <c r="E14" s="270"/>
      <c r="F14" s="271"/>
      <c r="G14" s="271"/>
      <c r="H14" s="272"/>
      <c r="I14" s="273">
        <f t="shared" si="0"/>
        <v>0</v>
      </c>
    </row>
    <row r="15" spans="1:9" s="282" customFormat="1" ht="15" thickBot="1" x14ac:dyDescent="0.3">
      <c r="A15" s="277" t="s">
        <v>31</v>
      </c>
      <c r="B15" s="278" t="s">
        <v>267</v>
      </c>
      <c r="C15" s="279"/>
      <c r="D15" s="280">
        <f>SUM(D17:D17)</f>
        <v>0</v>
      </c>
      <c r="E15" s="281">
        <f>E17+E18+E19+E20+E21+E23+E22</f>
        <v>0</v>
      </c>
      <c r="F15" s="281">
        <f>F17+F18+F19+F20+F21+F16+F22</f>
        <v>382714</v>
      </c>
      <c r="G15" s="281">
        <f t="shared" ref="G15:H15" si="1">G17+G18+G19+G20+G21</f>
        <v>0</v>
      </c>
      <c r="H15" s="281">
        <f t="shared" si="1"/>
        <v>0</v>
      </c>
      <c r="I15" s="281">
        <f>I17+I18+I19+I20+I21+I16+I22</f>
        <v>382714</v>
      </c>
    </row>
    <row r="16" spans="1:9" s="282" customFormat="1" ht="15" thickBot="1" x14ac:dyDescent="0.3">
      <c r="A16" s="629"/>
      <c r="B16" s="830" t="s">
        <v>909</v>
      </c>
      <c r="C16" s="831"/>
      <c r="D16" s="832"/>
      <c r="E16" s="630"/>
      <c r="F16" s="631">
        <v>20732</v>
      </c>
      <c r="G16" s="630"/>
      <c r="H16" s="631"/>
      <c r="I16" s="288">
        <f t="shared" si="0"/>
        <v>20732</v>
      </c>
    </row>
    <row r="17" spans="1:9" ht="13.5" thickBot="1" x14ac:dyDescent="0.3">
      <c r="A17" s="283" t="s">
        <v>33</v>
      </c>
      <c r="B17" s="830" t="s">
        <v>903</v>
      </c>
      <c r="C17" s="831"/>
      <c r="D17" s="832"/>
      <c r="E17" s="284"/>
      <c r="F17" s="285">
        <v>12452</v>
      </c>
      <c r="G17" s="286"/>
      <c r="H17" s="287"/>
      <c r="I17" s="288">
        <f t="shared" si="0"/>
        <v>12452</v>
      </c>
    </row>
    <row r="18" spans="1:9" ht="29.25" customHeight="1" thickBot="1" x14ac:dyDescent="0.3">
      <c r="A18" s="283" t="s">
        <v>140</v>
      </c>
      <c r="B18" s="830" t="s">
        <v>904</v>
      </c>
      <c r="C18" s="831"/>
      <c r="D18" s="832"/>
      <c r="E18" s="284"/>
      <c r="F18" s="415">
        <v>243412</v>
      </c>
      <c r="G18" s="152"/>
      <c r="H18" s="416"/>
      <c r="I18" s="288">
        <f t="shared" si="0"/>
        <v>243412</v>
      </c>
    </row>
    <row r="19" spans="1:9" ht="33" customHeight="1" thickBot="1" x14ac:dyDescent="0.3">
      <c r="A19" s="283" t="s">
        <v>141</v>
      </c>
      <c r="B19" s="830" t="s">
        <v>905</v>
      </c>
      <c r="C19" s="831"/>
      <c r="D19" s="832"/>
      <c r="E19" s="284"/>
      <c r="F19" s="415">
        <v>4453</v>
      </c>
      <c r="G19" s="152"/>
      <c r="H19" s="416"/>
      <c r="I19" s="288">
        <f t="shared" si="0"/>
        <v>4453</v>
      </c>
    </row>
    <row r="20" spans="1:9" ht="13.5" thickBot="1" x14ac:dyDescent="0.3">
      <c r="A20" s="283" t="s">
        <v>142</v>
      </c>
      <c r="B20" s="830" t="s">
        <v>906</v>
      </c>
      <c r="C20" s="831"/>
      <c r="D20" s="832"/>
      <c r="E20" s="284"/>
      <c r="F20" s="415">
        <v>19000</v>
      </c>
      <c r="G20" s="152"/>
      <c r="H20" s="416"/>
      <c r="I20" s="288">
        <f t="shared" si="0"/>
        <v>19000</v>
      </c>
    </row>
    <row r="21" spans="1:9" ht="13.5" thickBot="1" x14ac:dyDescent="0.25">
      <c r="A21" s="283" t="s">
        <v>240</v>
      </c>
      <c r="B21" s="844" t="s">
        <v>907</v>
      </c>
      <c r="C21" s="845"/>
      <c r="D21" s="846"/>
      <c r="E21" s="284"/>
      <c r="F21" s="415">
        <v>82040</v>
      </c>
      <c r="G21" s="152"/>
      <c r="H21" s="416"/>
      <c r="I21" s="288">
        <f t="shared" si="0"/>
        <v>82040</v>
      </c>
    </row>
    <row r="22" spans="1:9" ht="13.5" thickBot="1" x14ac:dyDescent="0.25">
      <c r="A22" s="283" t="s">
        <v>242</v>
      </c>
      <c r="B22" s="844" t="s">
        <v>902</v>
      </c>
      <c r="C22" s="845"/>
      <c r="D22" s="846"/>
      <c r="E22" s="284"/>
      <c r="F22" s="415">
        <v>625</v>
      </c>
      <c r="G22" s="414"/>
      <c r="H22" s="416"/>
      <c r="I22" s="417">
        <f t="shared" si="0"/>
        <v>625</v>
      </c>
    </row>
    <row r="23" spans="1:9" ht="16.5" thickBot="1" x14ac:dyDescent="0.3">
      <c r="A23" s="283" t="s">
        <v>244</v>
      </c>
      <c r="B23" s="289"/>
      <c r="C23" s="290"/>
      <c r="D23" s="291"/>
      <c r="E23" s="554"/>
      <c r="F23" s="263"/>
      <c r="G23" s="263">
        <f>SUM(G24:G24)</f>
        <v>0</v>
      </c>
      <c r="H23" s="264">
        <f>SUM(H24:H24)</f>
        <v>0</v>
      </c>
      <c r="I23" s="265">
        <f t="shared" si="0"/>
        <v>0</v>
      </c>
    </row>
    <row r="24" spans="1:9" ht="13.5" thickBot="1" x14ac:dyDescent="0.3">
      <c r="A24" s="283" t="s">
        <v>246</v>
      </c>
      <c r="B24" s="292" t="s">
        <v>268</v>
      </c>
      <c r="C24" s="293"/>
      <c r="D24" s="294"/>
      <c r="E24" s="295"/>
      <c r="F24" s="296"/>
      <c r="G24" s="296"/>
      <c r="H24" s="297"/>
      <c r="I24" s="298">
        <f t="shared" si="0"/>
        <v>0</v>
      </c>
    </row>
    <row r="25" spans="1:9" ht="13.5" thickBot="1" x14ac:dyDescent="0.3">
      <c r="A25" s="283" t="s">
        <v>248</v>
      </c>
      <c r="B25" s="299" t="s">
        <v>269</v>
      </c>
      <c r="C25" s="275"/>
      <c r="D25" s="300">
        <f>SUM(D26:D26)</f>
        <v>0</v>
      </c>
      <c r="E25" s="301">
        <f>SUM(E26:E26)</f>
        <v>0</v>
      </c>
      <c r="F25" s="302"/>
      <c r="G25" s="302"/>
      <c r="H25" s="303"/>
      <c r="I25" s="265">
        <f t="shared" si="0"/>
        <v>0</v>
      </c>
    </row>
    <row r="26" spans="1:9" ht="13.5" thickBot="1" x14ac:dyDescent="0.3">
      <c r="A26" s="283" t="s">
        <v>250</v>
      </c>
      <c r="B26" s="304"/>
      <c r="C26" s="305"/>
      <c r="D26" s="306"/>
      <c r="E26" s="307"/>
      <c r="F26" s="308"/>
      <c r="G26" s="308"/>
      <c r="H26" s="309"/>
      <c r="I26" s="310">
        <f t="shared" si="0"/>
        <v>0</v>
      </c>
    </row>
    <row r="27" spans="1:9" s="317" customFormat="1" ht="16.5" thickBot="1" x14ac:dyDescent="0.3">
      <c r="A27" s="835" t="s">
        <v>270</v>
      </c>
      <c r="B27" s="836"/>
      <c r="C27" s="311"/>
      <c r="D27" s="312">
        <f>D9+D12+D15+D23+D25</f>
        <v>0</v>
      </c>
      <c r="E27" s="313">
        <f>E9+E12+E15+E23+E25</f>
        <v>0</v>
      </c>
      <c r="F27" s="314">
        <f>F9+F12+F15+F23+F25</f>
        <v>382714</v>
      </c>
      <c r="G27" s="314">
        <f>G9+G12+G15+G23+G25</f>
        <v>0</v>
      </c>
      <c r="H27" s="315">
        <f>H9+H12+H15+H23+H25</f>
        <v>0</v>
      </c>
      <c r="I27" s="316">
        <f t="shared" si="0"/>
        <v>382714</v>
      </c>
    </row>
    <row r="37" spans="2:2" x14ac:dyDescent="0.25">
      <c r="B37" s="318"/>
    </row>
  </sheetData>
  <mergeCells count="17">
    <mergeCell ref="B22:D22"/>
    <mergeCell ref="B16:D16"/>
    <mergeCell ref="I6:I7"/>
    <mergeCell ref="A27:B27"/>
    <mergeCell ref="B1:H1"/>
    <mergeCell ref="B2:H2"/>
    <mergeCell ref="B3:H3"/>
    <mergeCell ref="A6:A7"/>
    <mergeCell ref="B6:B7"/>
    <mergeCell ref="C6:C7"/>
    <mergeCell ref="D6:D7"/>
    <mergeCell ref="E6:H6"/>
    <mergeCell ref="B17:D17"/>
    <mergeCell ref="B18:D18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27</vt:i4>
      </vt:variant>
    </vt:vector>
  </HeadingPairs>
  <TitlesOfParts>
    <vt:vector size="27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11a</vt:lpstr>
      <vt:lpstr>11b</vt:lpstr>
      <vt:lpstr>11c</vt:lpstr>
      <vt:lpstr>11d</vt:lpstr>
      <vt:lpstr>12</vt:lpstr>
      <vt:lpstr>13</vt:lpstr>
      <vt:lpstr>13a</vt:lpstr>
      <vt:lpstr>13b</vt:lpstr>
      <vt:lpstr>14</vt:lpstr>
      <vt:lpstr>15</vt:lpstr>
      <vt:lpstr>16</vt:lpstr>
      <vt:lpstr>16a</vt:lpstr>
      <vt:lpstr>16b</vt:lpstr>
      <vt:lpstr>16c</vt:lpstr>
      <vt:lpstr>16d</vt:lpstr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2020-03-23T14:07:53Z</cp:lastPrinted>
  <dcterms:created xsi:type="dcterms:W3CDTF">2018-02-22T07:05:57Z</dcterms:created>
  <dcterms:modified xsi:type="dcterms:W3CDTF">2020-03-23T15:23:25Z</dcterms:modified>
</cp:coreProperties>
</file>