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Backup\D meghajtó\Költségvetés\2018. évi költségvetés\Módosítás\15-2018.(VI.29.) önk.rendelet melléklete-Kölltségvetés rend.mód. 2018.június.xlsx 2018-06-29 08-26-38\"/>
    </mc:Choice>
  </mc:AlternateContent>
  <xr:revisionPtr revIDLastSave="0" documentId="8_{F375DE87-5B72-4637-8B7F-A46A4BA53492}" xr6:coauthVersionLast="33" xr6:coauthVersionMax="33" xr10:uidLastSave="{00000000-0000-0000-0000-000000000000}"/>
  <bookViews>
    <workbookView xWindow="0" yWindow="0" windowWidth="20490" windowHeight="7545" xr2:uid="{CBD982C0-4636-4476-B245-032C25C4AF04}"/>
  </bookViews>
  <sheets>
    <sheet name="4.sz tájékoztató t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6" i="1" l="1"/>
  <c r="J26" i="1"/>
  <c r="H26" i="1"/>
  <c r="C26" i="1"/>
  <c r="Q25" i="1"/>
  <c r="O25" i="1"/>
  <c r="L24" i="1"/>
  <c r="O24" i="1" s="1"/>
  <c r="Q24" i="1" s="1"/>
  <c r="H24" i="1"/>
  <c r="I23" i="1"/>
  <c r="O23" i="1" s="1"/>
  <c r="Q23" i="1" s="1"/>
  <c r="H23" i="1"/>
  <c r="N22" i="1"/>
  <c r="N26" i="1" s="1"/>
  <c r="M22" i="1"/>
  <c r="L22" i="1"/>
  <c r="L26" i="1" s="1"/>
  <c r="I22" i="1"/>
  <c r="O22" i="1" s="1"/>
  <c r="Q22" i="1" s="1"/>
  <c r="M21" i="1"/>
  <c r="J21" i="1"/>
  <c r="I21" i="1"/>
  <c r="F21" i="1"/>
  <c r="O21" i="1" s="1"/>
  <c r="Q21" i="1" s="1"/>
  <c r="G20" i="1"/>
  <c r="O20" i="1" s="1"/>
  <c r="Q20" i="1" s="1"/>
  <c r="N19" i="1"/>
  <c r="M19" i="1"/>
  <c r="O19" i="1" s="1"/>
  <c r="Q19" i="1" s="1"/>
  <c r="N18" i="1"/>
  <c r="M18" i="1"/>
  <c r="L18" i="1"/>
  <c r="K18" i="1"/>
  <c r="J18" i="1"/>
  <c r="I18" i="1"/>
  <c r="G18" i="1"/>
  <c r="G26" i="1" s="1"/>
  <c r="F18" i="1"/>
  <c r="O18" i="1" s="1"/>
  <c r="Q18" i="1" s="1"/>
  <c r="N17" i="1"/>
  <c r="M17" i="1"/>
  <c r="L17" i="1"/>
  <c r="K17" i="1"/>
  <c r="J17" i="1"/>
  <c r="I17" i="1"/>
  <c r="F17" i="1"/>
  <c r="D17" i="1"/>
  <c r="D26" i="1" s="1"/>
  <c r="N16" i="1"/>
  <c r="M16" i="1"/>
  <c r="M26" i="1" s="1"/>
  <c r="L16" i="1"/>
  <c r="K16" i="1"/>
  <c r="K26" i="1" s="1"/>
  <c r="J16" i="1"/>
  <c r="I16" i="1"/>
  <c r="I26" i="1" s="1"/>
  <c r="F16" i="1"/>
  <c r="E16" i="1"/>
  <c r="E26" i="1" s="1"/>
  <c r="D16" i="1"/>
  <c r="Q15" i="1"/>
  <c r="P14" i="1"/>
  <c r="L14" i="1"/>
  <c r="L27" i="1" s="1"/>
  <c r="J14" i="1"/>
  <c r="J27" i="1" s="1"/>
  <c r="F14" i="1"/>
  <c r="D14" i="1"/>
  <c r="C13" i="1"/>
  <c r="O13" i="1" s="1"/>
  <c r="Q13" i="1" s="1"/>
  <c r="O12" i="1"/>
  <c r="Q12" i="1" s="1"/>
  <c r="O11" i="1"/>
  <c r="Q11" i="1" s="1"/>
  <c r="H11" i="1"/>
  <c r="Q10" i="1"/>
  <c r="O10" i="1"/>
  <c r="N9" i="1"/>
  <c r="L9" i="1"/>
  <c r="I9" i="1"/>
  <c r="G9" i="1"/>
  <c r="G14" i="1" s="1"/>
  <c r="G27" i="1" s="1"/>
  <c r="Q8" i="1"/>
  <c r="O8" i="1"/>
  <c r="M7" i="1"/>
  <c r="M14" i="1" s="1"/>
  <c r="M27" i="1" s="1"/>
  <c r="H7" i="1"/>
  <c r="O7" i="1" s="1"/>
  <c r="Q7" i="1" s="1"/>
  <c r="K6" i="1"/>
  <c r="K14" i="1" s="1"/>
  <c r="I6" i="1"/>
  <c r="H6" i="1"/>
  <c r="H14" i="1" s="1"/>
  <c r="H27" i="1" s="1"/>
  <c r="F6" i="1"/>
  <c r="O6" i="1" s="1"/>
  <c r="Q6" i="1" s="1"/>
  <c r="N5" i="1"/>
  <c r="N14" i="1" s="1"/>
  <c r="N27" i="1" s="1"/>
  <c r="I5" i="1"/>
  <c r="I14" i="1" s="1"/>
  <c r="E5" i="1"/>
  <c r="E14" i="1" s="1"/>
  <c r="E27" i="1" s="1"/>
  <c r="I27" i="1" l="1"/>
  <c r="D27" i="1"/>
  <c r="K27" i="1"/>
  <c r="F27" i="1"/>
  <c r="O17" i="1"/>
  <c r="Q17" i="1" s="1"/>
  <c r="F26" i="1"/>
  <c r="O26" i="1" s="1"/>
  <c r="Q26" i="1" s="1"/>
  <c r="O9" i="1"/>
  <c r="Q9" i="1" s="1"/>
  <c r="C14" i="1"/>
  <c r="O16" i="1"/>
  <c r="Q16" i="1" s="1"/>
  <c r="O5" i="1"/>
  <c r="Q5" i="1" s="1"/>
  <c r="O14" i="1" l="1"/>
  <c r="C27" i="1"/>
  <c r="Q14" i="1" l="1"/>
  <c r="O27" i="1"/>
</calcChain>
</file>

<file path=xl/sharedStrings.xml><?xml version="1.0" encoding="utf-8"?>
<sst xmlns="http://schemas.openxmlformats.org/spreadsheetml/2006/main" count="65" uniqueCount="65">
  <si>
    <t>Előirányzat-felhasználási terv
2018. évre</t>
  </si>
  <si>
    <t>Forintban !</t>
  </si>
  <si>
    <t>Sor-szám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</si>
  <si>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</si>
  <si>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</si>
  <si>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</si>
  <si>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</si>
  <si>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</si>
  <si>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</si>
  <si>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</si>
  <si>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</si>
  <si>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</si>
  <si>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</si>
  <si>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</si>
  <si>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</si>
  <si>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</si>
  <si>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</si>
  <si>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1.</t>
  </si>
  <si>
    <t>Bevételek</t>
  </si>
  <si>
    <t>2.</t>
  </si>
  <si>
    <t>Önkormányzatok működési támogatásai</t>
  </si>
  <si>
    <t>3.</t>
  </si>
  <si>
    <t>Működési célú támogatások ÁH-on belül</t>
  </si>
  <si>
    <t>4.</t>
  </si>
  <si>
    <t>Felhalmozási célú támogatások ÁH-on belül</t>
  </si>
  <si>
    <t>5.</t>
  </si>
  <si>
    <t>Közhatalmi bevételek</t>
  </si>
  <si>
    <t>6.</t>
  </si>
  <si>
    <t>Működési bevételek</t>
  </si>
  <si>
    <t>7.</t>
  </si>
  <si>
    <t>Felhalmozási bevételek</t>
  </si>
  <si>
    <t>8.</t>
  </si>
  <si>
    <t>Működési célú átvett pénzeszközök</t>
  </si>
  <si>
    <t>9.</t>
  </si>
  <si>
    <t>Felhalmozási célú átvett pénzeszközök</t>
  </si>
  <si>
    <t>10.</t>
  </si>
  <si>
    <t>Finanszírozási bevételek</t>
  </si>
  <si>
    <t>11.</t>
  </si>
  <si>
    <t>Bevételek összesen:</t>
  </si>
  <si>
    <t>12.</t>
  </si>
  <si>
    <t>Kiadások</t>
  </si>
  <si>
    <t>13.</t>
  </si>
  <si>
    <t>Személyi juttatások</t>
  </si>
  <si>
    <t>14.</t>
  </si>
  <si>
    <t>Munkaadókat terhelő járulékok és szociális hozzájárulási adó</t>
  </si>
  <si>
    <t>15.</t>
  </si>
  <si>
    <t>Dologi  kiadások</t>
  </si>
  <si>
    <t>16.</t>
  </si>
  <si>
    <t>Ellátottak pénzbeli juttatásai</t>
  </si>
  <si>
    <t>17.</t>
  </si>
  <si>
    <t xml:space="preserve"> Egyéb működési célú kiadások</t>
  </si>
  <si>
    <t>18.</t>
  </si>
  <si>
    <t>Beruházások</t>
  </si>
  <si>
    <t>19.</t>
  </si>
  <si>
    <t>Felújítások</t>
  </si>
  <si>
    <t>20.</t>
  </si>
  <si>
    <t>Egyéb felhalmozási kiadások</t>
  </si>
  <si>
    <t>21.</t>
  </si>
  <si>
    <t>Tartalékok</t>
  </si>
  <si>
    <t>22.</t>
  </si>
  <si>
    <t>Finanszírozási kiadások</t>
  </si>
  <si>
    <t>23.</t>
  </si>
  <si>
    <t>Kiadások összesen:</t>
  </si>
  <si>
    <t>24.</t>
  </si>
  <si>
    <t>Egyenleg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</si>
</sst>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4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sz val="8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 CE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11"/>
      <name val="Times New Roman CE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2" fillId="0" borderId="0" xfId="1" applyFont="1" applyFill="1" applyAlignment="1" applyProtection="1">
      <alignment horizontal="center" wrapText="1"/>
    </xf>
    <xf numFmtId="0" fontId="2" fillId="0" borderId="0" xfId="1" applyFont="1" applyFill="1" applyAlignment="1" applyProtection="1">
      <alignment horizontal="center"/>
    </xf>
    <xf numFmtId="3" fontId="3" fillId="0" borderId="0" xfId="1" applyNumberFormat="1" applyFont="1" applyFill="1" applyProtection="1">
      <protection locked="0"/>
    </xf>
    <xf numFmtId="0" fontId="1" fillId="0" borderId="0" xfId="1" applyFill="1" applyProtection="1">
      <protection locked="0"/>
    </xf>
    <xf numFmtId="0" fontId="1" fillId="0" borderId="0" xfId="1" applyFill="1" applyProtection="1"/>
    <xf numFmtId="0" fontId="4" fillId="0" borderId="0" xfId="0" applyFont="1" applyFill="1" applyAlignment="1">
      <alignment horizontal="right"/>
    </xf>
    <xf numFmtId="0" fontId="5" fillId="0" borderId="1" xfId="1" applyFont="1" applyFill="1" applyBorder="1" applyAlignment="1" applyProtection="1">
      <alignment horizontal="center" vertical="center" wrapText="1"/>
      <protection locked="0"/>
    </xf>
    <xf numFmtId="0" fontId="5" fillId="0" borderId="2" xfId="1" applyFont="1" applyFill="1" applyBorder="1" applyAlignment="1" applyProtection="1">
      <alignment horizontal="center" vertical="center"/>
      <protection locked="0"/>
    </xf>
    <xf numFmtId="0" fontId="5" fillId="0" borderId="3" xfId="1" applyFont="1" applyFill="1" applyBorder="1" applyAlignment="1" applyProtection="1">
      <alignment horizontal="center" vertical="center"/>
      <protection locked="0"/>
    </xf>
    <xf numFmtId="0" fontId="6" fillId="0" borderId="4" xfId="1" applyFont="1" applyFill="1" applyBorder="1" applyAlignment="1" applyProtection="1">
      <alignment horizontal="left" vertical="center" indent="1"/>
    </xf>
    <xf numFmtId="0" fontId="7" fillId="0" borderId="5" xfId="1" applyFont="1" applyFill="1" applyBorder="1" applyAlignment="1" applyProtection="1">
      <alignment horizontal="left" vertical="center" indent="1"/>
    </xf>
    <xf numFmtId="0" fontId="7" fillId="0" borderId="6" xfId="1" applyFont="1" applyFill="1" applyBorder="1" applyAlignment="1" applyProtection="1">
      <alignment horizontal="left" vertical="center" indent="1"/>
    </xf>
    <xf numFmtId="0" fontId="7" fillId="0" borderId="7" xfId="1" applyFont="1" applyFill="1" applyBorder="1" applyAlignment="1" applyProtection="1">
      <alignment horizontal="left" vertical="center" indent="1"/>
    </xf>
    <xf numFmtId="3" fontId="3" fillId="0" borderId="0" xfId="1" applyNumberFormat="1" applyFont="1" applyFill="1" applyAlignment="1" applyProtection="1">
      <alignment vertical="center"/>
    </xf>
    <xf numFmtId="0" fontId="1" fillId="0" borderId="0" xfId="1" applyFill="1" applyAlignment="1" applyProtection="1">
      <alignment vertical="center"/>
    </xf>
    <xf numFmtId="0" fontId="6" fillId="0" borderId="8" xfId="1" applyFont="1" applyFill="1" applyBorder="1" applyAlignment="1" applyProtection="1">
      <alignment horizontal="left" vertical="center" indent="1"/>
    </xf>
    <xf numFmtId="0" fontId="6" fillId="0" borderId="9" xfId="1" applyFont="1" applyFill="1" applyBorder="1" applyAlignment="1" applyProtection="1">
      <alignment horizontal="left" vertical="center" wrapText="1" indent="1"/>
    </xf>
    <xf numFmtId="164" fontId="3" fillId="0" borderId="9" xfId="1" applyNumberFormat="1" applyFont="1" applyFill="1" applyBorder="1" applyAlignment="1" applyProtection="1">
      <alignment vertical="center"/>
      <protection locked="0"/>
    </xf>
    <xf numFmtId="164" fontId="8" fillId="0" borderId="10" xfId="1" applyNumberFormat="1" applyFont="1" applyFill="1" applyBorder="1" applyAlignment="1" applyProtection="1">
      <alignment vertical="center"/>
    </xf>
    <xf numFmtId="3" fontId="3" fillId="0" borderId="11" xfId="1" applyNumberFormat="1" applyFont="1" applyFill="1" applyBorder="1" applyAlignment="1" applyProtection="1">
      <alignment vertical="center"/>
    </xf>
    <xf numFmtId="3" fontId="3" fillId="0" borderId="12" xfId="1" applyNumberFormat="1" applyFont="1" applyFill="1" applyBorder="1" applyAlignment="1" applyProtection="1">
      <alignment vertical="center"/>
      <protection locked="0"/>
    </xf>
    <xf numFmtId="0" fontId="6" fillId="0" borderId="13" xfId="1" applyFont="1" applyFill="1" applyBorder="1" applyAlignment="1" applyProtection="1">
      <alignment horizontal="left" vertical="center" indent="1"/>
    </xf>
    <xf numFmtId="0" fontId="6" fillId="0" borderId="14" xfId="1" applyFont="1" applyFill="1" applyBorder="1" applyAlignment="1" applyProtection="1">
      <alignment horizontal="left" vertical="center" wrapText="1" indent="1"/>
    </xf>
    <xf numFmtId="164" fontId="3" fillId="0" borderId="14" xfId="1" applyNumberFormat="1" applyFont="1" applyFill="1" applyBorder="1" applyAlignment="1" applyProtection="1">
      <alignment vertical="center"/>
      <protection locked="0"/>
    </xf>
    <xf numFmtId="164" fontId="8" fillId="0" borderId="15" xfId="1" applyNumberFormat="1" applyFont="1" applyFill="1" applyBorder="1" applyAlignment="1" applyProtection="1">
      <alignment vertical="center"/>
    </xf>
    <xf numFmtId="3" fontId="3" fillId="0" borderId="13" xfId="1" applyNumberFormat="1" applyFont="1" applyFill="1" applyBorder="1" applyAlignment="1" applyProtection="1">
      <alignment vertical="center"/>
      <protection locked="0"/>
    </xf>
    <xf numFmtId="3" fontId="3" fillId="0" borderId="15" xfId="1" applyNumberFormat="1" applyFont="1" applyFill="1" applyBorder="1" applyAlignment="1" applyProtection="1">
      <alignment vertical="center"/>
      <protection locked="0"/>
    </xf>
    <xf numFmtId="0" fontId="1" fillId="0" borderId="0" xfId="1" applyFill="1" applyAlignment="1" applyProtection="1">
      <alignment vertical="center"/>
      <protection locked="0"/>
    </xf>
    <xf numFmtId="0" fontId="6" fillId="0" borderId="16" xfId="1" applyFont="1" applyFill="1" applyBorder="1" applyAlignment="1" applyProtection="1">
      <alignment horizontal="left" vertical="center" wrapText="1" indent="1"/>
    </xf>
    <xf numFmtId="164" fontId="3" fillId="0" borderId="16" xfId="1" applyNumberFormat="1" applyFont="1" applyFill="1" applyBorder="1" applyAlignment="1" applyProtection="1">
      <alignment vertical="center"/>
      <protection locked="0"/>
    </xf>
    <xf numFmtId="164" fontId="9" fillId="0" borderId="15" xfId="1" applyNumberFormat="1" applyFont="1" applyFill="1" applyBorder="1" applyAlignment="1" applyProtection="1">
      <alignment vertical="center"/>
    </xf>
    <xf numFmtId="0" fontId="6" fillId="0" borderId="14" xfId="1" applyFont="1" applyFill="1" applyBorder="1" applyAlignment="1" applyProtection="1">
      <alignment horizontal="left" vertical="center" indent="1"/>
    </xf>
    <xf numFmtId="164" fontId="6" fillId="0" borderId="14" xfId="1" applyNumberFormat="1" applyFont="1" applyFill="1" applyBorder="1" applyAlignment="1" applyProtection="1">
      <alignment vertical="center"/>
      <protection locked="0"/>
    </xf>
    <xf numFmtId="3" fontId="3" fillId="0" borderId="17" xfId="1" applyNumberFormat="1" applyFont="1" applyFill="1" applyBorder="1" applyAlignment="1" applyProtection="1">
      <alignment vertical="center"/>
      <protection locked="0"/>
    </xf>
    <xf numFmtId="3" fontId="3" fillId="0" borderId="18" xfId="1" applyNumberFormat="1" applyFont="1" applyFill="1" applyBorder="1" applyAlignment="1" applyProtection="1">
      <alignment vertical="center"/>
      <protection locked="0"/>
    </xf>
    <xf numFmtId="0" fontId="10" fillId="0" borderId="19" xfId="1" applyFont="1" applyFill="1" applyBorder="1" applyAlignment="1" applyProtection="1">
      <alignment horizontal="left" vertical="center" indent="1"/>
    </xf>
    <xf numFmtId="164" fontId="11" fillId="0" borderId="19" xfId="1" applyNumberFormat="1" applyFont="1" applyFill="1" applyBorder="1" applyAlignment="1" applyProtection="1">
      <alignment vertical="center"/>
    </xf>
    <xf numFmtId="164" fontId="11" fillId="0" borderId="20" xfId="1" applyNumberFormat="1" applyFont="1" applyFill="1" applyBorder="1" applyAlignment="1" applyProtection="1">
      <alignment vertical="center"/>
    </xf>
    <xf numFmtId="3" fontId="3" fillId="0" borderId="21" xfId="1" applyNumberFormat="1" applyFont="1" applyFill="1" applyBorder="1" applyAlignment="1" applyProtection="1">
      <alignment vertical="center"/>
    </xf>
    <xf numFmtId="3" fontId="3" fillId="0" borderId="21" xfId="1" applyNumberFormat="1" applyFont="1" applyFill="1" applyBorder="1" applyAlignment="1" applyProtection="1">
      <alignment vertical="center"/>
      <protection locked="0"/>
    </xf>
    <xf numFmtId="3" fontId="3" fillId="0" borderId="0" xfId="1" applyNumberFormat="1" applyFont="1" applyFill="1" applyAlignment="1" applyProtection="1">
      <alignment vertical="center"/>
      <protection locked="0"/>
    </xf>
    <xf numFmtId="0" fontId="6" fillId="0" borderId="11" xfId="1" applyFont="1" applyFill="1" applyBorder="1" applyAlignment="1" applyProtection="1">
      <alignment horizontal="left" vertical="center" indent="1"/>
    </xf>
    <xf numFmtId="0" fontId="6" fillId="0" borderId="22" xfId="1" applyFont="1" applyFill="1" applyBorder="1" applyAlignment="1" applyProtection="1">
      <alignment horizontal="left" vertical="center" indent="1"/>
    </xf>
    <xf numFmtId="164" fontId="3" fillId="0" borderId="22" xfId="1" applyNumberFormat="1" applyFont="1" applyFill="1" applyBorder="1" applyAlignment="1" applyProtection="1">
      <alignment vertical="center"/>
      <protection locked="0"/>
    </xf>
    <xf numFmtId="164" fontId="8" fillId="0" borderId="12" xfId="1" applyNumberFormat="1" applyFont="1" applyFill="1" applyBorder="1" applyAlignment="1" applyProtection="1">
      <alignment vertical="center"/>
    </xf>
    <xf numFmtId="3" fontId="3" fillId="0" borderId="11" xfId="1" applyNumberFormat="1" applyFont="1" applyFill="1" applyBorder="1" applyAlignment="1" applyProtection="1">
      <alignment vertical="center"/>
      <protection locked="0"/>
    </xf>
    <xf numFmtId="3" fontId="9" fillId="0" borderId="13" xfId="1" applyNumberFormat="1" applyFont="1" applyFill="1" applyBorder="1" applyAlignment="1" applyProtection="1">
      <alignment vertical="center"/>
      <protection locked="0"/>
    </xf>
    <xf numFmtId="0" fontId="11" fillId="0" borderId="4" xfId="1" applyFont="1" applyFill="1" applyBorder="1" applyAlignment="1" applyProtection="1">
      <alignment horizontal="left" vertical="center" indent="1"/>
    </xf>
    <xf numFmtId="0" fontId="10" fillId="0" borderId="19" xfId="1" applyFont="1" applyFill="1" applyBorder="1" applyAlignment="1" applyProtection="1">
      <alignment horizontal="left" indent="1"/>
    </xf>
    <xf numFmtId="164" fontId="11" fillId="0" borderId="19" xfId="1" applyNumberFormat="1" applyFont="1" applyFill="1" applyBorder="1" applyProtection="1"/>
    <xf numFmtId="164" fontId="11" fillId="0" borderId="20" xfId="1" applyNumberFormat="1" applyFont="1" applyFill="1" applyBorder="1" applyProtection="1"/>
    <xf numFmtId="0" fontId="12" fillId="0" borderId="0" xfId="1" applyFont="1" applyFill="1" applyProtection="1"/>
    <xf numFmtId="0" fontId="13" fillId="0" borderId="0" xfId="1" applyFont="1" applyFill="1" applyProtection="1">
      <protection locked="0"/>
    </xf>
    <xf numFmtId="0" fontId="2" fillId="0" borderId="0" xfId="1" applyFont="1" applyFill="1" applyProtection="1">
      <protection locked="0"/>
    </xf>
  </cellXfs>
  <cellStyles count="2">
    <cellStyle name="Normál" xfId="0" builtinId="0"/>
    <cellStyle name="Normál_SEGEDLETEK" xfId="1" xr:uid="{0F590559-60D8-46BD-93A2-D8470BD169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2C038-0AFC-42CF-93D6-C9D3A03705DE}">
  <sheetPr codeName="Munka28">
    <tabColor rgb="FF92D050"/>
  </sheetPr>
  <dimension ref="A1:Q82"/>
  <sheetViews>
    <sheetView tabSelected="1" view="pageLayout" zoomScale="85" zoomScaleNormal="100" zoomScalePageLayoutView="85" workbookViewId="0">
      <selection activeCell="N6" sqref="N6:O6"/>
    </sheetView>
  </sheetViews>
  <sheetFormatPr defaultRowHeight="15.75" x14ac:dyDescent="0.25"/>
  <cols>
    <col min="1" max="1" width="4.83203125" style="5" customWidth="1"/>
    <col min="2" max="2" width="31.1640625" style="4" customWidth="1"/>
    <col min="3" max="6" width="11.1640625" style="4" bestFit="1" customWidth="1"/>
    <col min="7" max="7" width="11.83203125" style="4" bestFit="1" customWidth="1"/>
    <col min="8" max="8" width="11.1640625" style="4" bestFit="1" customWidth="1"/>
    <col min="9" max="9" width="12.6640625" style="4" bestFit="1" customWidth="1"/>
    <col min="10" max="10" width="11.1640625" style="4" bestFit="1" customWidth="1"/>
    <col min="11" max="11" width="12.6640625" style="4" bestFit="1" customWidth="1"/>
    <col min="12" max="12" width="11.1640625" style="4" customWidth="1"/>
    <col min="13" max="13" width="11.6640625" style="4" customWidth="1"/>
    <col min="14" max="14" width="11" style="4" customWidth="1"/>
    <col min="15" max="15" width="12.6640625" style="5" customWidth="1"/>
    <col min="16" max="16" width="14.6640625" style="3" hidden="1" customWidth="1"/>
    <col min="17" max="17" width="16.6640625" style="3" hidden="1" customWidth="1"/>
    <col min="18" max="16384" width="9.33203125" style="4"/>
  </cols>
  <sheetData>
    <row r="1" spans="1:17" ht="31.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7" ht="16.5" thickBot="1" x14ac:dyDescent="0.3">
      <c r="O2" s="6" t="s">
        <v>1</v>
      </c>
    </row>
    <row r="3" spans="1:17" ht="35.25" customHeight="1" thickBot="1" x14ac:dyDescent="0.3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9" t="s">
        <v>16</v>
      </c>
    </row>
    <row r="4" spans="1:17" s="15" customFormat="1" ht="15" customHeight="1" thickBot="1" x14ac:dyDescent="0.25">
      <c r="A4" s="10" t="s">
        <v>17</v>
      </c>
      <c r="B4" s="11" t="s">
        <v>18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3"/>
      <c r="P4" s="14"/>
      <c r="Q4" s="14"/>
    </row>
    <row r="5" spans="1:17" s="15" customFormat="1" ht="22.5" x14ac:dyDescent="0.2">
      <c r="A5" s="16" t="s">
        <v>19</v>
      </c>
      <c r="B5" s="17" t="s">
        <v>20</v>
      </c>
      <c r="C5" s="18">
        <v>70000000</v>
      </c>
      <c r="D5" s="18">
        <v>105000000</v>
      </c>
      <c r="E5" s="18">
        <f>110000000+1309600</f>
        <v>111309600</v>
      </c>
      <c r="F5" s="18">
        <v>110000000</v>
      </c>
      <c r="G5" s="18">
        <v>110000000</v>
      </c>
      <c r="H5" s="18">
        <v>115083108</v>
      </c>
      <c r="I5" s="18">
        <f>125600000+1398336</f>
        <v>126998336</v>
      </c>
      <c r="J5" s="18">
        <v>125100000</v>
      </c>
      <c r="K5" s="18">
        <v>117270000</v>
      </c>
      <c r="L5" s="18">
        <v>110120000</v>
      </c>
      <c r="M5" s="18">
        <v>110170000</v>
      </c>
      <c r="N5" s="18">
        <f>110081468+170000</f>
        <v>110251468</v>
      </c>
      <c r="O5" s="19">
        <f t="shared" ref="O5:O14" si="0">SUM(C5:N5)</f>
        <v>1321302512</v>
      </c>
      <c r="P5" s="20">
        <v>1321302512</v>
      </c>
      <c r="Q5" s="21">
        <f t="shared" ref="Q5:Q26" si="1">O5-P5</f>
        <v>0</v>
      </c>
    </row>
    <row r="6" spans="1:17" s="28" customFormat="1" ht="22.5" x14ac:dyDescent="0.2">
      <c r="A6" s="22" t="s">
        <v>21</v>
      </c>
      <c r="B6" s="23" t="s">
        <v>22</v>
      </c>
      <c r="C6" s="24"/>
      <c r="D6" s="24">
        <v>40000000</v>
      </c>
      <c r="E6" s="24"/>
      <c r="F6" s="24">
        <f>40000000-344442</f>
        <v>39655558</v>
      </c>
      <c r="G6" s="24">
        <v>20620</v>
      </c>
      <c r="H6" s="24">
        <f>10965882+9894420-4353475</f>
        <v>16506827</v>
      </c>
      <c r="I6" s="24">
        <f>40000000+900000+1978928</f>
        <v>42878928</v>
      </c>
      <c r="J6" s="24">
        <v>10000000</v>
      </c>
      <c r="K6" s="24">
        <f>931815</f>
        <v>931815</v>
      </c>
      <c r="L6" s="24">
        <v>40000000</v>
      </c>
      <c r="M6" s="24"/>
      <c r="N6" s="24">
        <v>75636836</v>
      </c>
      <c r="O6" s="25">
        <f t="shared" si="0"/>
        <v>265630584</v>
      </c>
      <c r="P6" s="26">
        <v>265630584</v>
      </c>
      <c r="Q6" s="27">
        <f t="shared" si="1"/>
        <v>0</v>
      </c>
    </row>
    <row r="7" spans="1:17" s="28" customFormat="1" ht="22.5" x14ac:dyDescent="0.2">
      <c r="A7" s="22" t="s">
        <v>23</v>
      </c>
      <c r="B7" s="29" t="s">
        <v>24</v>
      </c>
      <c r="C7" s="30"/>
      <c r="D7" s="30"/>
      <c r="E7" s="30"/>
      <c r="F7" s="30"/>
      <c r="G7" s="30">
        <v>3796748</v>
      </c>
      <c r="H7" s="30">
        <f>6704587+4353475+449996</f>
        <v>11508058</v>
      </c>
      <c r="I7" s="30"/>
      <c r="J7" s="30"/>
      <c r="K7" s="30"/>
      <c r="L7" s="30"/>
      <c r="M7" s="30">
        <f>5866130+48350993</f>
        <v>54217123</v>
      </c>
      <c r="N7" s="30">
        <v>3779393</v>
      </c>
      <c r="O7" s="31">
        <f t="shared" si="0"/>
        <v>73301322</v>
      </c>
      <c r="P7" s="26">
        <v>73301322</v>
      </c>
      <c r="Q7" s="27">
        <f t="shared" si="1"/>
        <v>0</v>
      </c>
    </row>
    <row r="8" spans="1:17" s="28" customFormat="1" ht="14.1" customHeight="1" x14ac:dyDescent="0.2">
      <c r="A8" s="22" t="s">
        <v>25</v>
      </c>
      <c r="B8" s="32" t="s">
        <v>26</v>
      </c>
      <c r="C8" s="24">
        <v>3000000</v>
      </c>
      <c r="D8" s="24">
        <v>3000000</v>
      </c>
      <c r="E8" s="24">
        <v>120000000</v>
      </c>
      <c r="F8" s="24">
        <v>15000000</v>
      </c>
      <c r="G8" s="24">
        <v>7000000</v>
      </c>
      <c r="H8" s="24">
        <v>9000000</v>
      </c>
      <c r="I8" s="24">
        <v>5000000</v>
      </c>
      <c r="J8" s="24">
        <v>20000000</v>
      </c>
      <c r="K8" s="24">
        <v>120000000</v>
      </c>
      <c r="L8" s="24">
        <v>5000000</v>
      </c>
      <c r="M8" s="24">
        <v>5000000</v>
      </c>
      <c r="N8" s="24">
        <v>40658000</v>
      </c>
      <c r="O8" s="31">
        <f t="shared" si="0"/>
        <v>352658000</v>
      </c>
      <c r="P8" s="26">
        <v>352658000</v>
      </c>
      <c r="Q8" s="27">
        <f t="shared" si="1"/>
        <v>0</v>
      </c>
    </row>
    <row r="9" spans="1:17" s="28" customFormat="1" ht="14.1" customHeight="1" x14ac:dyDescent="0.2">
      <c r="A9" s="22" t="s">
        <v>27</v>
      </c>
      <c r="B9" s="32" t="s">
        <v>28</v>
      </c>
      <c r="C9" s="24">
        <v>36200000</v>
      </c>
      <c r="D9" s="24">
        <v>35450000</v>
      </c>
      <c r="E9" s="24">
        <v>36250000</v>
      </c>
      <c r="F9" s="24">
        <v>35326294</v>
      </c>
      <c r="G9" s="24">
        <f>38260000+1577143</f>
        <v>39837143</v>
      </c>
      <c r="H9" s="24">
        <v>35300000</v>
      </c>
      <c r="I9" s="24">
        <f>33291164+4938146</f>
        <v>38229310</v>
      </c>
      <c r="J9" s="24">
        <v>33290000</v>
      </c>
      <c r="K9" s="24">
        <v>39421250</v>
      </c>
      <c r="L9" s="24">
        <f>38290000+1595250</f>
        <v>39885250</v>
      </c>
      <c r="M9" s="24">
        <v>38390000</v>
      </c>
      <c r="N9" s="24">
        <f>35514867+4938146</f>
        <v>40453013</v>
      </c>
      <c r="O9" s="25">
        <f t="shared" si="0"/>
        <v>448032260</v>
      </c>
      <c r="P9" s="26">
        <v>448032260</v>
      </c>
      <c r="Q9" s="27">
        <f t="shared" si="1"/>
        <v>0</v>
      </c>
    </row>
    <row r="10" spans="1:17" s="28" customFormat="1" ht="14.1" customHeight="1" x14ac:dyDescent="0.2">
      <c r="A10" s="22" t="s">
        <v>29</v>
      </c>
      <c r="B10" s="32" t="s">
        <v>30</v>
      </c>
      <c r="C10" s="24"/>
      <c r="D10" s="24"/>
      <c r="E10" s="24">
        <v>2625000</v>
      </c>
      <c r="F10" s="24"/>
      <c r="G10" s="24">
        <v>1920000</v>
      </c>
      <c r="H10" s="24"/>
      <c r="I10" s="24">
        <v>3000000</v>
      </c>
      <c r="J10" s="24"/>
      <c r="K10" s="24">
        <v>7787500</v>
      </c>
      <c r="L10" s="24"/>
      <c r="M10" s="24">
        <v>15000000</v>
      </c>
      <c r="N10" s="24"/>
      <c r="O10" s="31">
        <f t="shared" si="0"/>
        <v>30332500</v>
      </c>
      <c r="P10" s="26">
        <v>30332500</v>
      </c>
      <c r="Q10" s="27">
        <f t="shared" si="1"/>
        <v>0</v>
      </c>
    </row>
    <row r="11" spans="1:17" s="28" customFormat="1" ht="14.1" customHeight="1" x14ac:dyDescent="0.2">
      <c r="A11" s="22" t="s">
        <v>31</v>
      </c>
      <c r="B11" s="32" t="s">
        <v>32</v>
      </c>
      <c r="C11" s="24">
        <v>1566000</v>
      </c>
      <c r="D11" s="24">
        <v>250000</v>
      </c>
      <c r="E11" s="24">
        <v>300000</v>
      </c>
      <c r="F11" s="24">
        <v>350000</v>
      </c>
      <c r="G11" s="24">
        <v>250000</v>
      </c>
      <c r="H11" s="24">
        <f>200000+20000+30000</f>
        <v>250000</v>
      </c>
      <c r="I11" s="24">
        <v>350000</v>
      </c>
      <c r="J11" s="24">
        <v>250000</v>
      </c>
      <c r="K11" s="24">
        <v>400000</v>
      </c>
      <c r="L11" s="24">
        <v>300000</v>
      </c>
      <c r="M11" s="24">
        <v>300000</v>
      </c>
      <c r="N11" s="24">
        <v>250000</v>
      </c>
      <c r="O11" s="25">
        <f t="shared" si="0"/>
        <v>4816000</v>
      </c>
      <c r="P11" s="26">
        <v>4816000</v>
      </c>
      <c r="Q11" s="27">
        <f t="shared" si="1"/>
        <v>0</v>
      </c>
    </row>
    <row r="12" spans="1:17" s="28" customFormat="1" ht="22.5" x14ac:dyDescent="0.2">
      <c r="A12" s="22" t="s">
        <v>33</v>
      </c>
      <c r="B12" s="23" t="s">
        <v>34</v>
      </c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31">
        <f t="shared" si="0"/>
        <v>0</v>
      </c>
      <c r="P12" s="26">
        <v>0</v>
      </c>
      <c r="Q12" s="27">
        <f t="shared" si="1"/>
        <v>0</v>
      </c>
    </row>
    <row r="13" spans="1:17" s="28" customFormat="1" ht="14.1" customHeight="1" thickBot="1" x14ac:dyDescent="0.25">
      <c r="A13" s="22" t="s">
        <v>35</v>
      </c>
      <c r="B13" s="32" t="s">
        <v>36</v>
      </c>
      <c r="C13" s="33">
        <f>595229853-28</f>
        <v>595229825</v>
      </c>
      <c r="D13" s="33">
        <v>40000000</v>
      </c>
      <c r="E13" s="33"/>
      <c r="F13" s="33">
        <v>60447375</v>
      </c>
      <c r="G13" s="33"/>
      <c r="H13" s="33">
        <v>25000000</v>
      </c>
      <c r="I13" s="33">
        <v>20000000</v>
      </c>
      <c r="J13" s="33">
        <v>20000000</v>
      </c>
      <c r="K13" s="24">
        <v>33478462</v>
      </c>
      <c r="L13" s="24">
        <v>10000000</v>
      </c>
      <c r="M13" s="24">
        <v>10000000</v>
      </c>
      <c r="N13" s="24"/>
      <c r="O13" s="31">
        <f t="shared" si="0"/>
        <v>814155662</v>
      </c>
      <c r="P13" s="34">
        <v>814155662</v>
      </c>
      <c r="Q13" s="35">
        <f t="shared" si="1"/>
        <v>0</v>
      </c>
    </row>
    <row r="14" spans="1:17" s="15" customFormat="1" ht="15.95" customHeight="1" thickBot="1" x14ac:dyDescent="0.25">
      <c r="A14" s="10" t="s">
        <v>37</v>
      </c>
      <c r="B14" s="36" t="s">
        <v>38</v>
      </c>
      <c r="C14" s="37">
        <f t="shared" ref="C14:N14" si="2">SUM(C5:C13)</f>
        <v>705995825</v>
      </c>
      <c r="D14" s="37">
        <f t="shared" si="2"/>
        <v>223700000</v>
      </c>
      <c r="E14" s="37">
        <f t="shared" si="2"/>
        <v>270484600</v>
      </c>
      <c r="F14" s="37">
        <f t="shared" si="2"/>
        <v>260779227</v>
      </c>
      <c r="G14" s="37">
        <f t="shared" si="2"/>
        <v>162824511</v>
      </c>
      <c r="H14" s="37">
        <f t="shared" si="2"/>
        <v>212647993</v>
      </c>
      <c r="I14" s="37">
        <f t="shared" si="2"/>
        <v>236456574</v>
      </c>
      <c r="J14" s="37">
        <f t="shared" si="2"/>
        <v>208640000</v>
      </c>
      <c r="K14" s="37">
        <f t="shared" si="2"/>
        <v>319289027</v>
      </c>
      <c r="L14" s="37">
        <f t="shared" si="2"/>
        <v>205305250</v>
      </c>
      <c r="M14" s="37">
        <f t="shared" si="2"/>
        <v>233077123</v>
      </c>
      <c r="N14" s="37">
        <f t="shared" si="2"/>
        <v>271028710</v>
      </c>
      <c r="O14" s="38">
        <f t="shared" si="0"/>
        <v>3310228840</v>
      </c>
      <c r="P14" s="39">
        <f>SUM(P5:P13)</f>
        <v>3310228840</v>
      </c>
      <c r="Q14" s="40">
        <f t="shared" si="1"/>
        <v>0</v>
      </c>
    </row>
    <row r="15" spans="1:17" s="15" customFormat="1" ht="15" customHeight="1" thickBot="1" x14ac:dyDescent="0.25">
      <c r="A15" s="10" t="s">
        <v>39</v>
      </c>
      <c r="B15" s="11" t="s">
        <v>40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3"/>
      <c r="P15" s="14"/>
      <c r="Q15" s="41">
        <f t="shared" si="1"/>
        <v>0</v>
      </c>
    </row>
    <row r="16" spans="1:17" s="28" customFormat="1" ht="14.1" customHeight="1" x14ac:dyDescent="0.2">
      <c r="A16" s="42" t="s">
        <v>41</v>
      </c>
      <c r="B16" s="43" t="s">
        <v>42</v>
      </c>
      <c r="C16" s="44">
        <v>80000000</v>
      </c>
      <c r="D16" s="44">
        <f>81000000-569836</f>
        <v>80430164</v>
      </c>
      <c r="E16" s="44">
        <f>83100000</f>
        <v>83100000</v>
      </c>
      <c r="F16" s="44">
        <f>81000000+666000+1095900-175365</f>
        <v>82586535</v>
      </c>
      <c r="G16" s="44">
        <v>81000000</v>
      </c>
      <c r="H16" s="44">
        <v>83000000</v>
      </c>
      <c r="I16" s="44">
        <f>81000000+1281377</f>
        <v>82281377</v>
      </c>
      <c r="J16" s="44">
        <f>82000000+1281377+1656000</f>
        <v>84937377</v>
      </c>
      <c r="K16" s="44">
        <f>84100000+1281377+1828292</f>
        <v>87209669</v>
      </c>
      <c r="L16" s="44">
        <f>81000000+1281377</f>
        <v>82281377</v>
      </c>
      <c r="M16" s="44">
        <f>81000000+1281377</f>
        <v>82281377</v>
      </c>
      <c r="N16" s="44">
        <f>81820251+1281376</f>
        <v>83101627</v>
      </c>
      <c r="O16" s="45">
        <f t="shared" ref="O16:O26" si="3">SUM(C16:N16)</f>
        <v>992209503</v>
      </c>
      <c r="P16" s="46">
        <v>992209503</v>
      </c>
      <c r="Q16" s="21">
        <f t="shared" si="1"/>
        <v>0</v>
      </c>
    </row>
    <row r="17" spans="1:17" s="28" customFormat="1" ht="27" customHeight="1" x14ac:dyDescent="0.2">
      <c r="A17" s="22" t="s">
        <v>43</v>
      </c>
      <c r="B17" s="23" t="s">
        <v>44</v>
      </c>
      <c r="C17" s="24">
        <v>16500000</v>
      </c>
      <c r="D17" s="24">
        <f>17000000-416745</f>
        <v>16583255</v>
      </c>
      <c r="E17" s="24">
        <v>18500000</v>
      </c>
      <c r="F17" s="24">
        <f>17000000+213701-18991+3298+121914</f>
        <v>17319922</v>
      </c>
      <c r="G17" s="24">
        <v>16720000</v>
      </c>
      <c r="H17" s="24">
        <v>18220000</v>
      </c>
      <c r="I17" s="24">
        <f>16720000+271380</f>
        <v>16991380</v>
      </c>
      <c r="J17" s="24">
        <f>17220000+271380+322928</f>
        <v>17814308</v>
      </c>
      <c r="K17" s="24">
        <f>18720000+271380+78423</f>
        <v>19069803</v>
      </c>
      <c r="L17" s="24">
        <f>16720000+271380</f>
        <v>16991380</v>
      </c>
      <c r="M17" s="24">
        <f>16720000+271380</f>
        <v>16991380</v>
      </c>
      <c r="N17" s="24">
        <f>16603347+240061+149150+271372</f>
        <v>17263930</v>
      </c>
      <c r="O17" s="25">
        <f t="shared" si="3"/>
        <v>208965358</v>
      </c>
      <c r="P17" s="26">
        <v>208965358</v>
      </c>
      <c r="Q17" s="27">
        <f t="shared" si="1"/>
        <v>0</v>
      </c>
    </row>
    <row r="18" spans="1:17" s="28" customFormat="1" ht="14.1" customHeight="1" x14ac:dyDescent="0.2">
      <c r="A18" s="22" t="s">
        <v>45</v>
      </c>
      <c r="B18" s="32" t="s">
        <v>46</v>
      </c>
      <c r="C18" s="24">
        <v>80000000</v>
      </c>
      <c r="D18" s="24">
        <v>75000000</v>
      </c>
      <c r="E18" s="24">
        <v>77400000</v>
      </c>
      <c r="F18" s="24">
        <f>83000000+44100-83792-8245+60000+302293</f>
        <v>83314356</v>
      </c>
      <c r="G18" s="24">
        <f>71000000-36509260</f>
        <v>34490740</v>
      </c>
      <c r="H18" s="24">
        <v>74000000</v>
      </c>
      <c r="I18" s="24">
        <f>77500000+1585967+64000</f>
        <v>79149967</v>
      </c>
      <c r="J18" s="24">
        <f>76000000+1585967+1397115</f>
        <v>78983082</v>
      </c>
      <c r="K18" s="24">
        <f>80500000+1585967</f>
        <v>82085967</v>
      </c>
      <c r="L18" s="24">
        <f>76071448+1585967</f>
        <v>77657415</v>
      </c>
      <c r="M18" s="24">
        <f>75300000+1585967</f>
        <v>76885967</v>
      </c>
      <c r="N18" s="24">
        <f>70149605+1585964</f>
        <v>71735569</v>
      </c>
      <c r="O18" s="25">
        <f t="shared" si="3"/>
        <v>890703063</v>
      </c>
      <c r="P18" s="26">
        <v>890703063</v>
      </c>
      <c r="Q18" s="27">
        <f t="shared" si="1"/>
        <v>0</v>
      </c>
    </row>
    <row r="19" spans="1:17" s="28" customFormat="1" ht="14.1" customHeight="1" x14ac:dyDescent="0.2">
      <c r="A19" s="22" t="s">
        <v>47</v>
      </c>
      <c r="B19" s="32" t="s">
        <v>48</v>
      </c>
      <c r="C19" s="24">
        <v>5100000</v>
      </c>
      <c r="D19" s="24">
        <v>5200000</v>
      </c>
      <c r="E19" s="24">
        <v>5400000</v>
      </c>
      <c r="F19" s="24">
        <v>5300000</v>
      </c>
      <c r="G19" s="24">
        <v>5150000</v>
      </c>
      <c r="H19" s="24">
        <v>5000000</v>
      </c>
      <c r="I19" s="24">
        <v>5000000</v>
      </c>
      <c r="J19" s="24">
        <v>15000000</v>
      </c>
      <c r="K19" s="24">
        <v>5000000</v>
      </c>
      <c r="L19" s="24">
        <v>5100000</v>
      </c>
      <c r="M19" s="24">
        <f>15000000+1805000</f>
        <v>16805000</v>
      </c>
      <c r="N19" s="24">
        <f>21000000+67507000</f>
        <v>88507000</v>
      </c>
      <c r="O19" s="31">
        <f t="shared" si="3"/>
        <v>166562000</v>
      </c>
      <c r="P19" s="26">
        <v>166562000</v>
      </c>
      <c r="Q19" s="27">
        <f t="shared" si="1"/>
        <v>0</v>
      </c>
    </row>
    <row r="20" spans="1:17" s="28" customFormat="1" ht="14.1" customHeight="1" x14ac:dyDescent="0.2">
      <c r="A20" s="22" t="s">
        <v>49</v>
      </c>
      <c r="B20" s="32" t="s">
        <v>50</v>
      </c>
      <c r="C20" s="24"/>
      <c r="D20" s="24"/>
      <c r="E20" s="24">
        <v>10000000</v>
      </c>
      <c r="F20" s="24">
        <v>12000000</v>
      </c>
      <c r="G20" s="24">
        <f>18869819+86500</f>
        <v>18956319</v>
      </c>
      <c r="H20" s="24">
        <v>20000000</v>
      </c>
      <c r="I20" s="24">
        <v>15000000</v>
      </c>
      <c r="J20" s="24">
        <v>14000000</v>
      </c>
      <c r="K20" s="24">
        <v>15000000</v>
      </c>
      <c r="L20" s="24">
        <v>20000000</v>
      </c>
      <c r="M20" s="24">
        <v>15000000</v>
      </c>
      <c r="N20" s="24">
        <v>12261084</v>
      </c>
      <c r="O20" s="31">
        <f t="shared" si="3"/>
        <v>152217403</v>
      </c>
      <c r="P20" s="26">
        <v>152217403</v>
      </c>
      <c r="Q20" s="27">
        <f t="shared" si="1"/>
        <v>0</v>
      </c>
    </row>
    <row r="21" spans="1:17" s="28" customFormat="1" ht="14.1" customHeight="1" x14ac:dyDescent="0.2">
      <c r="A21" s="22" t="s">
        <v>51</v>
      </c>
      <c r="B21" s="32" t="s">
        <v>52</v>
      </c>
      <c r="C21" s="24">
        <v>3000000</v>
      </c>
      <c r="D21" s="24">
        <v>3000000</v>
      </c>
      <c r="E21" s="24">
        <v>40000000</v>
      </c>
      <c r="F21" s="24">
        <f>3000000-60000</f>
        <v>2940000</v>
      </c>
      <c r="G21" s="24">
        <v>77123107</v>
      </c>
      <c r="H21" s="24">
        <v>37753786</v>
      </c>
      <c r="I21" s="24">
        <f>63000000+1598336</f>
        <v>64598336</v>
      </c>
      <c r="J21" s="24">
        <f>8000000+752475</f>
        <v>8752475</v>
      </c>
      <c r="K21" s="24">
        <v>50000000</v>
      </c>
      <c r="L21" s="24">
        <v>30481603</v>
      </c>
      <c r="M21" s="24">
        <f>15000000+6716258</f>
        <v>21716258</v>
      </c>
      <c r="N21" s="24">
        <v>5000000</v>
      </c>
      <c r="O21" s="25">
        <f t="shared" si="3"/>
        <v>344365565</v>
      </c>
      <c r="P21" s="47">
        <v>344365565</v>
      </c>
      <c r="Q21" s="27">
        <f t="shared" si="1"/>
        <v>0</v>
      </c>
    </row>
    <row r="22" spans="1:17" s="28" customFormat="1" x14ac:dyDescent="0.2">
      <c r="A22" s="22" t="s">
        <v>53</v>
      </c>
      <c r="B22" s="23" t="s">
        <v>54</v>
      </c>
      <c r="C22" s="24">
        <v>1000000</v>
      </c>
      <c r="D22" s="24">
        <v>10000000</v>
      </c>
      <c r="E22" s="24">
        <v>5000000</v>
      </c>
      <c r="F22" s="24">
        <v>7000000</v>
      </c>
      <c r="G22" s="24">
        <v>30000000</v>
      </c>
      <c r="H22" s="24">
        <v>10000000</v>
      </c>
      <c r="I22" s="24">
        <f>50000000+3000000</f>
        <v>53000000</v>
      </c>
      <c r="J22" s="24">
        <v>12000000</v>
      </c>
      <c r="K22" s="24">
        <v>87902555</v>
      </c>
      <c r="L22" s="24">
        <f>3000000+3000000</f>
        <v>6000000</v>
      </c>
      <c r="M22" s="24">
        <f>2810962+48165993</f>
        <v>50976955</v>
      </c>
      <c r="N22" s="24">
        <f>2000000+3194292</f>
        <v>5194292</v>
      </c>
      <c r="O22" s="25">
        <f t="shared" si="3"/>
        <v>278073802</v>
      </c>
      <c r="P22" s="26">
        <v>278073802</v>
      </c>
      <c r="Q22" s="27">
        <f t="shared" si="1"/>
        <v>0</v>
      </c>
    </row>
    <row r="23" spans="1:17" s="28" customFormat="1" ht="14.1" customHeight="1" x14ac:dyDescent="0.2">
      <c r="A23" s="22" t="s">
        <v>55</v>
      </c>
      <c r="B23" s="32" t="s">
        <v>56</v>
      </c>
      <c r="C23" s="24"/>
      <c r="D23" s="24"/>
      <c r="E23" s="24">
        <v>34286575</v>
      </c>
      <c r="F23" s="24"/>
      <c r="G23" s="24"/>
      <c r="H23" s="24">
        <f>9221949+100000+510000</f>
        <v>9831949</v>
      </c>
      <c r="I23" s="24">
        <f>3094850+1988342</f>
        <v>5083192</v>
      </c>
      <c r="J23" s="24">
        <v>17119005</v>
      </c>
      <c r="K23" s="24"/>
      <c r="L23" s="24"/>
      <c r="M23" s="24"/>
      <c r="N23" s="24"/>
      <c r="O23" s="25">
        <f t="shared" si="3"/>
        <v>66320721</v>
      </c>
      <c r="P23" s="26">
        <v>66320721</v>
      </c>
      <c r="Q23" s="27">
        <f t="shared" si="1"/>
        <v>0</v>
      </c>
    </row>
    <row r="24" spans="1:17" s="28" customFormat="1" ht="14.1" customHeight="1" x14ac:dyDescent="0.2">
      <c r="A24" s="22" t="s">
        <v>57</v>
      </c>
      <c r="B24" s="32" t="s">
        <v>58</v>
      </c>
      <c r="C24" s="24"/>
      <c r="D24" s="24"/>
      <c r="E24" s="24">
        <v>3000000</v>
      </c>
      <c r="F24" s="24">
        <v>978295</v>
      </c>
      <c r="G24" s="24">
        <v>3900000</v>
      </c>
      <c r="H24" s="24">
        <f>9100000+1016142-1630000-510000</f>
        <v>7976142</v>
      </c>
      <c r="I24" s="24">
        <v>7100000</v>
      </c>
      <c r="J24" s="24">
        <v>8100000</v>
      </c>
      <c r="K24" s="24">
        <v>3900000</v>
      </c>
      <c r="L24" s="24">
        <f>8100000-146490</f>
        <v>7953510</v>
      </c>
      <c r="M24" s="24">
        <v>14246522</v>
      </c>
      <c r="N24" s="24">
        <v>7002661</v>
      </c>
      <c r="O24" s="25">
        <f t="shared" si="3"/>
        <v>64157130</v>
      </c>
      <c r="P24" s="26">
        <v>64157130</v>
      </c>
      <c r="Q24" s="27">
        <f t="shared" si="1"/>
        <v>0</v>
      </c>
    </row>
    <row r="25" spans="1:17" s="28" customFormat="1" ht="14.1" customHeight="1" thickBot="1" x14ac:dyDescent="0.25">
      <c r="A25" s="22" t="s">
        <v>59</v>
      </c>
      <c r="B25" s="32" t="s">
        <v>60</v>
      </c>
      <c r="C25" s="33">
        <v>38167591</v>
      </c>
      <c r="D25" s="33"/>
      <c r="E25" s="33">
        <v>2121676</v>
      </c>
      <c r="F25" s="24"/>
      <c r="G25" s="33"/>
      <c r="H25" s="24">
        <v>2121676</v>
      </c>
      <c r="I25" s="24"/>
      <c r="J25" s="24"/>
      <c r="K25" s="24">
        <v>2121676</v>
      </c>
      <c r="L25" s="24">
        <v>30000000</v>
      </c>
      <c r="M25" s="24"/>
      <c r="N25" s="24">
        <v>72121676</v>
      </c>
      <c r="O25" s="31">
        <f t="shared" si="3"/>
        <v>146654295</v>
      </c>
      <c r="P25" s="34">
        <v>146654295</v>
      </c>
      <c r="Q25" s="35">
        <f t="shared" si="1"/>
        <v>0</v>
      </c>
    </row>
    <row r="26" spans="1:17" s="15" customFormat="1" ht="15.95" customHeight="1" thickBot="1" x14ac:dyDescent="0.25">
      <c r="A26" s="48" t="s">
        <v>61</v>
      </c>
      <c r="B26" s="36" t="s">
        <v>62</v>
      </c>
      <c r="C26" s="37">
        <f t="shared" ref="C26:N26" si="4">SUM(C16:C25)</f>
        <v>223767591</v>
      </c>
      <c r="D26" s="37">
        <f t="shared" si="4"/>
        <v>190213419</v>
      </c>
      <c r="E26" s="37">
        <f t="shared" si="4"/>
        <v>278808251</v>
      </c>
      <c r="F26" s="37">
        <f t="shared" si="4"/>
        <v>211439108</v>
      </c>
      <c r="G26" s="37">
        <f t="shared" si="4"/>
        <v>267340166</v>
      </c>
      <c r="H26" s="37">
        <f t="shared" si="4"/>
        <v>267903553</v>
      </c>
      <c r="I26" s="37">
        <f t="shared" si="4"/>
        <v>328204252</v>
      </c>
      <c r="J26" s="37">
        <f t="shared" si="4"/>
        <v>256706247</v>
      </c>
      <c r="K26" s="37">
        <f t="shared" si="4"/>
        <v>352289670</v>
      </c>
      <c r="L26" s="37">
        <f t="shared" si="4"/>
        <v>276465285</v>
      </c>
      <c r="M26" s="37">
        <f t="shared" si="4"/>
        <v>294903459</v>
      </c>
      <c r="N26" s="37">
        <f t="shared" si="4"/>
        <v>362187839</v>
      </c>
      <c r="O26" s="38">
        <f t="shared" si="3"/>
        <v>3310228840</v>
      </c>
      <c r="P26" s="39">
        <f>SUM(P16:P25)</f>
        <v>3310228840</v>
      </c>
      <c r="Q26" s="40">
        <f t="shared" si="1"/>
        <v>0</v>
      </c>
    </row>
    <row r="27" spans="1:17" ht="16.5" thickBot="1" x14ac:dyDescent="0.3">
      <c r="A27" s="48" t="s">
        <v>63</v>
      </c>
      <c r="B27" s="49" t="s">
        <v>64</v>
      </c>
      <c r="C27" s="50">
        <f t="shared" ref="C27:O27" si="5">C14-C26</f>
        <v>482228234</v>
      </c>
      <c r="D27" s="50">
        <f t="shared" si="5"/>
        <v>33486581</v>
      </c>
      <c r="E27" s="50">
        <f t="shared" si="5"/>
        <v>-8323651</v>
      </c>
      <c r="F27" s="50">
        <f t="shared" si="5"/>
        <v>49340119</v>
      </c>
      <c r="G27" s="50">
        <f t="shared" si="5"/>
        <v>-104515655</v>
      </c>
      <c r="H27" s="50">
        <f t="shared" si="5"/>
        <v>-55255560</v>
      </c>
      <c r="I27" s="50">
        <f t="shared" si="5"/>
        <v>-91747678</v>
      </c>
      <c r="J27" s="50">
        <f t="shared" si="5"/>
        <v>-48066247</v>
      </c>
      <c r="K27" s="50">
        <f t="shared" si="5"/>
        <v>-33000643</v>
      </c>
      <c r="L27" s="50">
        <f t="shared" si="5"/>
        <v>-71160035</v>
      </c>
      <c r="M27" s="50">
        <f t="shared" si="5"/>
        <v>-61826336</v>
      </c>
      <c r="N27" s="50">
        <f t="shared" si="5"/>
        <v>-91159129</v>
      </c>
      <c r="O27" s="51">
        <f t="shared" si="5"/>
        <v>0</v>
      </c>
    </row>
    <row r="28" spans="1:17" x14ac:dyDescent="0.25">
      <c r="A28" s="52"/>
    </row>
    <row r="29" spans="1:17" x14ac:dyDescent="0.25">
      <c r="B29" s="53"/>
      <c r="C29" s="54"/>
      <c r="D29" s="54"/>
      <c r="O29" s="4"/>
    </row>
    <row r="30" spans="1:17" x14ac:dyDescent="0.25">
      <c r="O30" s="4"/>
    </row>
    <row r="31" spans="1:17" x14ac:dyDescent="0.25">
      <c r="O31" s="4"/>
    </row>
    <row r="32" spans="1:17" x14ac:dyDescent="0.25">
      <c r="O32" s="4"/>
    </row>
    <row r="33" spans="15:15" x14ac:dyDescent="0.25">
      <c r="O33" s="4"/>
    </row>
    <row r="34" spans="15:15" x14ac:dyDescent="0.25">
      <c r="O34" s="4"/>
    </row>
    <row r="35" spans="15:15" x14ac:dyDescent="0.25">
      <c r="O35" s="4"/>
    </row>
    <row r="36" spans="15:15" x14ac:dyDescent="0.25">
      <c r="O36" s="4"/>
    </row>
    <row r="37" spans="15:15" x14ac:dyDescent="0.25">
      <c r="O37" s="4"/>
    </row>
    <row r="38" spans="15:15" x14ac:dyDescent="0.25">
      <c r="O38" s="4"/>
    </row>
    <row r="39" spans="15:15" x14ac:dyDescent="0.25">
      <c r="O39" s="4"/>
    </row>
    <row r="40" spans="15:15" x14ac:dyDescent="0.25">
      <c r="O40" s="4"/>
    </row>
    <row r="41" spans="15:15" x14ac:dyDescent="0.25">
      <c r="O41" s="4"/>
    </row>
    <row r="42" spans="15:15" x14ac:dyDescent="0.25">
      <c r="O42" s="4"/>
    </row>
    <row r="43" spans="15:15" x14ac:dyDescent="0.25">
      <c r="O43" s="4"/>
    </row>
    <row r="44" spans="15:15" x14ac:dyDescent="0.25">
      <c r="O44" s="4"/>
    </row>
    <row r="45" spans="15:15" x14ac:dyDescent="0.25">
      <c r="O45" s="4"/>
    </row>
    <row r="46" spans="15:15" x14ac:dyDescent="0.25">
      <c r="O46" s="4"/>
    </row>
    <row r="47" spans="15:15" x14ac:dyDescent="0.25">
      <c r="O47" s="4"/>
    </row>
    <row r="48" spans="15:15" x14ac:dyDescent="0.25">
      <c r="O48" s="4"/>
    </row>
    <row r="49" spans="15:15" x14ac:dyDescent="0.25">
      <c r="O49" s="4"/>
    </row>
    <row r="50" spans="15:15" x14ac:dyDescent="0.25">
      <c r="O50" s="4"/>
    </row>
    <row r="51" spans="15:15" x14ac:dyDescent="0.25">
      <c r="O51" s="4"/>
    </row>
    <row r="52" spans="15:15" x14ac:dyDescent="0.25">
      <c r="O52" s="4"/>
    </row>
    <row r="53" spans="15:15" x14ac:dyDescent="0.25">
      <c r="O53" s="4"/>
    </row>
    <row r="54" spans="15:15" x14ac:dyDescent="0.25">
      <c r="O54" s="4"/>
    </row>
    <row r="55" spans="15:15" x14ac:dyDescent="0.25">
      <c r="O55" s="4"/>
    </row>
    <row r="56" spans="15:15" x14ac:dyDescent="0.25">
      <c r="O56" s="4"/>
    </row>
    <row r="57" spans="15:15" x14ac:dyDescent="0.25">
      <c r="O57" s="4"/>
    </row>
    <row r="58" spans="15:15" x14ac:dyDescent="0.25">
      <c r="O58" s="4"/>
    </row>
    <row r="59" spans="15:15" x14ac:dyDescent="0.25">
      <c r="O59" s="4"/>
    </row>
    <row r="60" spans="15:15" x14ac:dyDescent="0.25">
      <c r="O60" s="4"/>
    </row>
    <row r="61" spans="15:15" x14ac:dyDescent="0.25">
      <c r="O61" s="4"/>
    </row>
    <row r="62" spans="15:15" x14ac:dyDescent="0.25">
      <c r="O62" s="4"/>
    </row>
    <row r="63" spans="15:15" x14ac:dyDescent="0.25">
      <c r="O63" s="4"/>
    </row>
    <row r="64" spans="15:15" x14ac:dyDescent="0.25">
      <c r="O64" s="4"/>
    </row>
    <row r="65" spans="15:15" x14ac:dyDescent="0.25">
      <c r="O65" s="4"/>
    </row>
    <row r="66" spans="15:15" x14ac:dyDescent="0.25">
      <c r="O66" s="4"/>
    </row>
    <row r="67" spans="15:15" x14ac:dyDescent="0.25">
      <c r="O67" s="4"/>
    </row>
    <row r="68" spans="15:15" x14ac:dyDescent="0.25">
      <c r="O68" s="4"/>
    </row>
    <row r="69" spans="15:15" x14ac:dyDescent="0.25">
      <c r="O69" s="4"/>
    </row>
    <row r="70" spans="15:15" x14ac:dyDescent="0.25">
      <c r="O70" s="4"/>
    </row>
    <row r="71" spans="15:15" x14ac:dyDescent="0.25">
      <c r="O71" s="4"/>
    </row>
    <row r="72" spans="15:15" x14ac:dyDescent="0.25">
      <c r="O72" s="4"/>
    </row>
    <row r="73" spans="15:15" x14ac:dyDescent="0.25">
      <c r="O73" s="4"/>
    </row>
    <row r="74" spans="15:15" x14ac:dyDescent="0.25">
      <c r="O74" s="4"/>
    </row>
    <row r="75" spans="15:15" x14ac:dyDescent="0.25">
      <c r="O75" s="4"/>
    </row>
    <row r="76" spans="15:15" x14ac:dyDescent="0.25">
      <c r="O76" s="4"/>
    </row>
    <row r="77" spans="15:15" x14ac:dyDescent="0.25">
      <c r="O77" s="4"/>
    </row>
    <row r="78" spans="15:15" x14ac:dyDescent="0.25">
      <c r="O78" s="4"/>
    </row>
    <row r="79" spans="15:15" x14ac:dyDescent="0.25">
      <c r="O79" s="4"/>
    </row>
    <row r="80" spans="15:15" x14ac:dyDescent="0.25">
      <c r="O80" s="4"/>
    </row>
    <row r="81" spans="15:15" x14ac:dyDescent="0.25">
      <c r="O81" s="4"/>
    </row>
    <row r="82" spans="15:15" x14ac:dyDescent="0.25">
      <c r="O82" s="4"/>
    </row>
  </sheetData>
  <mergeCells count="3">
    <mergeCell ref="A1:O1"/>
    <mergeCell ref="B4:O4"/>
    <mergeCell ref="B15:O15"/>
  </mergeCells>
  <printOptions horizontalCentered="1"/>
  <pageMargins left="0.78740157480314965" right="0.78740157480314965" top="1.0687500000000001" bottom="0.98425196850393704" header="0.78740157480314965" footer="0.78740157480314965"/>
  <pageSetup paperSize="9" scale="77" orientation="landscape" r:id="rId1"/>
  <headerFooter alignWithMargins="0">
    <oddHeader>&amp;R&amp;"Times New Roman CE,Dőlt"&amp;11 28. melléklet a 15/2018.(VI.29.) önkormányzati rendelethez
TÁJÉKOZTATÓ TÁBLA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4.sz tájékoztató 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2018-06-29T06:27:00Z</dcterms:created>
  <dcterms:modified xsi:type="dcterms:W3CDTF">2018-06-29T06:27:01Z</dcterms:modified>
</cp:coreProperties>
</file>