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576" windowHeight="7752" firstSheet="22" activeTab="23"/>
  </bookViews>
  <sheets>
    <sheet name="Tart." sheetId="50" r:id="rId1"/>
    <sheet name="1.mell. Mérleg" sheetId="17" r:id="rId2"/>
    <sheet name="2.mell. Mérleg" sheetId="18" r:id="rId3"/>
    <sheet name="3.mell. Bevétel" sheetId="9" r:id="rId4"/>
    <sheet name="3.a átvett pe." sheetId="43" r:id="rId5"/>
    <sheet name="3.b mell. Működési bevételek" sheetId="44" r:id="rId6"/>
    <sheet name="3.c. mell. Közhatalmi bevételek" sheetId="45" r:id="rId7"/>
    <sheet name="4.mell. Normatíva" sheetId="46" r:id="rId8"/>
    <sheet name="5. mell. Önk.össz kiadás" sheetId="8" r:id="rId9"/>
    <sheet name="5.a. mell. Jogalkotás" sheetId="1" r:id="rId10"/>
    <sheet name="5.b. mell. VF saját forrásból" sheetId="41" r:id="rId11"/>
    <sheet name="5.c. mell. VF Eu forrásból" sheetId="5" r:id="rId12"/>
    <sheet name="5.d. mell. Védőnő, EÜ" sheetId="6" r:id="rId13"/>
    <sheet name="5.e. mell. Szociális ellátások" sheetId="37" r:id="rId14"/>
    <sheet name="5.f. mell. Átadott pénzeszk." sheetId="40" r:id="rId15"/>
    <sheet name="5.g. mell. Egyéb tev." sheetId="7" r:id="rId16"/>
    <sheet name="6. mell. Int.összesen" sheetId="15" r:id="rId17"/>
    <sheet name="6.a. mell. PH" sheetId="14" r:id="rId18"/>
    <sheet name="6.b. mell. Óvoda" sheetId="16" r:id="rId19"/>
    <sheet name="6.c. mell. BBKP" sheetId="12" r:id="rId20"/>
    <sheet name="7.mell. Beruházás" sheetId="19" r:id="rId21"/>
    <sheet name="8.mell. Felújítás" sheetId="20" r:id="rId22"/>
    <sheet name="9.mell. Létszámok" sheetId="21" r:id="rId23"/>
    <sheet name="10. mell. Több éves kihat" sheetId="29" r:id="rId24"/>
    <sheet name="11.mell. Ei felhaszn." sheetId="30" r:id="rId25"/>
    <sheet name="12.a Tételes mód ÖNK" sheetId="51" r:id="rId26"/>
    <sheet name="12.b Tételes mód PH" sheetId="52" r:id="rId27"/>
    <sheet name="12.c Tételes mód. Óvoda " sheetId="53" r:id="rId28"/>
    <sheet name="12.d Tételes mód. BBK" sheetId="54" r:id="rId29"/>
    <sheet name="12.e Konszolidált módosítás" sheetId="56" r:id="rId30"/>
    <sheet name="Munka1" sheetId="57" r:id="rId31"/>
  </sheets>
  <externalReferences>
    <externalReference r:id="rId32"/>
    <externalReference r:id="rId33"/>
    <externalReference r:id="rId34"/>
    <externalReference r:id="rId35"/>
  </externalReferences>
  <definedNames>
    <definedName name="kst" localSheetId="25">#REF!</definedName>
    <definedName name="kst" localSheetId="26">#REF!</definedName>
    <definedName name="kst" localSheetId="27">#REF!</definedName>
    <definedName name="kst" localSheetId="28">#REF!</definedName>
    <definedName name="kst" localSheetId="29">#REF!</definedName>
    <definedName name="kst" localSheetId="4">#REF!</definedName>
    <definedName name="kst" localSheetId="5">#REF!</definedName>
    <definedName name="kst" localSheetId="6">#REF!</definedName>
    <definedName name="kst">#REF!</definedName>
    <definedName name="nev">[1]kod!$CD$8:$CD$3150</definedName>
    <definedName name="_xlnm.Print_Titles" localSheetId="25">'12.a Tételes mód ÖNK'!$2:$4</definedName>
    <definedName name="_xlnm.Print_Titles" localSheetId="26">'12.b Tételes mód PH'!$2:$4</definedName>
    <definedName name="_xlnm.Print_Titles" localSheetId="28">'12.d Tételes mód. BBK'!$2:$5</definedName>
    <definedName name="_xlnm.Print_Titles" localSheetId="7">'4.mell. Normatíva'!$A:$A</definedName>
    <definedName name="_xlnm.Print_Titles" localSheetId="8">'5. mell. Önk.össz kiadás'!$A:$C</definedName>
    <definedName name="_xlnm.Print_Titles" localSheetId="9">'5.a. mell. Jogalkotás'!$2:$4</definedName>
    <definedName name="_xlnm.Print_Titles" localSheetId="10">'5.b. mell. VF saját forrásból'!$A:$C,'5.b. mell. VF saját forrásból'!$1:$4</definedName>
    <definedName name="_xlnm.Print_Titles" localSheetId="11">'5.c. mell. VF Eu forrásból'!$1:$4</definedName>
    <definedName name="_xlnm.Print_Titles" localSheetId="12">'5.d. mell. Védőnő, EÜ'!$1:$4</definedName>
    <definedName name="_xlnm.Print_Titles" localSheetId="15">'5.g. mell. Egyéb tev.'!$A:$C</definedName>
    <definedName name="_xlnm.Print_Titles" localSheetId="16">'6. mell. Int.összesen'!#REF!</definedName>
    <definedName name="_xlnm.Print_Titles" localSheetId="17">'6.a. mell. PH'!$1:$4</definedName>
    <definedName name="_xlnm.Print_Titles" localSheetId="18">'6.b. mell. Óvoda'!$1:$4</definedName>
    <definedName name="_xlnm.Print_Titles" localSheetId="19">'6.c. mell. BBKP'!$1:$4</definedName>
    <definedName name="_xlnm.Print_Area" localSheetId="27">'12.c Tételes mód. Óvoda '!$A$1:$AD$25</definedName>
    <definedName name="_xlnm.Print_Area" localSheetId="28">'12.d Tételes mód. BBK'!$A$1:$AC$29</definedName>
    <definedName name="_xlnm.Print_Area" localSheetId="2">'2.mell. Mérleg'!$A$1:$H$28</definedName>
    <definedName name="onev" localSheetId="7">[2]kod!$BT$34:$BT$3184</definedName>
    <definedName name="onev">[3]kod!$BT$34:$BT$3184</definedName>
    <definedName name="w" localSheetId="25">#REF!</definedName>
    <definedName name="w" localSheetId="26">#REF!</definedName>
    <definedName name="w" localSheetId="27">#REF!</definedName>
    <definedName name="w" localSheetId="28">#REF!</definedName>
    <definedName name="w" localSheetId="29">#REF!</definedName>
    <definedName name="w">#REF!</definedName>
  </definedNames>
  <calcPr calcId="124519"/>
</workbook>
</file>

<file path=xl/calcChain.xml><?xml version="1.0" encoding="utf-8"?>
<calcChain xmlns="http://schemas.openxmlformats.org/spreadsheetml/2006/main">
  <c r="D31" i="30"/>
  <c r="D33"/>
  <c r="E31"/>
  <c r="E37"/>
  <c r="H31"/>
  <c r="D12"/>
  <c r="AB67" i="7"/>
  <c r="C67" i="9"/>
  <c r="H26" i="20" l="1"/>
  <c r="G26"/>
  <c r="G33" s="1"/>
  <c r="F26"/>
  <c r="E26"/>
  <c r="E33" s="1"/>
  <c r="D26"/>
  <c r="H23"/>
  <c r="G23"/>
  <c r="F23"/>
  <c r="E23"/>
  <c r="D23"/>
  <c r="H22"/>
  <c r="H17"/>
  <c r="G17"/>
  <c r="F17"/>
  <c r="D17"/>
  <c r="C17"/>
  <c r="C33" s="1"/>
  <c r="E14"/>
  <c r="E13"/>
  <c r="E17" s="1"/>
  <c r="D12"/>
  <c r="C12"/>
  <c r="H57" i="19"/>
  <c r="G57"/>
  <c r="F57"/>
  <c r="C57"/>
  <c r="D56"/>
  <c r="E56" s="1"/>
  <c r="D55"/>
  <c r="D57" s="1"/>
  <c r="E53"/>
  <c r="E51"/>
  <c r="E41"/>
  <c r="E40"/>
  <c r="D39"/>
  <c r="E39" s="1"/>
  <c r="E38"/>
  <c r="E37"/>
  <c r="E36"/>
  <c r="E35"/>
  <c r="E34"/>
  <c r="D33"/>
  <c r="D11" s="1"/>
  <c r="D44" s="1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H11"/>
  <c r="H44" s="1"/>
  <c r="H58" s="1"/>
  <c r="G11"/>
  <c r="G44" s="1"/>
  <c r="F11"/>
  <c r="F44" s="1"/>
  <c r="C11"/>
  <c r="C44" s="1"/>
  <c r="C79" i="9"/>
  <c r="D33" i="20" l="1"/>
  <c r="H33"/>
  <c r="E12"/>
  <c r="F33"/>
  <c r="E33" i="19"/>
  <c r="E55"/>
  <c r="E11"/>
  <c r="E44" s="1"/>
  <c r="E57"/>
  <c r="F58"/>
  <c r="D58"/>
  <c r="C58"/>
  <c r="G58"/>
  <c r="E58" l="1"/>
  <c r="D19" i="44"/>
  <c r="D20"/>
  <c r="D14"/>
  <c r="D13"/>
  <c r="D12"/>
  <c r="B27"/>
  <c r="I31" i="30"/>
  <c r="G31"/>
  <c r="F31"/>
  <c r="I33"/>
  <c r="H33"/>
  <c r="G33"/>
  <c r="F33"/>
  <c r="E33"/>
  <c r="D30"/>
  <c r="D29"/>
  <c r="E29"/>
  <c r="I28"/>
  <c r="H28"/>
  <c r="G28"/>
  <c r="F28"/>
  <c r="E28"/>
  <c r="D28"/>
  <c r="I27"/>
  <c r="H27"/>
  <c r="G27"/>
  <c r="F27"/>
  <c r="E27"/>
  <c r="D27"/>
  <c r="I26"/>
  <c r="H26"/>
  <c r="G26"/>
  <c r="F26"/>
  <c r="E26"/>
  <c r="D26"/>
  <c r="I19"/>
  <c r="G11"/>
  <c r="E11"/>
  <c r="I5"/>
  <c r="H5"/>
  <c r="G5"/>
  <c r="F5"/>
  <c r="E5"/>
  <c r="D5"/>
  <c r="I4"/>
  <c r="H4"/>
  <c r="G4"/>
  <c r="F4"/>
  <c r="E4"/>
  <c r="D4"/>
  <c r="E15" i="21"/>
  <c r="E14"/>
  <c r="E13"/>
  <c r="E12"/>
  <c r="E11"/>
  <c r="E9"/>
  <c r="E8"/>
  <c r="E6"/>
  <c r="AE9" i="56" l="1"/>
  <c r="W9"/>
  <c r="V9"/>
  <c r="J9"/>
  <c r="I9"/>
  <c r="H9"/>
  <c r="G9"/>
  <c r="E8"/>
  <c r="E9"/>
  <c r="D9"/>
  <c r="C9"/>
  <c r="AE8"/>
  <c r="AD8"/>
  <c r="AC8"/>
  <c r="Z8"/>
  <c r="Y8"/>
  <c r="V8"/>
  <c r="W8"/>
  <c r="U8"/>
  <c r="H8"/>
  <c r="I8"/>
  <c r="J8"/>
  <c r="G8"/>
  <c r="D8"/>
  <c r="C8"/>
  <c r="AD7"/>
  <c r="AE7"/>
  <c r="AC7"/>
  <c r="Z7"/>
  <c r="AA7"/>
  <c r="Y7"/>
  <c r="U7"/>
  <c r="W7"/>
  <c r="V7"/>
  <c r="H7"/>
  <c r="I7"/>
  <c r="J7"/>
  <c r="G7"/>
  <c r="E7"/>
  <c r="D7"/>
  <c r="C7"/>
  <c r="AE5"/>
  <c r="Y5"/>
  <c r="Z5"/>
  <c r="AA5"/>
  <c r="AB5"/>
  <c r="AC5"/>
  <c r="AD5"/>
  <c r="X5"/>
  <c r="V5"/>
  <c r="U5"/>
  <c r="D5"/>
  <c r="F5"/>
  <c r="H5"/>
  <c r="I5"/>
  <c r="J5"/>
  <c r="K5"/>
  <c r="L5"/>
  <c r="M5"/>
  <c r="N5"/>
  <c r="O5"/>
  <c r="P5"/>
  <c r="Q5"/>
  <c r="R5"/>
  <c r="S5"/>
  <c r="C5"/>
  <c r="D42" i="17" l="1"/>
  <c r="E42"/>
  <c r="C37" i="30" s="1"/>
  <c r="C42" i="17"/>
  <c r="G15" i="18"/>
  <c r="H15"/>
  <c r="F15"/>
  <c r="H14"/>
  <c r="G14"/>
  <c r="G13" s="1"/>
  <c r="F14"/>
  <c r="F13" s="1"/>
  <c r="F67" i="15"/>
  <c r="E67"/>
  <c r="F65"/>
  <c r="G11" i="18"/>
  <c r="H11"/>
  <c r="F11"/>
  <c r="B22"/>
  <c r="C21"/>
  <c r="B21"/>
  <c r="C11"/>
  <c r="D11"/>
  <c r="B11"/>
  <c r="C7"/>
  <c r="C6"/>
  <c r="D6"/>
  <c r="B6"/>
  <c r="C5"/>
  <c r="D5"/>
  <c r="B5"/>
  <c r="C4"/>
  <c r="D4"/>
  <c r="B4"/>
  <c r="E15" i="1"/>
  <c r="AC69" i="7"/>
  <c r="E23" i="1"/>
  <c r="AC66" i="7"/>
  <c r="H13" i="18" l="1"/>
  <c r="AG25" i="51"/>
  <c r="U25"/>
  <c r="AG24"/>
  <c r="U24"/>
  <c r="F102" i="7"/>
  <c r="E102"/>
  <c r="D102"/>
  <c r="F101"/>
  <c r="E101"/>
  <c r="D101"/>
  <c r="F100"/>
  <c r="E100"/>
  <c r="D100"/>
  <c r="F99"/>
  <c r="E99"/>
  <c r="D99"/>
  <c r="F98"/>
  <c r="E98"/>
  <c r="D98"/>
  <c r="F97"/>
  <c r="E97"/>
  <c r="D97"/>
  <c r="F96"/>
  <c r="E96"/>
  <c r="D96"/>
  <c r="F70"/>
  <c r="E70"/>
  <c r="D70"/>
  <c r="E69"/>
  <c r="D69"/>
  <c r="F68"/>
  <c r="E68"/>
  <c r="D68"/>
  <c r="E67"/>
  <c r="D67"/>
  <c r="E66"/>
  <c r="D66"/>
  <c r="F65"/>
  <c r="E65"/>
  <c r="D65"/>
  <c r="F64"/>
  <c r="E64"/>
  <c r="D64"/>
  <c r="F62"/>
  <c r="E62"/>
  <c r="D62"/>
  <c r="F61"/>
  <c r="E61"/>
  <c r="D61"/>
  <c r="F60"/>
  <c r="E60"/>
  <c r="D60"/>
  <c r="F59"/>
  <c r="E59"/>
  <c r="D59"/>
  <c r="F58"/>
  <c r="E58"/>
  <c r="D58"/>
  <c r="F36"/>
  <c r="E36"/>
  <c r="D36"/>
  <c r="F35"/>
  <c r="E35"/>
  <c r="D35"/>
  <c r="F34"/>
  <c r="E34"/>
  <c r="D34"/>
  <c r="F33"/>
  <c r="E33"/>
  <c r="D33"/>
  <c r="F32"/>
  <c r="E32"/>
  <c r="D32"/>
  <c r="F31"/>
  <c r="E31"/>
  <c r="D31"/>
  <c r="F30"/>
  <c r="E30"/>
  <c r="D30"/>
  <c r="F29"/>
  <c r="E29"/>
  <c r="D29"/>
  <c r="F28"/>
  <c r="E28"/>
  <c r="D28"/>
  <c r="F27"/>
  <c r="E27"/>
  <c r="D27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7"/>
  <c r="E17"/>
  <c r="D17"/>
  <c r="F16"/>
  <c r="E16"/>
  <c r="D16"/>
  <c r="F15"/>
  <c r="E15"/>
  <c r="D15"/>
  <c r="F14"/>
  <c r="E14"/>
  <c r="D14"/>
  <c r="F13"/>
  <c r="E13"/>
  <c r="D13"/>
  <c r="F12"/>
  <c r="E12"/>
  <c r="D12"/>
  <c r="F10"/>
  <c r="E10"/>
  <c r="D10"/>
  <c r="F8"/>
  <c r="E8"/>
  <c r="D8"/>
  <c r="F7"/>
  <c r="E7"/>
  <c r="D7"/>
  <c r="E6"/>
  <c r="F6"/>
  <c r="D6"/>
  <c r="AD102"/>
  <c r="AC102"/>
  <c r="AB102"/>
  <c r="W27" i="8"/>
  <c r="X25"/>
  <c r="W25"/>
  <c r="V25"/>
  <c r="X18"/>
  <c r="W18"/>
  <c r="V18"/>
  <c r="L23"/>
  <c r="K23"/>
  <c r="J23"/>
  <c r="AC101" i="7"/>
  <c r="D24" i="17" l="1"/>
  <c r="E24"/>
  <c r="C20" i="30" s="1"/>
  <c r="D23" i="17"/>
  <c r="E23"/>
  <c r="C19" i="30" s="1"/>
  <c r="C24" i="17"/>
  <c r="C23"/>
  <c r="D13"/>
  <c r="E13"/>
  <c r="C11" i="30" s="1"/>
  <c r="C13" i="17"/>
  <c r="Z52" i="41"/>
  <c r="T52"/>
  <c r="T46"/>
  <c r="E29" i="1"/>
  <c r="D14" i="40"/>
  <c r="M28"/>
  <c r="L28"/>
  <c r="H28"/>
  <c r="N28" s="1"/>
  <c r="D19" i="9"/>
  <c r="W6" i="7"/>
  <c r="G43" i="46"/>
  <c r="D43"/>
  <c r="H38"/>
  <c r="I38"/>
  <c r="J38"/>
  <c r="B13"/>
  <c r="I44" l="1"/>
  <c r="H44"/>
  <c r="G44"/>
  <c r="F44"/>
  <c r="E44"/>
  <c r="D44"/>
  <c r="C44"/>
  <c r="B44"/>
  <c r="G36"/>
  <c r="G35"/>
  <c r="G34"/>
  <c r="G33"/>
  <c r="G32"/>
  <c r="G31"/>
  <c r="G30"/>
  <c r="G29"/>
  <c r="G27"/>
  <c r="G25"/>
  <c r="G23"/>
  <c r="G22"/>
  <c r="G20"/>
  <c r="G19"/>
  <c r="G18"/>
  <c r="G17"/>
  <c r="G15"/>
  <c r="G14"/>
  <c r="G12"/>
  <c r="G11"/>
  <c r="G10"/>
  <c r="G9"/>
  <c r="G8"/>
  <c r="G7"/>
  <c r="G6"/>
  <c r="G5"/>
  <c r="G4"/>
  <c r="G3"/>
  <c r="D41"/>
  <c r="D40"/>
  <c r="D39"/>
  <c r="D38"/>
  <c r="D37"/>
  <c r="D26"/>
  <c r="D25"/>
  <c r="D23"/>
  <c r="D22"/>
  <c r="D20"/>
  <c r="D19"/>
  <c r="D18"/>
  <c r="D17"/>
  <c r="D15"/>
  <c r="D14"/>
  <c r="D12"/>
  <c r="D11"/>
  <c r="D10"/>
  <c r="D9"/>
  <c r="D8"/>
  <c r="D7"/>
  <c r="D6"/>
  <c r="D5"/>
  <c r="D4"/>
  <c r="D3"/>
  <c r="I43"/>
  <c r="I42"/>
  <c r="I41"/>
  <c r="I40"/>
  <c r="I39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2"/>
  <c r="I11"/>
  <c r="I10"/>
  <c r="I9"/>
  <c r="I8"/>
  <c r="I7"/>
  <c r="I6"/>
  <c r="I5"/>
  <c r="I4"/>
  <c r="I3"/>
  <c r="I13" s="1"/>
  <c r="H64"/>
  <c r="H43"/>
  <c r="H42"/>
  <c r="H41"/>
  <c r="H40"/>
  <c r="H39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2"/>
  <c r="H11"/>
  <c r="H10"/>
  <c r="H9"/>
  <c r="H8"/>
  <c r="H7"/>
  <c r="H6"/>
  <c r="H5"/>
  <c r="H4"/>
  <c r="H3"/>
  <c r="H13" s="1"/>
  <c r="E37"/>
  <c r="E27"/>
  <c r="E28" s="1"/>
  <c r="E24"/>
  <c r="E21"/>
  <c r="E13"/>
  <c r="B27"/>
  <c r="B28" s="1"/>
  <c r="B24"/>
  <c r="B21"/>
  <c r="B16"/>
  <c r="M30" i="40" l="1"/>
  <c r="L30"/>
  <c r="K30"/>
  <c r="H30"/>
  <c r="N30" s="1"/>
  <c r="F58" i="41"/>
  <c r="E58"/>
  <c r="D58"/>
  <c r="F57"/>
  <c r="E57"/>
  <c r="D57"/>
  <c r="F56"/>
  <c r="E56"/>
  <c r="D56"/>
  <c r="F55"/>
  <c r="E55"/>
  <c r="D55"/>
  <c r="E52"/>
  <c r="D52"/>
  <c r="F51"/>
  <c r="E51"/>
  <c r="D51"/>
  <c r="F50"/>
  <c r="E50"/>
  <c r="D50"/>
  <c r="F49"/>
  <c r="E49"/>
  <c r="D49"/>
  <c r="F48"/>
  <c r="E48"/>
  <c r="D48"/>
  <c r="E47"/>
  <c r="D47"/>
  <c r="E46"/>
  <c r="D46"/>
  <c r="X64"/>
  <c r="W64"/>
  <c r="W66" s="1"/>
  <c r="V64"/>
  <c r="W59"/>
  <c r="V59"/>
  <c r="X58"/>
  <c r="X57"/>
  <c r="X56"/>
  <c r="X55"/>
  <c r="X59" s="1"/>
  <c r="W53"/>
  <c r="V53"/>
  <c r="X52"/>
  <c r="X53" s="1"/>
  <c r="X51"/>
  <c r="X50"/>
  <c r="X49"/>
  <c r="X48"/>
  <c r="X47"/>
  <c r="X46"/>
  <c r="X34"/>
  <c r="X35" s="1"/>
  <c r="W34"/>
  <c r="V34"/>
  <c r="V35" s="1"/>
  <c r="X28"/>
  <c r="W28"/>
  <c r="W35" s="1"/>
  <c r="V28"/>
  <c r="X25"/>
  <c r="W25"/>
  <c r="V25"/>
  <c r="X17"/>
  <c r="W17"/>
  <c r="V17"/>
  <c r="X14"/>
  <c r="W14"/>
  <c r="V14"/>
  <c r="K52"/>
  <c r="K48"/>
  <c r="T49"/>
  <c r="H30" i="7"/>
  <c r="H22"/>
  <c r="J45" i="40"/>
  <c r="T47" i="41"/>
  <c r="H25" i="7"/>
  <c r="U64" i="41"/>
  <c r="T64"/>
  <c r="S64"/>
  <c r="T59"/>
  <c r="S59"/>
  <c r="U58"/>
  <c r="U57"/>
  <c r="U56"/>
  <c r="U55"/>
  <c r="U59" s="1"/>
  <c r="S53"/>
  <c r="U52"/>
  <c r="U51"/>
  <c r="U50"/>
  <c r="U49"/>
  <c r="U48"/>
  <c r="U47"/>
  <c r="U34"/>
  <c r="T34"/>
  <c r="T35" s="1"/>
  <c r="S34"/>
  <c r="U28"/>
  <c r="U35" s="1"/>
  <c r="T28"/>
  <c r="S28"/>
  <c r="S35" s="1"/>
  <c r="U25"/>
  <c r="T25"/>
  <c r="S25"/>
  <c r="U17"/>
  <c r="T17"/>
  <c r="S17"/>
  <c r="U14"/>
  <c r="T14"/>
  <c r="S14"/>
  <c r="AC65" i="7"/>
  <c r="E33" i="1"/>
  <c r="H13" i="7"/>
  <c r="E12" i="1"/>
  <c r="H31" i="7"/>
  <c r="Q52" i="41"/>
  <c r="Q47"/>
  <c r="F18" i="1"/>
  <c r="F19"/>
  <c r="F20"/>
  <c r="F21"/>
  <c r="F22"/>
  <c r="AC52" i="41"/>
  <c r="AC49"/>
  <c r="U23" i="7"/>
  <c r="U24"/>
  <c r="U25"/>
  <c r="D6" i="43"/>
  <c r="X34" i="7"/>
  <c r="X66" i="41" l="1"/>
  <c r="V66"/>
  <c r="U46"/>
  <c r="S66"/>
  <c r="U53"/>
  <c r="U66" s="1"/>
  <c r="T53"/>
  <c r="T66" s="1"/>
  <c r="K31" i="40"/>
  <c r="M29"/>
  <c r="L29"/>
  <c r="H29"/>
  <c r="N29" s="1"/>
  <c r="E24" i="1"/>
  <c r="H52" i="41"/>
  <c r="H47"/>
  <c r="H27" i="40"/>
  <c r="L64" i="41"/>
  <c r="K64"/>
  <c r="J64"/>
  <c r="K59"/>
  <c r="J59"/>
  <c r="J66" s="1"/>
  <c r="L58"/>
  <c r="L57"/>
  <c r="L56"/>
  <c r="L55"/>
  <c r="K53"/>
  <c r="J53"/>
  <c r="L52"/>
  <c r="L51"/>
  <c r="L50"/>
  <c r="L49"/>
  <c r="L48"/>
  <c r="L47"/>
  <c r="L46"/>
  <c r="L34"/>
  <c r="K34"/>
  <c r="K35" s="1"/>
  <c r="J34"/>
  <c r="L28"/>
  <c r="K28"/>
  <c r="J28"/>
  <c r="J35" s="1"/>
  <c r="L25"/>
  <c r="K25"/>
  <c r="J25"/>
  <c r="L17"/>
  <c r="L35" s="1"/>
  <c r="K17"/>
  <c r="J17"/>
  <c r="L14"/>
  <c r="K14"/>
  <c r="J14"/>
  <c r="R64"/>
  <c r="Q64"/>
  <c r="P64"/>
  <c r="Q59"/>
  <c r="P59"/>
  <c r="R58"/>
  <c r="R57"/>
  <c r="R56"/>
  <c r="R55"/>
  <c r="R59" s="1"/>
  <c r="P53"/>
  <c r="R52"/>
  <c r="R51"/>
  <c r="R50"/>
  <c r="R49"/>
  <c r="R48"/>
  <c r="R47"/>
  <c r="R46"/>
  <c r="R34"/>
  <c r="Q34"/>
  <c r="Q35" s="1"/>
  <c r="P34"/>
  <c r="R28"/>
  <c r="R35" s="1"/>
  <c r="Q28"/>
  <c r="P28"/>
  <c r="P35" s="1"/>
  <c r="R25"/>
  <c r="Q25"/>
  <c r="P25"/>
  <c r="R17"/>
  <c r="Q17"/>
  <c r="P17"/>
  <c r="R14"/>
  <c r="Q14"/>
  <c r="P14"/>
  <c r="AD62" i="7"/>
  <c r="AD61"/>
  <c r="AD60"/>
  <c r="AD59"/>
  <c r="AD58"/>
  <c r="F77" i="15"/>
  <c r="E77"/>
  <c r="D77"/>
  <c r="O73"/>
  <c r="N73"/>
  <c r="M73"/>
  <c r="L73"/>
  <c r="K73"/>
  <c r="J73"/>
  <c r="I73"/>
  <c r="H73"/>
  <c r="G73"/>
  <c r="E73"/>
  <c r="O71"/>
  <c r="N71"/>
  <c r="M71"/>
  <c r="L71"/>
  <c r="K71"/>
  <c r="J71"/>
  <c r="I71"/>
  <c r="F71" s="1"/>
  <c r="H71"/>
  <c r="G71"/>
  <c r="D71" s="1"/>
  <c r="E71"/>
  <c r="O69"/>
  <c r="N69"/>
  <c r="M69"/>
  <c r="L69"/>
  <c r="K69"/>
  <c r="J69"/>
  <c r="I69"/>
  <c r="F69" s="1"/>
  <c r="H69"/>
  <c r="G69"/>
  <c r="D69" s="1"/>
  <c r="E69"/>
  <c r="O66"/>
  <c r="O67" s="1"/>
  <c r="N66"/>
  <c r="N67" s="1"/>
  <c r="M66"/>
  <c r="M67" s="1"/>
  <c r="L66"/>
  <c r="L67" s="1"/>
  <c r="K66"/>
  <c r="K67" s="1"/>
  <c r="J66"/>
  <c r="J67" s="1"/>
  <c r="I66"/>
  <c r="I67" s="1"/>
  <c r="H66"/>
  <c r="H67" s="1"/>
  <c r="G66"/>
  <c r="G67" s="1"/>
  <c r="E66"/>
  <c r="O65"/>
  <c r="N65"/>
  <c r="L65"/>
  <c r="K65"/>
  <c r="I65"/>
  <c r="H65"/>
  <c r="E65"/>
  <c r="O62"/>
  <c r="N62"/>
  <c r="M62"/>
  <c r="L62"/>
  <c r="K62"/>
  <c r="J62"/>
  <c r="I62"/>
  <c r="H62"/>
  <c r="G62"/>
  <c r="F62"/>
  <c r="E62"/>
  <c r="D62"/>
  <c r="O61"/>
  <c r="N61"/>
  <c r="M61"/>
  <c r="L61"/>
  <c r="K61"/>
  <c r="J61"/>
  <c r="I61"/>
  <c r="F61" s="1"/>
  <c r="H61"/>
  <c r="G61"/>
  <c r="E61"/>
  <c r="D61"/>
  <c r="O60"/>
  <c r="N60"/>
  <c r="M60"/>
  <c r="L60"/>
  <c r="K60"/>
  <c r="J60"/>
  <c r="I60"/>
  <c r="F60" s="1"/>
  <c r="H60"/>
  <c r="G60"/>
  <c r="D60" s="1"/>
  <c r="E60"/>
  <c r="O59"/>
  <c r="N59"/>
  <c r="M59"/>
  <c r="L59"/>
  <c r="K59"/>
  <c r="J59"/>
  <c r="I59"/>
  <c r="H59"/>
  <c r="E59" s="1"/>
  <c r="G59"/>
  <c r="D59" s="1"/>
  <c r="F59"/>
  <c r="O58"/>
  <c r="O63" s="1"/>
  <c r="N58"/>
  <c r="N63" s="1"/>
  <c r="M58"/>
  <c r="M63" s="1"/>
  <c r="L58"/>
  <c r="L63" s="1"/>
  <c r="K58"/>
  <c r="K63" s="1"/>
  <c r="J58"/>
  <c r="J63" s="1"/>
  <c r="I58"/>
  <c r="I63" s="1"/>
  <c r="F63" s="1"/>
  <c r="H58"/>
  <c r="H63" s="1"/>
  <c r="G58"/>
  <c r="G63" s="1"/>
  <c r="D63" s="1"/>
  <c r="F58"/>
  <c r="O56"/>
  <c r="N56"/>
  <c r="M56"/>
  <c r="L56"/>
  <c r="K56"/>
  <c r="J56"/>
  <c r="I56"/>
  <c r="H56"/>
  <c r="G56"/>
  <c r="D56" s="1"/>
  <c r="F56"/>
  <c r="E56"/>
  <c r="O54"/>
  <c r="O55" s="1"/>
  <c r="N54"/>
  <c r="N55" s="1"/>
  <c r="M54"/>
  <c r="M55" s="1"/>
  <c r="L54"/>
  <c r="L55" s="1"/>
  <c r="K54"/>
  <c r="K55" s="1"/>
  <c r="J54"/>
  <c r="J55" s="1"/>
  <c r="I54"/>
  <c r="F54" s="1"/>
  <c r="H54"/>
  <c r="G54"/>
  <c r="D54" s="1"/>
  <c r="E54"/>
  <c r="O53"/>
  <c r="N53"/>
  <c r="M53"/>
  <c r="L53"/>
  <c r="K53"/>
  <c r="J53"/>
  <c r="I53"/>
  <c r="F53" s="1"/>
  <c r="H53"/>
  <c r="H55" s="1"/>
  <c r="E55" s="1"/>
  <c r="G53"/>
  <c r="G55" s="1"/>
  <c r="E53"/>
  <c r="D53"/>
  <c r="O47"/>
  <c r="L47"/>
  <c r="I47"/>
  <c r="I48" s="1"/>
  <c r="F47"/>
  <c r="E47"/>
  <c r="D47"/>
  <c r="K46"/>
  <c r="K48" s="1"/>
  <c r="K49" s="1"/>
  <c r="F45"/>
  <c r="E45"/>
  <c r="D45"/>
  <c r="O44"/>
  <c r="I44"/>
  <c r="F44" s="1"/>
  <c r="E44"/>
  <c r="D44"/>
  <c r="O43"/>
  <c r="O46" s="1"/>
  <c r="N43"/>
  <c r="N46" s="1"/>
  <c r="N48" s="1"/>
  <c r="M43"/>
  <c r="M46" s="1"/>
  <c r="M48" s="1"/>
  <c r="L43"/>
  <c r="L46" s="1"/>
  <c r="J43"/>
  <c r="J46" s="1"/>
  <c r="J48" s="1"/>
  <c r="I43"/>
  <c r="I46" s="1"/>
  <c r="H43"/>
  <c r="H46" s="1"/>
  <c r="H48" s="1"/>
  <c r="H49" s="1"/>
  <c r="G43"/>
  <c r="G46" s="1"/>
  <c r="G48" s="1"/>
  <c r="E43"/>
  <c r="E46" s="1"/>
  <c r="D43"/>
  <c r="D46" s="1"/>
  <c r="M41"/>
  <c r="J41"/>
  <c r="G41"/>
  <c r="G42" s="1"/>
  <c r="F40"/>
  <c r="F41" s="1"/>
  <c r="E40"/>
  <c r="E41" s="1"/>
  <c r="E42" s="1"/>
  <c r="D40"/>
  <c r="D41" s="1"/>
  <c r="M39"/>
  <c r="J39"/>
  <c r="G39"/>
  <c r="C39"/>
  <c r="F38"/>
  <c r="F39" s="1"/>
  <c r="E38"/>
  <c r="E39" s="1"/>
  <c r="D38"/>
  <c r="D39" s="1"/>
  <c r="F37"/>
  <c r="E37"/>
  <c r="D37"/>
  <c r="N36"/>
  <c r="N42" s="1"/>
  <c r="K36"/>
  <c r="K42" s="1"/>
  <c r="J36"/>
  <c r="H36"/>
  <c r="H42" s="1"/>
  <c r="G36"/>
  <c r="F35"/>
  <c r="E35"/>
  <c r="D35"/>
  <c r="F34"/>
  <c r="E34"/>
  <c r="D34"/>
  <c r="M33"/>
  <c r="O33" s="1"/>
  <c r="F33" s="1"/>
  <c r="E33"/>
  <c r="D33"/>
  <c r="M32"/>
  <c r="O32" s="1"/>
  <c r="F32" s="1"/>
  <c r="E32"/>
  <c r="D32"/>
  <c r="O31"/>
  <c r="F31" s="1"/>
  <c r="E31"/>
  <c r="O30"/>
  <c r="I30"/>
  <c r="F30" s="1"/>
  <c r="E30"/>
  <c r="M29"/>
  <c r="M36" s="1"/>
  <c r="L29"/>
  <c r="L36" s="1"/>
  <c r="L42" s="1"/>
  <c r="I29"/>
  <c r="I36" s="1"/>
  <c r="I42" s="1"/>
  <c r="E29"/>
  <c r="E36" s="1"/>
  <c r="D29"/>
  <c r="D36" s="1"/>
  <c r="F28"/>
  <c r="E28"/>
  <c r="D28"/>
  <c r="F27"/>
  <c r="E27"/>
  <c r="F26"/>
  <c r="E26"/>
  <c r="D26"/>
  <c r="F25"/>
  <c r="E25"/>
  <c r="D25"/>
  <c r="F24"/>
  <c r="E24"/>
  <c r="D24"/>
  <c r="F23"/>
  <c r="E23"/>
  <c r="D23"/>
  <c r="F22"/>
  <c r="E22"/>
  <c r="D22"/>
  <c r="F21"/>
  <c r="E21"/>
  <c r="D21"/>
  <c r="F20"/>
  <c r="E20"/>
  <c r="D20"/>
  <c r="F19"/>
  <c r="E19"/>
  <c r="D19"/>
  <c r="F18"/>
  <c r="E18"/>
  <c r="D18"/>
  <c r="F17"/>
  <c r="E17"/>
  <c r="D17"/>
  <c r="M16"/>
  <c r="M27" s="1"/>
  <c r="J16"/>
  <c r="J27" s="1"/>
  <c r="F16"/>
  <c r="E16"/>
  <c r="D16"/>
  <c r="F15"/>
  <c r="E15"/>
  <c r="F14"/>
  <c r="E14"/>
  <c r="D14"/>
  <c r="F13"/>
  <c r="E13"/>
  <c r="D13"/>
  <c r="F12"/>
  <c r="E12"/>
  <c r="D12"/>
  <c r="F11"/>
  <c r="E11"/>
  <c r="D11"/>
  <c r="F10"/>
  <c r="E10"/>
  <c r="D10"/>
  <c r="F9"/>
  <c r="E9"/>
  <c r="D9"/>
  <c r="F8"/>
  <c r="E8"/>
  <c r="D8"/>
  <c r="F7"/>
  <c r="E7"/>
  <c r="D7"/>
  <c r="F6"/>
  <c r="E6"/>
  <c r="D6"/>
  <c r="F5"/>
  <c r="E5"/>
  <c r="D5"/>
  <c r="M4"/>
  <c r="M15" s="1"/>
  <c r="J4"/>
  <c r="J15" s="1"/>
  <c r="D15" s="1"/>
  <c r="F4"/>
  <c r="E4"/>
  <c r="D4"/>
  <c r="F81" i="14"/>
  <c r="E81"/>
  <c r="D81"/>
  <c r="E75"/>
  <c r="D75"/>
  <c r="F74"/>
  <c r="F75" s="1"/>
  <c r="F71"/>
  <c r="D65"/>
  <c r="F64"/>
  <c r="F63"/>
  <c r="F65" s="1"/>
  <c r="D63"/>
  <c r="F62"/>
  <c r="E61"/>
  <c r="F61" s="1"/>
  <c r="E58"/>
  <c r="D58"/>
  <c r="F57"/>
  <c r="F53"/>
  <c r="F58" s="1"/>
  <c r="E52"/>
  <c r="E59" s="1"/>
  <c r="D52"/>
  <c r="F50"/>
  <c r="F52" s="1"/>
  <c r="E49"/>
  <c r="F48"/>
  <c r="F49" s="1"/>
  <c r="F47"/>
  <c r="F46"/>
  <c r="F45"/>
  <c r="F44"/>
  <c r="D44"/>
  <c r="D49" s="1"/>
  <c r="F43"/>
  <c r="F42"/>
  <c r="E39"/>
  <c r="D39"/>
  <c r="F38"/>
  <c r="F37"/>
  <c r="F39" s="1"/>
  <c r="E36"/>
  <c r="D36"/>
  <c r="F35"/>
  <c r="F34"/>
  <c r="F33"/>
  <c r="F36" s="1"/>
  <c r="F31"/>
  <c r="F30"/>
  <c r="F29"/>
  <c r="F28"/>
  <c r="F26" s="1"/>
  <c r="F27"/>
  <c r="E26"/>
  <c r="D26"/>
  <c r="E23"/>
  <c r="D23"/>
  <c r="D24" s="1"/>
  <c r="F22"/>
  <c r="F21"/>
  <c r="F23" s="1"/>
  <c r="E19"/>
  <c r="E24" s="1"/>
  <c r="D19"/>
  <c r="F18"/>
  <c r="F17"/>
  <c r="F16"/>
  <c r="F15"/>
  <c r="F14"/>
  <c r="F13"/>
  <c r="F12"/>
  <c r="F11"/>
  <c r="F10"/>
  <c r="F9"/>
  <c r="F8"/>
  <c r="F7"/>
  <c r="F6"/>
  <c r="F5"/>
  <c r="F19" s="1"/>
  <c r="R82" i="16"/>
  <c r="Q82"/>
  <c r="P82"/>
  <c r="O82"/>
  <c r="N82"/>
  <c r="M82"/>
  <c r="L82"/>
  <c r="K82"/>
  <c r="J82"/>
  <c r="I82"/>
  <c r="H82"/>
  <c r="G82"/>
  <c r="F81"/>
  <c r="E81"/>
  <c r="D81"/>
  <c r="F80"/>
  <c r="E80"/>
  <c r="D80"/>
  <c r="F79"/>
  <c r="E79"/>
  <c r="D79"/>
  <c r="F78"/>
  <c r="F82" s="1"/>
  <c r="E78"/>
  <c r="E82" s="1"/>
  <c r="D78"/>
  <c r="D82" s="1"/>
  <c r="R76"/>
  <c r="Q76"/>
  <c r="P76"/>
  <c r="O76"/>
  <c r="N76"/>
  <c r="M76"/>
  <c r="L76"/>
  <c r="K76"/>
  <c r="K86" s="1"/>
  <c r="J76"/>
  <c r="H76"/>
  <c r="G76"/>
  <c r="I75"/>
  <c r="I76" s="1"/>
  <c r="E75"/>
  <c r="D75"/>
  <c r="F74"/>
  <c r="E74"/>
  <c r="D74"/>
  <c r="F73"/>
  <c r="E73"/>
  <c r="D73"/>
  <c r="I72"/>
  <c r="F72" s="1"/>
  <c r="E72"/>
  <c r="D72"/>
  <c r="F71"/>
  <c r="E71"/>
  <c r="D71"/>
  <c r="F70"/>
  <c r="E70"/>
  <c r="D70"/>
  <c r="F69"/>
  <c r="E69"/>
  <c r="D69"/>
  <c r="F68"/>
  <c r="E68"/>
  <c r="E76" s="1"/>
  <c r="D68"/>
  <c r="D76" s="1"/>
  <c r="R65"/>
  <c r="Q65"/>
  <c r="P65"/>
  <c r="O65"/>
  <c r="N65"/>
  <c r="M65"/>
  <c r="J65"/>
  <c r="L65" s="1"/>
  <c r="G65"/>
  <c r="D65"/>
  <c r="L64"/>
  <c r="F64"/>
  <c r="E64"/>
  <c r="D64"/>
  <c r="K63"/>
  <c r="K65" s="1"/>
  <c r="E63"/>
  <c r="E65" s="1"/>
  <c r="D63"/>
  <c r="L62"/>
  <c r="L61" s="1"/>
  <c r="I62"/>
  <c r="F62"/>
  <c r="E62"/>
  <c r="D62"/>
  <c r="K61"/>
  <c r="I61"/>
  <c r="I65" s="1"/>
  <c r="H61"/>
  <c r="H65" s="1"/>
  <c r="E61"/>
  <c r="D61"/>
  <c r="Q58"/>
  <c r="Q59" s="1"/>
  <c r="P58"/>
  <c r="O58"/>
  <c r="O59" s="1"/>
  <c r="N58"/>
  <c r="M58"/>
  <c r="M59" s="1"/>
  <c r="K58"/>
  <c r="K59" s="1"/>
  <c r="J58"/>
  <c r="H58"/>
  <c r="G58"/>
  <c r="G59" s="1"/>
  <c r="F57"/>
  <c r="E57"/>
  <c r="D57"/>
  <c r="F56"/>
  <c r="E56"/>
  <c r="D56"/>
  <c r="F55"/>
  <c r="E55"/>
  <c r="D55"/>
  <c r="F54"/>
  <c r="E54"/>
  <c r="D54"/>
  <c r="R53"/>
  <c r="R58" s="1"/>
  <c r="L53"/>
  <c r="L58" s="1"/>
  <c r="I53"/>
  <c r="I58" s="1"/>
  <c r="E53"/>
  <c r="E58" s="1"/>
  <c r="E59" s="1"/>
  <c r="D53"/>
  <c r="D58" s="1"/>
  <c r="R52"/>
  <c r="Q52"/>
  <c r="P52"/>
  <c r="P59" s="1"/>
  <c r="O52"/>
  <c r="N52"/>
  <c r="N59" s="1"/>
  <c r="M52"/>
  <c r="L52"/>
  <c r="K52"/>
  <c r="J52"/>
  <c r="J59" s="1"/>
  <c r="H52"/>
  <c r="H59" s="1"/>
  <c r="G52"/>
  <c r="I50"/>
  <c r="I52" s="1"/>
  <c r="F50"/>
  <c r="F52" s="1"/>
  <c r="E50"/>
  <c r="E52" s="1"/>
  <c r="D50"/>
  <c r="D52" s="1"/>
  <c r="Q49"/>
  <c r="P49"/>
  <c r="O49"/>
  <c r="N49"/>
  <c r="M49"/>
  <c r="K49"/>
  <c r="J49"/>
  <c r="H49"/>
  <c r="G49"/>
  <c r="L48"/>
  <c r="F48" s="1"/>
  <c r="I48"/>
  <c r="E48"/>
  <c r="D48"/>
  <c r="O47"/>
  <c r="I47"/>
  <c r="I49" s="1"/>
  <c r="E47"/>
  <c r="D47"/>
  <c r="F44"/>
  <c r="E44"/>
  <c r="D44"/>
  <c r="L43"/>
  <c r="L49" s="1"/>
  <c r="F43"/>
  <c r="E43"/>
  <c r="D43"/>
  <c r="F42"/>
  <c r="E42"/>
  <c r="D42"/>
  <c r="R41"/>
  <c r="R49" s="1"/>
  <c r="E41"/>
  <c r="E49" s="1"/>
  <c r="D41"/>
  <c r="F40"/>
  <c r="E40"/>
  <c r="D40"/>
  <c r="D49" s="1"/>
  <c r="R39"/>
  <c r="Q39"/>
  <c r="P39"/>
  <c r="O39"/>
  <c r="N39"/>
  <c r="M39"/>
  <c r="K39"/>
  <c r="J39"/>
  <c r="I39"/>
  <c r="H39"/>
  <c r="G39"/>
  <c r="L38"/>
  <c r="L39" s="1"/>
  <c r="E38"/>
  <c r="D38"/>
  <c r="L37"/>
  <c r="F37" s="1"/>
  <c r="E37"/>
  <c r="E39" s="1"/>
  <c r="D37"/>
  <c r="D39" s="1"/>
  <c r="R36"/>
  <c r="Q36"/>
  <c r="P36"/>
  <c r="O36"/>
  <c r="N36"/>
  <c r="M36"/>
  <c r="K36"/>
  <c r="J36"/>
  <c r="H36"/>
  <c r="G36"/>
  <c r="F35"/>
  <c r="E35"/>
  <c r="D35"/>
  <c r="L34"/>
  <c r="L36" s="1"/>
  <c r="I34"/>
  <c r="F34"/>
  <c r="E34"/>
  <c r="D34"/>
  <c r="I33"/>
  <c r="I36" s="1"/>
  <c r="F33"/>
  <c r="F36" s="1"/>
  <c r="E33"/>
  <c r="E36" s="1"/>
  <c r="D33"/>
  <c r="D36" s="1"/>
  <c r="I31"/>
  <c r="F31"/>
  <c r="E31"/>
  <c r="D31"/>
  <c r="I30"/>
  <c r="F30"/>
  <c r="E30"/>
  <c r="D30"/>
  <c r="I29"/>
  <c r="F29"/>
  <c r="E29"/>
  <c r="D29"/>
  <c r="I28"/>
  <c r="F28"/>
  <c r="E28"/>
  <c r="D28"/>
  <c r="O27"/>
  <c r="I27"/>
  <c r="F27" s="1"/>
  <c r="F26" s="1"/>
  <c r="E27"/>
  <c r="E26" s="1"/>
  <c r="D27"/>
  <c r="R26"/>
  <c r="Q26"/>
  <c r="P26"/>
  <c r="O26"/>
  <c r="N26"/>
  <c r="M26"/>
  <c r="L26"/>
  <c r="K26"/>
  <c r="J26"/>
  <c r="H26"/>
  <c r="G26"/>
  <c r="D26"/>
  <c r="Q24"/>
  <c r="M24"/>
  <c r="K24"/>
  <c r="G24"/>
  <c r="R23"/>
  <c r="R24" s="1"/>
  <c r="Q23"/>
  <c r="P23"/>
  <c r="P24" s="1"/>
  <c r="N23"/>
  <c r="N24" s="1"/>
  <c r="M23"/>
  <c r="L23"/>
  <c r="L24" s="1"/>
  <c r="K23"/>
  <c r="J23"/>
  <c r="J24" s="1"/>
  <c r="H23"/>
  <c r="H24" s="1"/>
  <c r="G23"/>
  <c r="I22"/>
  <c r="I23" s="1"/>
  <c r="F22"/>
  <c r="E22"/>
  <c r="D22"/>
  <c r="O21"/>
  <c r="O23" s="1"/>
  <c r="O24" s="1"/>
  <c r="F21"/>
  <c r="F23" s="1"/>
  <c r="E21"/>
  <c r="D21"/>
  <c r="D23" s="1"/>
  <c r="D24" s="1"/>
  <c r="F20"/>
  <c r="E20"/>
  <c r="E23" s="1"/>
  <c r="D20"/>
  <c r="R19"/>
  <c r="Q19"/>
  <c r="P19"/>
  <c r="O19"/>
  <c r="N19"/>
  <c r="M19"/>
  <c r="L19"/>
  <c r="K19"/>
  <c r="J19"/>
  <c r="H19"/>
  <c r="G19"/>
  <c r="F18"/>
  <c r="E18"/>
  <c r="D18"/>
  <c r="I17"/>
  <c r="F17" s="1"/>
  <c r="E17"/>
  <c r="D17"/>
  <c r="F16"/>
  <c r="E16"/>
  <c r="D16"/>
  <c r="F15"/>
  <c r="E15"/>
  <c r="D15"/>
  <c r="F14"/>
  <c r="E14"/>
  <c r="D14"/>
  <c r="I13"/>
  <c r="F13"/>
  <c r="E13"/>
  <c r="D13"/>
  <c r="I12"/>
  <c r="F12"/>
  <c r="E12"/>
  <c r="D12"/>
  <c r="I11"/>
  <c r="F11"/>
  <c r="E11"/>
  <c r="D11"/>
  <c r="I10"/>
  <c r="F10"/>
  <c r="E10"/>
  <c r="D10"/>
  <c r="I9"/>
  <c r="F9"/>
  <c r="E9"/>
  <c r="D9"/>
  <c r="I8"/>
  <c r="F8"/>
  <c r="E8"/>
  <c r="D8"/>
  <c r="I7"/>
  <c r="F7"/>
  <c r="E7"/>
  <c r="D7"/>
  <c r="I6"/>
  <c r="F6"/>
  <c r="E6"/>
  <c r="D6"/>
  <c r="I5"/>
  <c r="I19" s="1"/>
  <c r="F5"/>
  <c r="E5"/>
  <c r="E19" s="1"/>
  <c r="D5"/>
  <c r="D19" s="1"/>
  <c r="R83" i="12"/>
  <c r="Q83"/>
  <c r="P83"/>
  <c r="O83"/>
  <c r="N83"/>
  <c r="M83"/>
  <c r="L83"/>
  <c r="K83"/>
  <c r="J83"/>
  <c r="I83"/>
  <c r="H83"/>
  <c r="G83"/>
  <c r="F82"/>
  <c r="E82"/>
  <c r="D82"/>
  <c r="F81"/>
  <c r="E81"/>
  <c r="D81"/>
  <c r="F80"/>
  <c r="E80"/>
  <c r="D80"/>
  <c r="F79"/>
  <c r="F83" s="1"/>
  <c r="E79"/>
  <c r="E83" s="1"/>
  <c r="D79"/>
  <c r="D83" s="1"/>
  <c r="R77"/>
  <c r="Q77"/>
  <c r="P77"/>
  <c r="O77"/>
  <c r="N77"/>
  <c r="M77"/>
  <c r="K77"/>
  <c r="J77"/>
  <c r="H77"/>
  <c r="L76"/>
  <c r="I76"/>
  <c r="F76" s="1"/>
  <c r="G76"/>
  <c r="E76"/>
  <c r="D76"/>
  <c r="L75"/>
  <c r="F75"/>
  <c r="E75"/>
  <c r="D75"/>
  <c r="L74"/>
  <c r="F74"/>
  <c r="E74"/>
  <c r="D74"/>
  <c r="L73"/>
  <c r="L77" s="1"/>
  <c r="G73"/>
  <c r="G77" s="1"/>
  <c r="E73"/>
  <c r="F72"/>
  <c r="E72"/>
  <c r="D72"/>
  <c r="F71"/>
  <c r="E71"/>
  <c r="D71"/>
  <c r="F70"/>
  <c r="E70"/>
  <c r="D70"/>
  <c r="F69"/>
  <c r="E69"/>
  <c r="E77" s="1"/>
  <c r="D69"/>
  <c r="Q66"/>
  <c r="P66"/>
  <c r="O66"/>
  <c r="N66"/>
  <c r="M66"/>
  <c r="L66"/>
  <c r="K66"/>
  <c r="J66"/>
  <c r="G66"/>
  <c r="R65"/>
  <c r="I65"/>
  <c r="F65" s="1"/>
  <c r="E65"/>
  <c r="D65"/>
  <c r="R64"/>
  <c r="R66" s="1"/>
  <c r="H64"/>
  <c r="H66" s="1"/>
  <c r="D64"/>
  <c r="D66" s="1"/>
  <c r="I63"/>
  <c r="E63"/>
  <c r="F63" s="1"/>
  <c r="F62" s="1"/>
  <c r="H62"/>
  <c r="I62" s="1"/>
  <c r="E62"/>
  <c r="Q59"/>
  <c r="Q60" s="1"/>
  <c r="P59"/>
  <c r="P60" s="1"/>
  <c r="N59"/>
  <c r="N60" s="1"/>
  <c r="M59"/>
  <c r="K59"/>
  <c r="K60" s="1"/>
  <c r="J59"/>
  <c r="J60" s="1"/>
  <c r="H59"/>
  <c r="G59"/>
  <c r="G60" s="1"/>
  <c r="R58"/>
  <c r="F58"/>
  <c r="E58"/>
  <c r="D58"/>
  <c r="F57"/>
  <c r="E57"/>
  <c r="D57"/>
  <c r="F56"/>
  <c r="E56"/>
  <c r="D56"/>
  <c r="R55"/>
  <c r="L55"/>
  <c r="I55"/>
  <c r="F55" s="1"/>
  <c r="E55"/>
  <c r="D55"/>
  <c r="R54"/>
  <c r="R59" s="1"/>
  <c r="O54"/>
  <c r="O59" s="1"/>
  <c r="L54"/>
  <c r="L59" s="1"/>
  <c r="I54"/>
  <c r="I59" s="1"/>
  <c r="E54"/>
  <c r="E59" s="1"/>
  <c r="D54"/>
  <c r="D59" s="1"/>
  <c r="Q53"/>
  <c r="P53"/>
  <c r="O53"/>
  <c r="N53"/>
  <c r="M53"/>
  <c r="K53"/>
  <c r="J53"/>
  <c r="H53"/>
  <c r="G53"/>
  <c r="I52"/>
  <c r="F52" s="1"/>
  <c r="E52"/>
  <c r="D52"/>
  <c r="R51"/>
  <c r="R53" s="1"/>
  <c r="L51"/>
  <c r="L53" s="1"/>
  <c r="I51"/>
  <c r="F51" s="1"/>
  <c r="E51"/>
  <c r="E53" s="1"/>
  <c r="D51"/>
  <c r="D53" s="1"/>
  <c r="Q50"/>
  <c r="P50"/>
  <c r="N50"/>
  <c r="K50"/>
  <c r="J50"/>
  <c r="G50"/>
  <c r="R49"/>
  <c r="M49"/>
  <c r="M50" s="1"/>
  <c r="L49"/>
  <c r="L50" s="1"/>
  <c r="I49"/>
  <c r="E49"/>
  <c r="D49"/>
  <c r="I48"/>
  <c r="F48" s="1"/>
  <c r="E48"/>
  <c r="D48"/>
  <c r="I47"/>
  <c r="F47" s="1"/>
  <c r="E47"/>
  <c r="D47"/>
  <c r="F46"/>
  <c r="E46"/>
  <c r="D46"/>
  <c r="I45"/>
  <c r="F45" s="1"/>
  <c r="H45"/>
  <c r="H50" s="1"/>
  <c r="E45"/>
  <c r="D45"/>
  <c r="R44"/>
  <c r="R50" s="1"/>
  <c r="I44"/>
  <c r="F44"/>
  <c r="E44"/>
  <c r="D44"/>
  <c r="I43"/>
  <c r="F43"/>
  <c r="E43"/>
  <c r="D43"/>
  <c r="I42"/>
  <c r="I50" s="1"/>
  <c r="F42"/>
  <c r="E42"/>
  <c r="E50" s="1"/>
  <c r="D42"/>
  <c r="I41"/>
  <c r="F41"/>
  <c r="E41"/>
  <c r="D41"/>
  <c r="D50" s="1"/>
  <c r="Q40"/>
  <c r="P40"/>
  <c r="O40"/>
  <c r="N40"/>
  <c r="M40"/>
  <c r="L40"/>
  <c r="K40"/>
  <c r="J40"/>
  <c r="H40"/>
  <c r="G40"/>
  <c r="R39"/>
  <c r="L39"/>
  <c r="I39"/>
  <c r="F39" s="1"/>
  <c r="E39"/>
  <c r="D39"/>
  <c r="R38"/>
  <c r="R40" s="1"/>
  <c r="I38"/>
  <c r="F38" s="1"/>
  <c r="F40" s="1"/>
  <c r="E38"/>
  <c r="E40" s="1"/>
  <c r="D38"/>
  <c r="D40" s="1"/>
  <c r="Q37"/>
  <c r="P37"/>
  <c r="O37"/>
  <c r="N37"/>
  <c r="M37"/>
  <c r="K37"/>
  <c r="J37"/>
  <c r="H37"/>
  <c r="G37"/>
  <c r="L36"/>
  <c r="F36"/>
  <c r="E36"/>
  <c r="D36"/>
  <c r="R35"/>
  <c r="L35"/>
  <c r="I35"/>
  <c r="F35" s="1"/>
  <c r="E35"/>
  <c r="D35"/>
  <c r="R34"/>
  <c r="R37" s="1"/>
  <c r="L34"/>
  <c r="L37" s="1"/>
  <c r="I34"/>
  <c r="I37" s="1"/>
  <c r="F34"/>
  <c r="F37" s="1"/>
  <c r="E34"/>
  <c r="E37" s="1"/>
  <c r="D34"/>
  <c r="D37" s="1"/>
  <c r="R31"/>
  <c r="L31"/>
  <c r="I31"/>
  <c r="F31" s="1"/>
  <c r="E31"/>
  <c r="D31"/>
  <c r="F30"/>
  <c r="E30"/>
  <c r="D30"/>
  <c r="R29"/>
  <c r="L29"/>
  <c r="I29"/>
  <c r="F29"/>
  <c r="E29"/>
  <c r="D29"/>
  <c r="F28"/>
  <c r="E28"/>
  <c r="D28"/>
  <c r="R27"/>
  <c r="O27"/>
  <c r="L27"/>
  <c r="I27"/>
  <c r="F27" s="1"/>
  <c r="E27"/>
  <c r="D27"/>
  <c r="R26"/>
  <c r="Q26"/>
  <c r="P26"/>
  <c r="O26"/>
  <c r="N26"/>
  <c r="M26"/>
  <c r="L26"/>
  <c r="K26"/>
  <c r="J26"/>
  <c r="I26"/>
  <c r="H26"/>
  <c r="G26"/>
  <c r="D26" s="1"/>
  <c r="F26"/>
  <c r="E26"/>
  <c r="R23"/>
  <c r="Q23"/>
  <c r="Q24" s="1"/>
  <c r="P23"/>
  <c r="P24" s="1"/>
  <c r="O23"/>
  <c r="N23"/>
  <c r="N24" s="1"/>
  <c r="M23"/>
  <c r="M24" s="1"/>
  <c r="L23"/>
  <c r="K23"/>
  <c r="K24" s="1"/>
  <c r="J23"/>
  <c r="J24" s="1"/>
  <c r="H23"/>
  <c r="H24" s="1"/>
  <c r="G23"/>
  <c r="G24" s="1"/>
  <c r="L22"/>
  <c r="I22"/>
  <c r="F22" s="1"/>
  <c r="E22"/>
  <c r="E23" s="1"/>
  <c r="D22"/>
  <c r="I21"/>
  <c r="I23" s="1"/>
  <c r="E21"/>
  <c r="D21"/>
  <c r="F20"/>
  <c r="E20"/>
  <c r="D20"/>
  <c r="D23" s="1"/>
  <c r="Q19"/>
  <c r="P19"/>
  <c r="N19"/>
  <c r="M19"/>
  <c r="K19"/>
  <c r="J19"/>
  <c r="H19"/>
  <c r="G19"/>
  <c r="F18"/>
  <c r="E18"/>
  <c r="D18"/>
  <c r="R17"/>
  <c r="O17"/>
  <c r="L17"/>
  <c r="F17" s="1"/>
  <c r="E17"/>
  <c r="D17"/>
  <c r="R16"/>
  <c r="O16"/>
  <c r="F16" s="1"/>
  <c r="E16"/>
  <c r="D16"/>
  <c r="R15"/>
  <c r="O15"/>
  <c r="I15"/>
  <c r="F15" s="1"/>
  <c r="E15"/>
  <c r="D15"/>
  <c r="R14"/>
  <c r="F14" s="1"/>
  <c r="O14"/>
  <c r="E14"/>
  <c r="D14"/>
  <c r="R13"/>
  <c r="O13"/>
  <c r="I13"/>
  <c r="F13"/>
  <c r="E13"/>
  <c r="D13"/>
  <c r="R12"/>
  <c r="F12"/>
  <c r="E12"/>
  <c r="D12"/>
  <c r="R11"/>
  <c r="L11"/>
  <c r="I11"/>
  <c r="F11" s="1"/>
  <c r="E11"/>
  <c r="D11"/>
  <c r="F10"/>
  <c r="E10"/>
  <c r="D10"/>
  <c r="F9"/>
  <c r="E9"/>
  <c r="D9"/>
  <c r="F8"/>
  <c r="E8"/>
  <c r="D8"/>
  <c r="F7"/>
  <c r="E7"/>
  <c r="D7"/>
  <c r="F6"/>
  <c r="E6"/>
  <c r="D6"/>
  <c r="R5"/>
  <c r="R19" s="1"/>
  <c r="O5"/>
  <c r="O19" s="1"/>
  <c r="L5"/>
  <c r="L19" s="1"/>
  <c r="I5"/>
  <c r="I19" s="1"/>
  <c r="F5"/>
  <c r="F19" s="1"/>
  <c r="E5"/>
  <c r="E19" s="1"/>
  <c r="D5"/>
  <c r="D19" s="1"/>
  <c r="L53" i="41" l="1"/>
  <c r="L59"/>
  <c r="K66"/>
  <c r="P66"/>
  <c r="R53"/>
  <c r="R66" s="1"/>
  <c r="Q53"/>
  <c r="Q66" s="1"/>
  <c r="J42" i="15"/>
  <c r="J49" s="1"/>
  <c r="G49"/>
  <c r="D48"/>
  <c r="L48"/>
  <c r="L49" s="1"/>
  <c r="D55"/>
  <c r="E63"/>
  <c r="J75"/>
  <c r="J79" s="1"/>
  <c r="N75"/>
  <c r="N79" s="1"/>
  <c r="I49"/>
  <c r="D67"/>
  <c r="I75"/>
  <c r="M75"/>
  <c r="M79" s="1"/>
  <c r="D27"/>
  <c r="D42" s="1"/>
  <c r="N49"/>
  <c r="H75"/>
  <c r="L75"/>
  <c r="L79" s="1"/>
  <c r="M42"/>
  <c r="M49" s="1"/>
  <c r="E48"/>
  <c r="E49" s="1"/>
  <c r="O48"/>
  <c r="G75"/>
  <c r="K75"/>
  <c r="K79" s="1"/>
  <c r="O75"/>
  <c r="O79" s="1"/>
  <c r="O29"/>
  <c r="O36" s="1"/>
  <c r="O42" s="1"/>
  <c r="F43"/>
  <c r="F46" s="1"/>
  <c r="F48" s="1"/>
  <c r="I55"/>
  <c r="F55" s="1"/>
  <c r="E58"/>
  <c r="F66"/>
  <c r="F73"/>
  <c r="D58"/>
  <c r="D66"/>
  <c r="D73"/>
  <c r="F24" i="14"/>
  <c r="F59"/>
  <c r="F85" s="1"/>
  <c r="D59"/>
  <c r="D85" s="1"/>
  <c r="E85"/>
  <c r="E65"/>
  <c r="I24" i="16"/>
  <c r="I59"/>
  <c r="F76"/>
  <c r="J86"/>
  <c r="N86"/>
  <c r="R86"/>
  <c r="E24"/>
  <c r="E86" s="1"/>
  <c r="M86"/>
  <c r="Q86"/>
  <c r="F24"/>
  <c r="F19"/>
  <c r="D59"/>
  <c r="D86" s="1"/>
  <c r="R59"/>
  <c r="G86"/>
  <c r="H86"/>
  <c r="L86"/>
  <c r="P86"/>
  <c r="L59"/>
  <c r="I86"/>
  <c r="O86"/>
  <c r="I26"/>
  <c r="F38"/>
  <c r="F39" s="1"/>
  <c r="F47"/>
  <c r="F53"/>
  <c r="F58" s="1"/>
  <c r="F61"/>
  <c r="F41"/>
  <c r="F49" s="1"/>
  <c r="L63"/>
  <c r="F63" s="1"/>
  <c r="F65" s="1"/>
  <c r="F75"/>
  <c r="H60" i="12"/>
  <c r="G87"/>
  <c r="I24"/>
  <c r="O24"/>
  <c r="F53"/>
  <c r="E60"/>
  <c r="R60"/>
  <c r="M60"/>
  <c r="N87"/>
  <c r="D60"/>
  <c r="Q87"/>
  <c r="D24"/>
  <c r="R24"/>
  <c r="R87" s="1"/>
  <c r="M87"/>
  <c r="E24"/>
  <c r="L60"/>
  <c r="H87"/>
  <c r="L87"/>
  <c r="P87"/>
  <c r="L24"/>
  <c r="J87"/>
  <c r="K87"/>
  <c r="O49"/>
  <c r="O50" s="1"/>
  <c r="O60" s="1"/>
  <c r="O87" s="1"/>
  <c r="I53"/>
  <c r="I60" s="1"/>
  <c r="F54"/>
  <c r="F59" s="1"/>
  <c r="D73"/>
  <c r="D77" s="1"/>
  <c r="D87" s="1"/>
  <c r="I73"/>
  <c r="F21"/>
  <c r="F23" s="1"/>
  <c r="F24" s="1"/>
  <c r="I40"/>
  <c r="E64"/>
  <c r="E66" s="1"/>
  <c r="E87" s="1"/>
  <c r="I64"/>
  <c r="L66" i="41" l="1"/>
  <c r="D49" i="15"/>
  <c r="F29"/>
  <c r="F36" s="1"/>
  <c r="F42" s="1"/>
  <c r="F49" s="1"/>
  <c r="O49"/>
  <c r="I79"/>
  <c r="F79" s="1"/>
  <c r="F75"/>
  <c r="D75"/>
  <c r="G79"/>
  <c r="D79" s="1"/>
  <c r="H79"/>
  <c r="E79" s="1"/>
  <c r="E75"/>
  <c r="F59" i="16"/>
  <c r="F86" s="1"/>
  <c r="F49" i="12"/>
  <c r="F50" s="1"/>
  <c r="F60" s="1"/>
  <c r="I66"/>
  <c r="F64"/>
  <c r="F66" s="1"/>
  <c r="I77"/>
  <c r="I87" s="1"/>
  <c r="F73"/>
  <c r="F77" s="1"/>
  <c r="F87" l="1"/>
  <c r="AB12" i="56" l="1"/>
  <c r="AF11"/>
  <c r="T11"/>
  <c r="X10"/>
  <c r="S10"/>
  <c r="O10"/>
  <c r="O12" s="1"/>
  <c r="N10"/>
  <c r="M10"/>
  <c r="K10"/>
  <c r="F10"/>
  <c r="F12" s="1"/>
  <c r="AF9"/>
  <c r="Q10"/>
  <c r="Q12" s="1"/>
  <c r="T9"/>
  <c r="AF8"/>
  <c r="H10"/>
  <c r="H12" s="1"/>
  <c r="G10"/>
  <c r="T8"/>
  <c r="AE10"/>
  <c r="AE12" s="1"/>
  <c r="AD10"/>
  <c r="AD12" s="1"/>
  <c r="AC10"/>
  <c r="AA10"/>
  <c r="Z10"/>
  <c r="Z12" s="1"/>
  <c r="Y10"/>
  <c r="W10"/>
  <c r="V10"/>
  <c r="U10"/>
  <c r="U12" s="1"/>
  <c r="J10"/>
  <c r="J12" s="1"/>
  <c r="I10"/>
  <c r="I12" s="1"/>
  <c r="E10"/>
  <c r="D10"/>
  <c r="D12" s="1"/>
  <c r="C10"/>
  <c r="AC12"/>
  <c r="X12"/>
  <c r="S12"/>
  <c r="R12"/>
  <c r="P12"/>
  <c r="N12"/>
  <c r="L12"/>
  <c r="K12"/>
  <c r="C12"/>
  <c r="AB29" i="54"/>
  <c r="AA29"/>
  <c r="Z29"/>
  <c r="Y29"/>
  <c r="X29"/>
  <c r="W29"/>
  <c r="V29"/>
  <c r="U29"/>
  <c r="S29"/>
  <c r="R29"/>
  <c r="Q29"/>
  <c r="P29"/>
  <c r="O29"/>
  <c r="N29"/>
  <c r="M29"/>
  <c r="L29"/>
  <c r="K29"/>
  <c r="J29"/>
  <c r="I29"/>
  <c r="H29"/>
  <c r="G29"/>
  <c r="F29"/>
  <c r="E29"/>
  <c r="D29"/>
  <c r="C29"/>
  <c r="T28"/>
  <c r="AC27"/>
  <c r="T27"/>
  <c r="AC26"/>
  <c r="T26"/>
  <c r="AC25"/>
  <c r="T25"/>
  <c r="AC24"/>
  <c r="T24"/>
  <c r="AC23"/>
  <c r="T23"/>
  <c r="AC22"/>
  <c r="T22"/>
  <c r="AC21"/>
  <c r="T21"/>
  <c r="AC20"/>
  <c r="T20"/>
  <c r="AC19"/>
  <c r="T19"/>
  <c r="AC18"/>
  <c r="T18"/>
  <c r="AC17"/>
  <c r="T17"/>
  <c r="AC16"/>
  <c r="T16"/>
  <c r="AC15"/>
  <c r="T15"/>
  <c r="AC14"/>
  <c r="T14"/>
  <c r="AC13"/>
  <c r="T13"/>
  <c r="AC12"/>
  <c r="T12"/>
  <c r="AC11"/>
  <c r="T11"/>
  <c r="AC10"/>
  <c r="T10"/>
  <c r="AC9"/>
  <c r="T9"/>
  <c r="AC8"/>
  <c r="T8"/>
  <c r="AC7"/>
  <c r="T7"/>
  <c r="T29" s="1"/>
  <c r="AC6"/>
  <c r="AC29" s="1"/>
  <c r="AE25" i="53"/>
  <c r="AC25"/>
  <c r="AB25"/>
  <c r="AA25"/>
  <c r="Z25"/>
  <c r="Y25"/>
  <c r="X25"/>
  <c r="W25"/>
  <c r="V25"/>
  <c r="T25"/>
  <c r="S25"/>
  <c r="R25"/>
  <c r="Q25"/>
  <c r="P25"/>
  <c r="O25"/>
  <c r="N25"/>
  <c r="M25"/>
  <c r="L25"/>
  <c r="K25"/>
  <c r="J25"/>
  <c r="I25"/>
  <c r="H25"/>
  <c r="G25"/>
  <c r="F25"/>
  <c r="E25"/>
  <c r="D25"/>
  <c r="U24"/>
  <c r="U23"/>
  <c r="U22"/>
  <c r="U21"/>
  <c r="AD20"/>
  <c r="AD19"/>
  <c r="U19"/>
  <c r="AD18"/>
  <c r="U18"/>
  <c r="AD17"/>
  <c r="U17"/>
  <c r="U16"/>
  <c r="U15"/>
  <c r="AD14"/>
  <c r="U14"/>
  <c r="U13"/>
  <c r="U12"/>
  <c r="U11"/>
  <c r="U10"/>
  <c r="U9"/>
  <c r="U8"/>
  <c r="U7"/>
  <c r="U25" s="1"/>
  <c r="AD6"/>
  <c r="AA26" i="52"/>
  <c r="Z26"/>
  <c r="Y26"/>
  <c r="X26"/>
  <c r="W26"/>
  <c r="V26"/>
  <c r="U26"/>
  <c r="T26"/>
  <c r="S26"/>
  <c r="Q26"/>
  <c r="P26"/>
  <c r="O26"/>
  <c r="N26"/>
  <c r="M26"/>
  <c r="L26"/>
  <c r="K26"/>
  <c r="J26"/>
  <c r="I26"/>
  <c r="H26"/>
  <c r="G26"/>
  <c r="F26"/>
  <c r="E26"/>
  <c r="D26"/>
  <c r="AC25"/>
  <c r="R25"/>
  <c r="AC24"/>
  <c r="R24"/>
  <c r="AC23"/>
  <c r="R23"/>
  <c r="AC22"/>
  <c r="R22"/>
  <c r="AC21"/>
  <c r="R21"/>
  <c r="AC20"/>
  <c r="R20"/>
  <c r="AC19"/>
  <c r="R19"/>
  <c r="AC18"/>
  <c r="R18"/>
  <c r="AC17"/>
  <c r="R17"/>
  <c r="AC16"/>
  <c r="R16"/>
  <c r="AC15"/>
  <c r="R15"/>
  <c r="AC14"/>
  <c r="R14"/>
  <c r="AC13"/>
  <c r="R13"/>
  <c r="AC12"/>
  <c r="R12"/>
  <c r="AC11"/>
  <c r="R11"/>
  <c r="AC10"/>
  <c r="R10"/>
  <c r="AC9"/>
  <c r="AB9"/>
  <c r="R9"/>
  <c r="AC8"/>
  <c r="AB8"/>
  <c r="R8"/>
  <c r="AC7"/>
  <c r="AB7"/>
  <c r="R7"/>
  <c r="AC6"/>
  <c r="AB6"/>
  <c r="R6"/>
  <c r="AC5"/>
  <c r="AB5"/>
  <c r="R5"/>
  <c r="AF190" i="51"/>
  <c r="AE190"/>
  <c r="AD190"/>
  <c r="AC190"/>
  <c r="AB190"/>
  <c r="AA190"/>
  <c r="Z190"/>
  <c r="Y190"/>
  <c r="X190"/>
  <c r="W190"/>
  <c r="V190"/>
  <c r="T190"/>
  <c r="S190"/>
  <c r="R190"/>
  <c r="Q190"/>
  <c r="P190"/>
  <c r="O190"/>
  <c r="N190"/>
  <c r="M190"/>
  <c r="L190"/>
  <c r="K190"/>
  <c r="J190"/>
  <c r="I190"/>
  <c r="H190"/>
  <c r="G5" i="56" s="1"/>
  <c r="G190" i="51"/>
  <c r="F190"/>
  <c r="E5" i="56" s="1"/>
  <c r="E190" i="51"/>
  <c r="D190"/>
  <c r="AG189"/>
  <c r="U189"/>
  <c r="AG188"/>
  <c r="U188"/>
  <c r="AG187"/>
  <c r="U187"/>
  <c r="AG186"/>
  <c r="U186"/>
  <c r="AG185"/>
  <c r="U185"/>
  <c r="AG184"/>
  <c r="U184"/>
  <c r="AG183"/>
  <c r="U183"/>
  <c r="AG182"/>
  <c r="U182"/>
  <c r="AG181"/>
  <c r="U181"/>
  <c r="AG180"/>
  <c r="U180"/>
  <c r="AG179"/>
  <c r="U179"/>
  <c r="AG178"/>
  <c r="U178"/>
  <c r="AG177"/>
  <c r="U177"/>
  <c r="AG176"/>
  <c r="U176"/>
  <c r="AG175"/>
  <c r="U175"/>
  <c r="AG174"/>
  <c r="U174"/>
  <c r="AG173"/>
  <c r="U173"/>
  <c r="AG172"/>
  <c r="U172"/>
  <c r="AG171"/>
  <c r="U171"/>
  <c r="AG170"/>
  <c r="U170"/>
  <c r="AG169"/>
  <c r="U169"/>
  <c r="AG168"/>
  <c r="U168"/>
  <c r="AG167"/>
  <c r="U167"/>
  <c r="AG166"/>
  <c r="U166"/>
  <c r="AG165"/>
  <c r="U165"/>
  <c r="AG164"/>
  <c r="U164"/>
  <c r="AG163"/>
  <c r="U163"/>
  <c r="AG162"/>
  <c r="U162"/>
  <c r="AG161"/>
  <c r="U161"/>
  <c r="AG160"/>
  <c r="U160"/>
  <c r="AG159"/>
  <c r="U159"/>
  <c r="AG158"/>
  <c r="U158"/>
  <c r="AG157"/>
  <c r="U157"/>
  <c r="AG156"/>
  <c r="U156"/>
  <c r="AG155"/>
  <c r="U155"/>
  <c r="AG154"/>
  <c r="U154"/>
  <c r="AG153"/>
  <c r="U153"/>
  <c r="AG152"/>
  <c r="U152"/>
  <c r="AG151"/>
  <c r="U151"/>
  <c r="AG150"/>
  <c r="U150"/>
  <c r="AG149"/>
  <c r="U149"/>
  <c r="AG148"/>
  <c r="U148"/>
  <c r="AG147"/>
  <c r="U147"/>
  <c r="AG146"/>
  <c r="U146"/>
  <c r="AG145"/>
  <c r="U145"/>
  <c r="AG144"/>
  <c r="U144"/>
  <c r="AG143"/>
  <c r="U143"/>
  <c r="AG142"/>
  <c r="U142"/>
  <c r="AG141"/>
  <c r="U141"/>
  <c r="AG140"/>
  <c r="U140"/>
  <c r="AG139"/>
  <c r="U139"/>
  <c r="AG138"/>
  <c r="U138"/>
  <c r="AG137"/>
  <c r="U137"/>
  <c r="AG136"/>
  <c r="U136"/>
  <c r="AG135"/>
  <c r="U135"/>
  <c r="AG134"/>
  <c r="U134"/>
  <c r="AG133"/>
  <c r="U133"/>
  <c r="AG132"/>
  <c r="U132"/>
  <c r="AG131"/>
  <c r="U131"/>
  <c r="AG130"/>
  <c r="U130"/>
  <c r="AG129"/>
  <c r="U129"/>
  <c r="AG128"/>
  <c r="U128"/>
  <c r="AG127"/>
  <c r="U127"/>
  <c r="AG126"/>
  <c r="U126"/>
  <c r="AG125"/>
  <c r="U125"/>
  <c r="AG124"/>
  <c r="U124"/>
  <c r="AG123"/>
  <c r="U123"/>
  <c r="AG122"/>
  <c r="U122"/>
  <c r="AG121"/>
  <c r="U121"/>
  <c r="AG120"/>
  <c r="U120"/>
  <c r="AG119"/>
  <c r="U119"/>
  <c r="AG118"/>
  <c r="U118"/>
  <c r="AG117"/>
  <c r="U117"/>
  <c r="AG116"/>
  <c r="U116"/>
  <c r="AG115"/>
  <c r="U115"/>
  <c r="AG114"/>
  <c r="U114"/>
  <c r="AG113"/>
  <c r="U113"/>
  <c r="AG112"/>
  <c r="U112"/>
  <c r="AG111"/>
  <c r="U111"/>
  <c r="AG110"/>
  <c r="U110"/>
  <c r="AG109"/>
  <c r="U109"/>
  <c r="AG108"/>
  <c r="U108"/>
  <c r="AG107"/>
  <c r="U107"/>
  <c r="AG106"/>
  <c r="U106"/>
  <c r="AG105"/>
  <c r="U105"/>
  <c r="AG104"/>
  <c r="U104"/>
  <c r="AG103"/>
  <c r="U103"/>
  <c r="AG102"/>
  <c r="U102"/>
  <c r="AG101"/>
  <c r="U101"/>
  <c r="AG100"/>
  <c r="U100"/>
  <c r="AG99"/>
  <c r="U99"/>
  <c r="AG98"/>
  <c r="U98"/>
  <c r="AG97"/>
  <c r="U97"/>
  <c r="AG96"/>
  <c r="U96"/>
  <c r="AG95"/>
  <c r="U95"/>
  <c r="AG94"/>
  <c r="U94"/>
  <c r="AG93"/>
  <c r="U93"/>
  <c r="AG92"/>
  <c r="U92"/>
  <c r="AG91"/>
  <c r="U91"/>
  <c r="AG90"/>
  <c r="U90"/>
  <c r="AG89"/>
  <c r="U89"/>
  <c r="AG88"/>
  <c r="U88"/>
  <c r="AG87"/>
  <c r="U87"/>
  <c r="AG86"/>
  <c r="U86"/>
  <c r="AG85"/>
  <c r="U85"/>
  <c r="AG84"/>
  <c r="U84"/>
  <c r="AG83"/>
  <c r="U83"/>
  <c r="AG82"/>
  <c r="U82"/>
  <c r="AG81"/>
  <c r="U81"/>
  <c r="AG80"/>
  <c r="U80"/>
  <c r="AG79"/>
  <c r="U79"/>
  <c r="AG78"/>
  <c r="U78"/>
  <c r="AG77"/>
  <c r="U77"/>
  <c r="AG76"/>
  <c r="U76"/>
  <c r="AG75"/>
  <c r="U75"/>
  <c r="AG74"/>
  <c r="U74"/>
  <c r="AG73"/>
  <c r="U73"/>
  <c r="AG72"/>
  <c r="U72"/>
  <c r="AG71"/>
  <c r="U71"/>
  <c r="AG70"/>
  <c r="U70"/>
  <c r="AG69"/>
  <c r="U69"/>
  <c r="AG68"/>
  <c r="U68"/>
  <c r="AG67"/>
  <c r="U67"/>
  <c r="AG66"/>
  <c r="U66"/>
  <c r="AG65"/>
  <c r="U65"/>
  <c r="AG64"/>
  <c r="U64"/>
  <c r="AG63"/>
  <c r="U63"/>
  <c r="AG62"/>
  <c r="U62"/>
  <c r="AG61"/>
  <c r="U61"/>
  <c r="AG60"/>
  <c r="U60"/>
  <c r="AG59"/>
  <c r="U59"/>
  <c r="AG58"/>
  <c r="U58"/>
  <c r="AG57"/>
  <c r="U57"/>
  <c r="AG56"/>
  <c r="U56"/>
  <c r="AG55"/>
  <c r="U55"/>
  <c r="AG54"/>
  <c r="U54"/>
  <c r="AG53"/>
  <c r="U53"/>
  <c r="AG52"/>
  <c r="U52"/>
  <c r="AG51"/>
  <c r="U51"/>
  <c r="U50"/>
  <c r="AG49"/>
  <c r="U49"/>
  <c r="AG48"/>
  <c r="U48"/>
  <c r="AG47"/>
  <c r="U47"/>
  <c r="AG46"/>
  <c r="U46"/>
  <c r="AG45"/>
  <c r="U45"/>
  <c r="AG44"/>
  <c r="U44"/>
  <c r="AG43"/>
  <c r="U43"/>
  <c r="AG42"/>
  <c r="U42"/>
  <c r="AG41"/>
  <c r="U41"/>
  <c r="AG40"/>
  <c r="U40"/>
  <c r="AG39"/>
  <c r="U39"/>
  <c r="AG38"/>
  <c r="U38"/>
  <c r="AG37"/>
  <c r="U37"/>
  <c r="AG36"/>
  <c r="U36"/>
  <c r="AG35"/>
  <c r="U35"/>
  <c r="AG34"/>
  <c r="U34"/>
  <c r="AG33"/>
  <c r="U33"/>
  <c r="AG32"/>
  <c r="U32"/>
  <c r="AG31"/>
  <c r="U31"/>
  <c r="AG30"/>
  <c r="U30"/>
  <c r="AG29"/>
  <c r="U29"/>
  <c r="AG28"/>
  <c r="U28"/>
  <c r="AG27"/>
  <c r="U27"/>
  <c r="AG26"/>
  <c r="U26"/>
  <c r="AG23"/>
  <c r="U23"/>
  <c r="AG22"/>
  <c r="U22"/>
  <c r="AG21"/>
  <c r="U21"/>
  <c r="AG20"/>
  <c r="U20"/>
  <c r="AG19"/>
  <c r="U19"/>
  <c r="AG18"/>
  <c r="U18"/>
  <c r="AG17"/>
  <c r="U17"/>
  <c r="AG16"/>
  <c r="U16"/>
  <c r="AG15"/>
  <c r="U15"/>
  <c r="AG14"/>
  <c r="U14"/>
  <c r="AG13"/>
  <c r="U13"/>
  <c r="AG12"/>
  <c r="U12"/>
  <c r="AG11"/>
  <c r="U11"/>
  <c r="AG10"/>
  <c r="U10"/>
  <c r="AG9"/>
  <c r="U9"/>
  <c r="AG8"/>
  <c r="U8"/>
  <c r="AG7"/>
  <c r="U7"/>
  <c r="AG6"/>
  <c r="U6"/>
  <c r="AG5"/>
  <c r="U5"/>
  <c r="E12" i="56" l="1"/>
  <c r="G12"/>
  <c r="U190" i="51"/>
  <c r="AG190"/>
  <c r="AB26" i="52"/>
  <c r="AC26"/>
  <c r="R26"/>
  <c r="AD25" i="53"/>
  <c r="T12" i="56"/>
  <c r="Y12"/>
  <c r="V12"/>
  <c r="AA12"/>
  <c r="AF5"/>
  <c r="AF7"/>
  <c r="AF10" s="1"/>
  <c r="T5"/>
  <c r="T7"/>
  <c r="T10" s="1"/>
  <c r="AD29" i="54"/>
  <c r="AF12" i="56" l="1"/>
  <c r="F13" i="1" l="1"/>
  <c r="F12"/>
  <c r="F11"/>
  <c r="E14"/>
  <c r="AD100" i="7"/>
  <c r="F14" i="1" l="1"/>
  <c r="AD20" i="7"/>
  <c r="I32" l="1"/>
  <c r="I33"/>
  <c r="I34"/>
  <c r="I20"/>
  <c r="I21"/>
  <c r="F15" i="1" l="1"/>
  <c r="AD58" i="41"/>
  <c r="AD57"/>
  <c r="AD56"/>
  <c r="AD55"/>
  <c r="AD52"/>
  <c r="AD51"/>
  <c r="AD50"/>
  <c r="AD49"/>
  <c r="AD48"/>
  <c r="AD47"/>
  <c r="AD46"/>
  <c r="AA49"/>
  <c r="AA58"/>
  <c r="AA57"/>
  <c r="AA56"/>
  <c r="AA55"/>
  <c r="AA59" s="1"/>
  <c r="AA52"/>
  <c r="F52" s="1"/>
  <c r="AA51"/>
  <c r="AA50"/>
  <c r="AA48"/>
  <c r="AA47"/>
  <c r="F47" s="1"/>
  <c r="AA46"/>
  <c r="F46" s="1"/>
  <c r="AA53" l="1"/>
  <c r="O58"/>
  <c r="O57"/>
  <c r="O56"/>
  <c r="O55"/>
  <c r="O52"/>
  <c r="O51"/>
  <c r="O50"/>
  <c r="O49"/>
  <c r="O48"/>
  <c r="O47"/>
  <c r="O46"/>
  <c r="I58" l="1"/>
  <c r="I57"/>
  <c r="I56"/>
  <c r="I55"/>
  <c r="I47"/>
  <c r="I48"/>
  <c r="I49"/>
  <c r="I50"/>
  <c r="I51"/>
  <c r="I52"/>
  <c r="I46"/>
  <c r="G53"/>
  <c r="H53"/>
  <c r="G59"/>
  <c r="H59"/>
  <c r="M59"/>
  <c r="N59"/>
  <c r="O59"/>
  <c r="Y59"/>
  <c r="Z59"/>
  <c r="AB59"/>
  <c r="AC59"/>
  <c r="AD59"/>
  <c r="I53" l="1"/>
  <c r="F53"/>
  <c r="D59"/>
  <c r="I59"/>
  <c r="F59"/>
  <c r="E59"/>
  <c r="E53"/>
  <c r="I22" i="7" l="1"/>
  <c r="D21" i="18" l="1"/>
  <c r="AD101" i="7"/>
  <c r="AD96"/>
  <c r="AD65"/>
  <c r="AD66"/>
  <c r="F66" s="1"/>
  <c r="AD67"/>
  <c r="F67" s="1"/>
  <c r="AD68"/>
  <c r="AC63"/>
  <c r="E63" s="1"/>
  <c r="AD31"/>
  <c r="AA31"/>
  <c r="AA30"/>
  <c r="AA25"/>
  <c r="X10"/>
  <c r="W8"/>
  <c r="X6"/>
  <c r="X8" s="1"/>
  <c r="U30"/>
  <c r="R30"/>
  <c r="U22"/>
  <c r="R22"/>
  <c r="O30"/>
  <c r="O20"/>
  <c r="L30"/>
  <c r="L20"/>
  <c r="I30"/>
  <c r="I23"/>
  <c r="I13"/>
  <c r="K45" i="40"/>
  <c r="J46"/>
  <c r="K46"/>
  <c r="K26"/>
  <c r="H34" l="1"/>
  <c r="H35"/>
  <c r="H36"/>
  <c r="H37"/>
  <c r="H38"/>
  <c r="H39"/>
  <c r="H40"/>
  <c r="H41"/>
  <c r="H42"/>
  <c r="H43"/>
  <c r="H44"/>
  <c r="G32"/>
  <c r="G46" s="1"/>
  <c r="H31"/>
  <c r="H5"/>
  <c r="H6"/>
  <c r="H4"/>
  <c r="E17"/>
  <c r="E18"/>
  <c r="E19"/>
  <c r="E20"/>
  <c r="E21"/>
  <c r="E22"/>
  <c r="E23"/>
  <c r="E24"/>
  <c r="E25"/>
  <c r="E16"/>
  <c r="E15" s="1"/>
  <c r="E9"/>
  <c r="E10"/>
  <c r="E11"/>
  <c r="E12"/>
  <c r="E13"/>
  <c r="E14"/>
  <c r="E8"/>
  <c r="D15"/>
  <c r="D7"/>
  <c r="D46" s="1"/>
  <c r="E4"/>
  <c r="E21" i="37"/>
  <c r="C16"/>
  <c r="C15"/>
  <c r="C14"/>
  <c r="C13"/>
  <c r="C12"/>
  <c r="C11"/>
  <c r="E6"/>
  <c r="E5"/>
  <c r="E4"/>
  <c r="R24" i="6"/>
  <c r="O29"/>
  <c r="O16"/>
  <c r="O15"/>
  <c r="O12"/>
  <c r="O9"/>
  <c r="O6"/>
  <c r="L9"/>
  <c r="L6"/>
  <c r="L5"/>
  <c r="K7"/>
  <c r="M7"/>
  <c r="N7"/>
  <c r="O7"/>
  <c r="P7"/>
  <c r="Q7"/>
  <c r="R7"/>
  <c r="S7"/>
  <c r="T7"/>
  <c r="U7"/>
  <c r="I43"/>
  <c r="F43" s="1"/>
  <c r="I42"/>
  <c r="I41"/>
  <c r="F41" s="1"/>
  <c r="I40"/>
  <c r="I39"/>
  <c r="F39" s="1"/>
  <c r="I38"/>
  <c r="I37"/>
  <c r="F37" s="1"/>
  <c r="I33"/>
  <c r="I32"/>
  <c r="I31"/>
  <c r="I30"/>
  <c r="I29"/>
  <c r="I27"/>
  <c r="I26"/>
  <c r="I24"/>
  <c r="I23"/>
  <c r="I22"/>
  <c r="I21"/>
  <c r="I20"/>
  <c r="I19"/>
  <c r="I18"/>
  <c r="I16"/>
  <c r="I15"/>
  <c r="E11"/>
  <c r="E12"/>
  <c r="E13"/>
  <c r="E15"/>
  <c r="F15"/>
  <c r="E16"/>
  <c r="F16"/>
  <c r="E18"/>
  <c r="F18"/>
  <c r="E19"/>
  <c r="F19"/>
  <c r="E20"/>
  <c r="F20"/>
  <c r="E21"/>
  <c r="F21"/>
  <c r="E22"/>
  <c r="F22"/>
  <c r="E23"/>
  <c r="F23"/>
  <c r="E24"/>
  <c r="E26"/>
  <c r="F26"/>
  <c r="E27"/>
  <c r="F27"/>
  <c r="E29"/>
  <c r="F29"/>
  <c r="E30"/>
  <c r="F30"/>
  <c r="E31"/>
  <c r="F31"/>
  <c r="E32"/>
  <c r="F32"/>
  <c r="E33"/>
  <c r="F33"/>
  <c r="E37"/>
  <c r="E38"/>
  <c r="F38"/>
  <c r="E39"/>
  <c r="E40"/>
  <c r="F40"/>
  <c r="E41"/>
  <c r="E42"/>
  <c r="F42"/>
  <c r="E43"/>
  <c r="E44"/>
  <c r="E45" s="1"/>
  <c r="I12"/>
  <c r="F12" s="1"/>
  <c r="I13"/>
  <c r="F13" s="1"/>
  <c r="I11"/>
  <c r="F11" s="1"/>
  <c r="I9"/>
  <c r="I6"/>
  <c r="I5"/>
  <c r="F33" i="1"/>
  <c r="F29"/>
  <c r="F34" s="1"/>
  <c r="F26"/>
  <c r="F24"/>
  <c r="F23"/>
  <c r="F16"/>
  <c r="F9"/>
  <c r="F6"/>
  <c r="D14" i="45"/>
  <c r="D13"/>
  <c r="D10"/>
  <c r="D6"/>
  <c r="D7"/>
  <c r="D4"/>
  <c r="D5"/>
  <c r="D3"/>
  <c r="D30" i="44"/>
  <c r="D4"/>
  <c r="D5"/>
  <c r="D6"/>
  <c r="D7"/>
  <c r="D8"/>
  <c r="D9"/>
  <c r="D10"/>
  <c r="D11"/>
  <c r="D15"/>
  <c r="D16"/>
  <c r="D17"/>
  <c r="D18"/>
  <c r="D21"/>
  <c r="D22"/>
  <c r="D3"/>
  <c r="D26" i="43"/>
  <c r="D5"/>
  <c r="E68" i="9"/>
  <c r="E67"/>
  <c r="E69" s="1"/>
  <c r="E66"/>
  <c r="E56"/>
  <c r="E57"/>
  <c r="E59"/>
  <c r="E60"/>
  <c r="E62"/>
  <c r="E63"/>
  <c r="E64"/>
  <c r="E55"/>
  <c r="E53"/>
  <c r="E45"/>
  <c r="E46"/>
  <c r="E47"/>
  <c r="E48"/>
  <c r="E49"/>
  <c r="E50"/>
  <c r="E51"/>
  <c r="E44"/>
  <c r="E25"/>
  <c r="E26"/>
  <c r="E27"/>
  <c r="E28"/>
  <c r="E29"/>
  <c r="E30"/>
  <c r="E31"/>
  <c r="E32"/>
  <c r="E33"/>
  <c r="E34"/>
  <c r="E35"/>
  <c r="E36"/>
  <c r="E24"/>
  <c r="E14"/>
  <c r="E15"/>
  <c r="E17"/>
  <c r="E18"/>
  <c r="E19"/>
  <c r="E20"/>
  <c r="E21"/>
  <c r="E22"/>
  <c r="E13"/>
  <c r="E9"/>
  <c r="E10"/>
  <c r="E5"/>
  <c r="E34" i="1"/>
  <c r="E28"/>
  <c r="F28"/>
  <c r="E25"/>
  <c r="E17"/>
  <c r="F17"/>
  <c r="E7"/>
  <c r="F7"/>
  <c r="L21" i="8"/>
  <c r="K21"/>
  <c r="L13"/>
  <c r="K13"/>
  <c r="L12"/>
  <c r="K12"/>
  <c r="F25"/>
  <c r="H23" i="18" s="1"/>
  <c r="E25" i="8"/>
  <c r="D16" i="45"/>
  <c r="C16"/>
  <c r="C18" s="1"/>
  <c r="D11"/>
  <c r="C11"/>
  <c r="D8"/>
  <c r="D18" s="1"/>
  <c r="C8"/>
  <c r="C32" i="44"/>
  <c r="D27"/>
  <c r="C27"/>
  <c r="D75" i="9"/>
  <c r="D78" s="1"/>
  <c r="D79" s="1"/>
  <c r="D71"/>
  <c r="E71"/>
  <c r="D69"/>
  <c r="D65"/>
  <c r="D52"/>
  <c r="D54" s="1"/>
  <c r="E52"/>
  <c r="D43"/>
  <c r="E43"/>
  <c r="D40"/>
  <c r="E40"/>
  <c r="D37"/>
  <c r="E37"/>
  <c r="D12"/>
  <c r="D11"/>
  <c r="D5" i="17" s="1"/>
  <c r="D74" i="9"/>
  <c r="E74"/>
  <c r="D26" i="18" s="1"/>
  <c r="G25"/>
  <c r="H25"/>
  <c r="C22"/>
  <c r="C20" s="1"/>
  <c r="D22"/>
  <c r="D20" s="1"/>
  <c r="C25"/>
  <c r="C26"/>
  <c r="G7"/>
  <c r="H7"/>
  <c r="C10"/>
  <c r="D9" i="17"/>
  <c r="E9"/>
  <c r="D10"/>
  <c r="E10"/>
  <c r="C7" i="30" s="1"/>
  <c r="D11" i="17"/>
  <c r="E11"/>
  <c r="C8" i="30" s="1"/>
  <c r="D12" i="17"/>
  <c r="E12"/>
  <c r="C9" i="30" s="1"/>
  <c r="D14" i="17"/>
  <c r="D16"/>
  <c r="E16"/>
  <c r="C14" i="30" s="1"/>
  <c r="D17" i="17"/>
  <c r="E17"/>
  <c r="C15" i="30" s="1"/>
  <c r="D18" i="17"/>
  <c r="E18"/>
  <c r="C16" i="30" s="1"/>
  <c r="D21" i="17"/>
  <c r="E21"/>
  <c r="C18" i="30" s="1"/>
  <c r="B32" i="44"/>
  <c r="D40" i="17" l="1"/>
  <c r="G23" i="18"/>
  <c r="D7"/>
  <c r="E14" i="17"/>
  <c r="C12" i="30" s="1"/>
  <c r="F25" i="1"/>
  <c r="F35" s="1"/>
  <c r="E40" i="17"/>
  <c r="C35" i="30" s="1"/>
  <c r="L7" i="6"/>
  <c r="D23" i="9"/>
  <c r="D72" s="1"/>
  <c r="M46" i="40"/>
  <c r="E54" i="9"/>
  <c r="N16" i="40"/>
  <c r="E7"/>
  <c r="E46" s="1"/>
  <c r="E35" i="1"/>
  <c r="C17" i="37"/>
  <c r="D15" i="17"/>
  <c r="D6"/>
  <c r="D7" s="1"/>
  <c r="D8"/>
  <c r="D22"/>
  <c r="D20" s="1"/>
  <c r="D52" s="1"/>
  <c r="E15"/>
  <c r="E8"/>
  <c r="C24" i="18"/>
  <c r="C27" s="1"/>
  <c r="C3" l="1"/>
  <c r="C16" s="1"/>
  <c r="C28" s="1"/>
  <c r="D4" i="17"/>
  <c r="D19" s="1"/>
  <c r="D25" l="1"/>
  <c r="L16" i="40"/>
  <c r="C15"/>
  <c r="J16" i="29"/>
  <c r="J15"/>
  <c r="J14" s="1"/>
  <c r="E14"/>
  <c r="F14"/>
  <c r="G14"/>
  <c r="H14"/>
  <c r="I14"/>
  <c r="D14"/>
  <c r="AB69" i="7"/>
  <c r="AD69" s="1"/>
  <c r="F69" s="1"/>
  <c r="G20" i="30"/>
  <c r="E20"/>
  <c r="P19"/>
  <c r="D7" i="37"/>
  <c r="E7"/>
  <c r="C7"/>
  <c r="I46" i="40" l="1"/>
  <c r="L5"/>
  <c r="M5"/>
  <c r="N5"/>
  <c r="L6"/>
  <c r="M6"/>
  <c r="N6"/>
  <c r="M7"/>
  <c r="N7"/>
  <c r="L8"/>
  <c r="M8"/>
  <c r="N8"/>
  <c r="L9"/>
  <c r="M9"/>
  <c r="N9"/>
  <c r="L10"/>
  <c r="M10"/>
  <c r="N10"/>
  <c r="L11"/>
  <c r="M11"/>
  <c r="N11"/>
  <c r="L12"/>
  <c r="M12"/>
  <c r="N12"/>
  <c r="L13"/>
  <c r="M13"/>
  <c r="N13"/>
  <c r="L14"/>
  <c r="M14"/>
  <c r="N14"/>
  <c r="M15"/>
  <c r="N15"/>
  <c r="L17"/>
  <c r="M17"/>
  <c r="N17"/>
  <c r="L18"/>
  <c r="M18"/>
  <c r="N18"/>
  <c r="L19"/>
  <c r="M19"/>
  <c r="N19"/>
  <c r="L20"/>
  <c r="M20"/>
  <c r="N20"/>
  <c r="L21"/>
  <c r="M21"/>
  <c r="N21"/>
  <c r="L22"/>
  <c r="M22"/>
  <c r="N22"/>
  <c r="L23"/>
  <c r="M23"/>
  <c r="N23"/>
  <c r="L24"/>
  <c r="M24"/>
  <c r="N24"/>
  <c r="L25"/>
  <c r="M25"/>
  <c r="N25"/>
  <c r="L26"/>
  <c r="M26"/>
  <c r="N26"/>
  <c r="L27"/>
  <c r="M27"/>
  <c r="N27"/>
  <c r="L31"/>
  <c r="M31"/>
  <c r="N31"/>
  <c r="M32"/>
  <c r="M33"/>
  <c r="L34"/>
  <c r="M34"/>
  <c r="N34"/>
  <c r="L35"/>
  <c r="M35"/>
  <c r="N35"/>
  <c r="L36"/>
  <c r="M36"/>
  <c r="N36"/>
  <c r="L37"/>
  <c r="M37"/>
  <c r="N37"/>
  <c r="L38"/>
  <c r="M38"/>
  <c r="N38"/>
  <c r="L39"/>
  <c r="M39"/>
  <c r="N39"/>
  <c r="L40"/>
  <c r="M40"/>
  <c r="N40"/>
  <c r="L41"/>
  <c r="M41"/>
  <c r="N41"/>
  <c r="L42"/>
  <c r="M42"/>
  <c r="N42"/>
  <c r="L43"/>
  <c r="M43"/>
  <c r="N43"/>
  <c r="L44"/>
  <c r="M44"/>
  <c r="N44"/>
  <c r="L45"/>
  <c r="M45"/>
  <c r="N45"/>
  <c r="M4"/>
  <c r="N4"/>
  <c r="L4"/>
  <c r="C6" i="9" l="1"/>
  <c r="E6" s="1"/>
  <c r="N4" i="30"/>
  <c r="L4"/>
  <c r="O37"/>
  <c r="E11" i="37"/>
  <c r="E12"/>
  <c r="E13"/>
  <c r="E14"/>
  <c r="E15"/>
  <c r="E16"/>
  <c r="D16"/>
  <c r="D15"/>
  <c r="D14"/>
  <c r="D13"/>
  <c r="D12"/>
  <c r="D11"/>
  <c r="C22"/>
  <c r="E22"/>
  <c r="D22"/>
  <c r="D17" l="1"/>
  <c r="E17"/>
  <c r="AB64" i="7"/>
  <c r="AD64" s="1"/>
  <c r="C77" i="9" l="1"/>
  <c r="E77" s="1"/>
  <c r="AB70" i="7"/>
  <c r="AD70" l="1"/>
  <c r="D25" i="18"/>
  <c r="D24" s="1"/>
  <c r="D27" s="1"/>
  <c r="C16" i="9"/>
  <c r="E16" s="1"/>
  <c r="E12" s="1"/>
  <c r="E6" i="17" s="1"/>
  <c r="C5" i="30" s="1"/>
  <c r="AB63" i="7"/>
  <c r="D63" s="1"/>
  <c r="C76" i="9"/>
  <c r="E76" s="1"/>
  <c r="E75" l="1"/>
  <c r="E78" s="1"/>
  <c r="E79" s="1"/>
  <c r="E22" i="17"/>
  <c r="E20" s="1"/>
  <c r="D10" i="18"/>
  <c r="AD63" i="7"/>
  <c r="F63" s="1"/>
  <c r="C7" i="40"/>
  <c r="L15"/>
  <c r="G44" i="6"/>
  <c r="D42"/>
  <c r="D43"/>
  <c r="E52" i="17" l="1"/>
  <c r="D44" i="6"/>
  <c r="I44"/>
  <c r="F44" s="1"/>
  <c r="F45" s="1"/>
  <c r="C46" i="40"/>
  <c r="L7"/>
  <c r="C8" i="9"/>
  <c r="E8" s="1"/>
  <c r="C7"/>
  <c r="E7" s="1"/>
  <c r="G37" i="46"/>
  <c r="J36"/>
  <c r="J31"/>
  <c r="J30"/>
  <c r="D16"/>
  <c r="E11" i="9" l="1"/>
  <c r="C58"/>
  <c r="E58" s="1"/>
  <c r="E5" i="17" l="1"/>
  <c r="E23" i="9"/>
  <c r="F33" i="40"/>
  <c r="G25" i="7"/>
  <c r="I25" s="1"/>
  <c r="G31"/>
  <c r="I31" s="1"/>
  <c r="E7" i="17" l="1"/>
  <c r="C4" i="30"/>
  <c r="L33" i="40"/>
  <c r="H33"/>
  <c r="Y71" i="7"/>
  <c r="Z71"/>
  <c r="AA71"/>
  <c r="AB71"/>
  <c r="D71" s="1"/>
  <c r="Y102"/>
  <c r="Z102"/>
  <c r="AA102"/>
  <c r="H32" i="40" l="1"/>
  <c r="N33"/>
  <c r="C61" i="9"/>
  <c r="E61" s="1"/>
  <c r="E65" s="1"/>
  <c r="E72" l="1"/>
  <c r="H46" i="40"/>
  <c r="N46" s="1"/>
  <c r="N32"/>
  <c r="D27" i="46"/>
  <c r="J27" s="1"/>
  <c r="D24"/>
  <c r="J24" s="1"/>
  <c r="G24"/>
  <c r="G28" s="1"/>
  <c r="D21"/>
  <c r="G21"/>
  <c r="D13"/>
  <c r="G13"/>
  <c r="J4"/>
  <c r="J5"/>
  <c r="J6"/>
  <c r="J7"/>
  <c r="J8"/>
  <c r="J9"/>
  <c r="J10"/>
  <c r="J11"/>
  <c r="J12"/>
  <c r="J14"/>
  <c r="J15"/>
  <c r="J17"/>
  <c r="J18"/>
  <c r="J19"/>
  <c r="J20"/>
  <c r="J22"/>
  <c r="J23"/>
  <c r="J25"/>
  <c r="J26"/>
  <c r="J29"/>
  <c r="J32"/>
  <c r="J33"/>
  <c r="J34"/>
  <c r="J35"/>
  <c r="J37"/>
  <c r="J39"/>
  <c r="J40"/>
  <c r="J41"/>
  <c r="J42"/>
  <c r="J43"/>
  <c r="J44" s="1"/>
  <c r="J3"/>
  <c r="J21" l="1"/>
  <c r="J16"/>
  <c r="D28"/>
  <c r="J13"/>
  <c r="D10" i="21" l="1"/>
  <c r="D16" s="1"/>
  <c r="C10"/>
  <c r="C16" s="1"/>
  <c r="J28" i="46" l="1"/>
  <c r="D3" i="18" l="1"/>
  <c r="D16" s="1"/>
  <c r="D28" s="1"/>
  <c r="E4" i="17"/>
  <c r="E19" l="1"/>
  <c r="E25"/>
  <c r="D14" i="1" l="1"/>
  <c r="Y35" i="7"/>
  <c r="Z35"/>
  <c r="AA35"/>
  <c r="Y29"/>
  <c r="Z29"/>
  <c r="AA29"/>
  <c r="Y26"/>
  <c r="Z26"/>
  <c r="AA26"/>
  <c r="Z36" l="1"/>
  <c r="Z94" s="1"/>
  <c r="Y36"/>
  <c r="Y94" s="1"/>
  <c r="AA36"/>
  <c r="AA94" s="1"/>
  <c r="V8"/>
  <c r="C12" i="9" l="1"/>
  <c r="H26" i="7"/>
  <c r="I26"/>
  <c r="J26"/>
  <c r="K26"/>
  <c r="L26"/>
  <c r="H35"/>
  <c r="I35"/>
  <c r="J35"/>
  <c r="K35"/>
  <c r="L35"/>
  <c r="M35"/>
  <c r="E10" i="21"/>
  <c r="K36" i="7" l="1"/>
  <c r="K94" s="1"/>
  <c r="L36"/>
  <c r="L94" s="1"/>
  <c r="J36"/>
  <c r="J94" s="1"/>
  <c r="P18" i="30"/>
  <c r="D25" i="8"/>
  <c r="B25" i="18"/>
  <c r="C74" i="9"/>
  <c r="C21" i="17" s="1"/>
  <c r="C40" l="1"/>
  <c r="F23" i="18"/>
  <c r="F32" i="40"/>
  <c r="B26" i="18"/>
  <c r="F46" i="40" l="1"/>
  <c r="L46" s="1"/>
  <c r="L32"/>
  <c r="B24" i="18"/>
  <c r="J64" i="46" l="1"/>
  <c r="C75" i="9" l="1"/>
  <c r="H7" i="6" l="1"/>
  <c r="I7"/>
  <c r="J7"/>
  <c r="G7"/>
  <c r="D7" i="1"/>
  <c r="B16" i="45" l="1"/>
  <c r="B11"/>
  <c r="B8"/>
  <c r="B18" l="1"/>
  <c r="D34" i="1" l="1"/>
  <c r="D28"/>
  <c r="D25"/>
  <c r="D17"/>
  <c r="D35" l="1"/>
  <c r="C37" i="43"/>
  <c r="D37"/>
  <c r="B37"/>
  <c r="C28"/>
  <c r="D28"/>
  <c r="B28"/>
  <c r="C20"/>
  <c r="D20"/>
  <c r="B20"/>
  <c r="C10"/>
  <c r="D10"/>
  <c r="B10"/>
  <c r="D32" i="44"/>
  <c r="C69" i="9" l="1"/>
  <c r="B7" i="18" l="1"/>
  <c r="C72" i="9"/>
  <c r="H9" i="8"/>
  <c r="I9"/>
  <c r="H10"/>
  <c r="I10"/>
  <c r="H11"/>
  <c r="I11"/>
  <c r="H12"/>
  <c r="I12"/>
  <c r="H13"/>
  <c r="I13"/>
  <c r="G9"/>
  <c r="H7"/>
  <c r="I7"/>
  <c r="G7"/>
  <c r="Y4"/>
  <c r="Z4"/>
  <c r="AA4"/>
  <c r="Z5"/>
  <c r="AA5"/>
  <c r="Z7"/>
  <c r="AA7"/>
  <c r="Z19"/>
  <c r="E19" s="1"/>
  <c r="G10" i="18" s="1"/>
  <c r="AA19" i="8"/>
  <c r="F19" s="1"/>
  <c r="H10" i="18" s="1"/>
  <c r="Z3" i="8"/>
  <c r="AA3"/>
  <c r="J24" i="6"/>
  <c r="L24" s="1"/>
  <c r="F24" s="1"/>
  <c r="D36" i="17" l="1"/>
  <c r="E36"/>
  <c r="C31" i="30" s="1"/>
  <c r="Y3" i="8"/>
  <c r="Y7"/>
  <c r="Y5"/>
  <c r="Y19"/>
  <c r="D19" s="1"/>
  <c r="F10" i="18" s="1"/>
  <c r="H14" i="8"/>
  <c r="I14"/>
  <c r="AD64" i="41"/>
  <c r="AC64"/>
  <c r="AB64"/>
  <c r="AA64"/>
  <c r="Z64"/>
  <c r="Y64"/>
  <c r="O64"/>
  <c r="N64"/>
  <c r="M64"/>
  <c r="I64"/>
  <c r="H64"/>
  <c r="G64"/>
  <c r="F64"/>
  <c r="E64"/>
  <c r="D63"/>
  <c r="D62"/>
  <c r="D61"/>
  <c r="AD53"/>
  <c r="AC53"/>
  <c r="AB53"/>
  <c r="Z53"/>
  <c r="Y53"/>
  <c r="O53"/>
  <c r="N53"/>
  <c r="M53"/>
  <c r="AD34"/>
  <c r="AC34"/>
  <c r="AB34"/>
  <c r="AA34"/>
  <c r="Z34"/>
  <c r="Y34"/>
  <c r="O34"/>
  <c r="N34"/>
  <c r="M34"/>
  <c r="I34"/>
  <c r="H34"/>
  <c r="G34"/>
  <c r="D33"/>
  <c r="D32"/>
  <c r="D31"/>
  <c r="D30"/>
  <c r="D29"/>
  <c r="AD28"/>
  <c r="AC28"/>
  <c r="AB28"/>
  <c r="AA28"/>
  <c r="Z28"/>
  <c r="Y28"/>
  <c r="O28"/>
  <c r="N28"/>
  <c r="M28"/>
  <c r="I28"/>
  <c r="H28"/>
  <c r="G28"/>
  <c r="D28" s="1"/>
  <c r="J12" i="8" s="1"/>
  <c r="D27" i="41"/>
  <c r="D26"/>
  <c r="AD25"/>
  <c r="AC25"/>
  <c r="AB25"/>
  <c r="AA25"/>
  <c r="Z25"/>
  <c r="Y25"/>
  <c r="O25"/>
  <c r="N25"/>
  <c r="M25"/>
  <c r="I25"/>
  <c r="H25"/>
  <c r="G25"/>
  <c r="D24"/>
  <c r="D23"/>
  <c r="F22"/>
  <c r="F25" s="1"/>
  <c r="L11" i="8" s="1"/>
  <c r="E22" i="41"/>
  <c r="E25" s="1"/>
  <c r="K11" i="8" s="1"/>
  <c r="D22" i="41"/>
  <c r="D21"/>
  <c r="D20"/>
  <c r="D19"/>
  <c r="D18"/>
  <c r="AD17"/>
  <c r="AC17"/>
  <c r="AB17"/>
  <c r="AA17"/>
  <c r="Z17"/>
  <c r="Y17"/>
  <c r="O17"/>
  <c r="N17"/>
  <c r="M17"/>
  <c r="I17"/>
  <c r="H17"/>
  <c r="G17"/>
  <c r="F17"/>
  <c r="L10" i="8" s="1"/>
  <c r="E17" i="41"/>
  <c r="K10" i="8" s="1"/>
  <c r="D16" i="41"/>
  <c r="D15"/>
  <c r="AD14"/>
  <c r="AC14"/>
  <c r="AB14"/>
  <c r="AA14"/>
  <c r="Z14"/>
  <c r="Y14"/>
  <c r="O14"/>
  <c r="N14"/>
  <c r="M14"/>
  <c r="I14"/>
  <c r="H14"/>
  <c r="G14"/>
  <c r="F14"/>
  <c r="L9" i="8" s="1"/>
  <c r="E14" i="41"/>
  <c r="K9" i="8" s="1"/>
  <c r="D13" i="41"/>
  <c r="D12"/>
  <c r="D11"/>
  <c r="D9"/>
  <c r="D8"/>
  <c r="F7"/>
  <c r="E7"/>
  <c r="D7"/>
  <c r="D6"/>
  <c r="D5"/>
  <c r="E22" i="5"/>
  <c r="F22"/>
  <c r="E9" i="6"/>
  <c r="Q7" i="8" s="1"/>
  <c r="F9" i="6"/>
  <c r="R7" i="8" s="1"/>
  <c r="D9" i="6"/>
  <c r="E6"/>
  <c r="Q4" i="8" s="1"/>
  <c r="F6" i="6"/>
  <c r="D6"/>
  <c r="E5"/>
  <c r="Q3" i="8" s="1"/>
  <c r="F5" i="6"/>
  <c r="R3" i="8" s="1"/>
  <c r="D5" i="6"/>
  <c r="S16" i="8"/>
  <c r="T16"/>
  <c r="E16" s="1"/>
  <c r="G8" i="18" s="1"/>
  <c r="U16" i="8"/>
  <c r="F16" s="1"/>
  <c r="H8" i="18" s="1"/>
  <c r="N23" i="8"/>
  <c r="E23" s="1"/>
  <c r="G22" i="18" s="1"/>
  <c r="O23" i="8"/>
  <c r="F23" s="1"/>
  <c r="H22" i="18" s="1"/>
  <c r="M23" i="8"/>
  <c r="D23" s="1"/>
  <c r="F22" i="18" s="1"/>
  <c r="N12" i="8"/>
  <c r="O12"/>
  <c r="N13"/>
  <c r="O13"/>
  <c r="N7"/>
  <c r="O7"/>
  <c r="N3"/>
  <c r="O3"/>
  <c r="N4"/>
  <c r="O4"/>
  <c r="H3"/>
  <c r="I3"/>
  <c r="H4"/>
  <c r="I4"/>
  <c r="G3"/>
  <c r="E4" l="1"/>
  <c r="E7"/>
  <c r="D39" i="17"/>
  <c r="F3" i="8"/>
  <c r="E3"/>
  <c r="E39" i="17"/>
  <c r="C34" i="30" s="1"/>
  <c r="F7" i="8"/>
  <c r="D53" i="41"/>
  <c r="J21" i="8" s="1"/>
  <c r="D34" i="17"/>
  <c r="E34"/>
  <c r="C29" i="30" s="1"/>
  <c r="D25" i="41"/>
  <c r="J11" i="8" s="1"/>
  <c r="D64" i="41"/>
  <c r="D14"/>
  <c r="J9" i="8" s="1"/>
  <c r="U27"/>
  <c r="U30" s="1"/>
  <c r="D17" i="41"/>
  <c r="J10" i="8" s="1"/>
  <c r="I35" i="41"/>
  <c r="I66" s="1"/>
  <c r="Y35"/>
  <c r="Y66" s="1"/>
  <c r="AC35"/>
  <c r="AC66" s="1"/>
  <c r="N35"/>
  <c r="AA35"/>
  <c r="AA66" s="1"/>
  <c r="H35"/>
  <c r="H66" s="1"/>
  <c r="O35"/>
  <c r="O66" s="1"/>
  <c r="AB35"/>
  <c r="AB66" s="1"/>
  <c r="E35"/>
  <c r="K14" i="8" s="1"/>
  <c r="K27" s="1"/>
  <c r="K30" s="1"/>
  <c r="F35" i="41"/>
  <c r="Z35"/>
  <c r="Z66" s="1"/>
  <c r="AD35"/>
  <c r="AD66" s="1"/>
  <c r="T27" i="8"/>
  <c r="T30" s="1"/>
  <c r="S27"/>
  <c r="S30" s="1"/>
  <c r="D16"/>
  <c r="F8" i="18" s="1"/>
  <c r="F7"/>
  <c r="C36" i="17"/>
  <c r="D34" i="41"/>
  <c r="J13" i="8" s="1"/>
  <c r="I5"/>
  <c r="V27"/>
  <c r="V30" s="1"/>
  <c r="H5"/>
  <c r="E66" i="41"/>
  <c r="N66"/>
  <c r="G35"/>
  <c r="G66" s="1"/>
  <c r="M35"/>
  <c r="M66" s="1"/>
  <c r="E7" i="6"/>
  <c r="F7"/>
  <c r="D7"/>
  <c r="R4" i="8"/>
  <c r="R5" s="1"/>
  <c r="Q5"/>
  <c r="O5"/>
  <c r="N5"/>
  <c r="I71" i="7"/>
  <c r="H71"/>
  <c r="G71"/>
  <c r="O35"/>
  <c r="N35"/>
  <c r="G35"/>
  <c r="O29"/>
  <c r="N29"/>
  <c r="M29"/>
  <c r="I29"/>
  <c r="H29"/>
  <c r="G29"/>
  <c r="O26"/>
  <c r="N26"/>
  <c r="M26"/>
  <c r="G26"/>
  <c r="O18"/>
  <c r="N18"/>
  <c r="M18"/>
  <c r="I18"/>
  <c r="H18"/>
  <c r="G18"/>
  <c r="O15"/>
  <c r="N15"/>
  <c r="M15"/>
  <c r="I15"/>
  <c r="H15"/>
  <c r="G15"/>
  <c r="D32" i="17" l="1"/>
  <c r="G5" i="18"/>
  <c r="E32" i="17"/>
  <c r="C27" i="30" s="1"/>
  <c r="H5" i="18"/>
  <c r="H27" i="8"/>
  <c r="H30" s="1"/>
  <c r="E5"/>
  <c r="F66" i="41"/>
  <c r="L14" i="8"/>
  <c r="L27" s="1"/>
  <c r="L30" s="1"/>
  <c r="W30"/>
  <c r="X27"/>
  <c r="X30" s="1"/>
  <c r="F4"/>
  <c r="I27"/>
  <c r="I30" s="1"/>
  <c r="F5"/>
  <c r="I36" i="7"/>
  <c r="I94" s="1"/>
  <c r="H36"/>
  <c r="G36"/>
  <c r="G94" s="1"/>
  <c r="D35" i="41"/>
  <c r="N36" i="7"/>
  <c r="N94" s="1"/>
  <c r="O36"/>
  <c r="O94" s="1"/>
  <c r="M36"/>
  <c r="M94" s="1"/>
  <c r="E31" i="17" l="1"/>
  <c r="C26" i="30" s="1"/>
  <c r="H4" i="18"/>
  <c r="D31" i="17"/>
  <c r="G4" i="18"/>
  <c r="H94" i="7"/>
  <c r="D66" i="41"/>
  <c r="J14" i="8"/>
  <c r="J11" i="29"/>
  <c r="J10"/>
  <c r="I9"/>
  <c r="H9"/>
  <c r="G9"/>
  <c r="F9"/>
  <c r="F17" s="1"/>
  <c r="E9"/>
  <c r="E17" s="1"/>
  <c r="D9"/>
  <c r="E5"/>
  <c r="P37" i="30"/>
  <c r="O36"/>
  <c r="N36"/>
  <c r="M36"/>
  <c r="L36"/>
  <c r="K36"/>
  <c r="J36"/>
  <c r="I36"/>
  <c r="H36"/>
  <c r="G36"/>
  <c r="F36"/>
  <c r="E36"/>
  <c r="D36"/>
  <c r="P35"/>
  <c r="P34"/>
  <c r="P33"/>
  <c r="O32"/>
  <c r="N32"/>
  <c r="N38" s="1"/>
  <c r="M32"/>
  <c r="L32"/>
  <c r="K32"/>
  <c r="J32"/>
  <c r="J38" s="1"/>
  <c r="I32"/>
  <c r="H32"/>
  <c r="G32"/>
  <c r="F32"/>
  <c r="E32"/>
  <c r="D32"/>
  <c r="P31"/>
  <c r="P32" s="1"/>
  <c r="P30"/>
  <c r="P29"/>
  <c r="P28"/>
  <c r="P27"/>
  <c r="P26"/>
  <c r="O21"/>
  <c r="O22" s="1"/>
  <c r="N21"/>
  <c r="N22" s="1"/>
  <c r="M21"/>
  <c r="M22" s="1"/>
  <c r="L21"/>
  <c r="L22" s="1"/>
  <c r="K21"/>
  <c r="K22" s="1"/>
  <c r="J21"/>
  <c r="J22" s="1"/>
  <c r="I21"/>
  <c r="I22" s="1"/>
  <c r="H21"/>
  <c r="H22" s="1"/>
  <c r="G21"/>
  <c r="G22" s="1"/>
  <c r="F21"/>
  <c r="F22" s="1"/>
  <c r="E21"/>
  <c r="E22" s="1"/>
  <c r="D21"/>
  <c r="D22" s="1"/>
  <c r="P20"/>
  <c r="O17"/>
  <c r="N17"/>
  <c r="M17"/>
  <c r="L17"/>
  <c r="K17"/>
  <c r="J17"/>
  <c r="I17"/>
  <c r="H17"/>
  <c r="G17"/>
  <c r="F17"/>
  <c r="E17"/>
  <c r="D17"/>
  <c r="P16"/>
  <c r="P15"/>
  <c r="P14"/>
  <c r="P12"/>
  <c r="P11"/>
  <c r="N10"/>
  <c r="L10"/>
  <c r="J10"/>
  <c r="I10"/>
  <c r="H10"/>
  <c r="D10"/>
  <c r="P9"/>
  <c r="P8"/>
  <c r="O10"/>
  <c r="M10"/>
  <c r="K10"/>
  <c r="G10"/>
  <c r="F10"/>
  <c r="E10"/>
  <c r="O6"/>
  <c r="N6"/>
  <c r="M6"/>
  <c r="L6"/>
  <c r="K6"/>
  <c r="J6"/>
  <c r="I6"/>
  <c r="H6"/>
  <c r="G6"/>
  <c r="F6"/>
  <c r="E6"/>
  <c r="D6"/>
  <c r="P5"/>
  <c r="P4"/>
  <c r="E16" i="21"/>
  <c r="AB15" i="7"/>
  <c r="AC15"/>
  <c r="AD15"/>
  <c r="AB18"/>
  <c r="AC18"/>
  <c r="AD18"/>
  <c r="AB26"/>
  <c r="AC26"/>
  <c r="AD26"/>
  <c r="AB29"/>
  <c r="AC29"/>
  <c r="AD29"/>
  <c r="AB35"/>
  <c r="AC35"/>
  <c r="AD35"/>
  <c r="F25" i="18"/>
  <c r="D52" i="5"/>
  <c r="C65" i="9"/>
  <c r="C52"/>
  <c r="C78"/>
  <c r="E64" i="5"/>
  <c r="F64"/>
  <c r="G64"/>
  <c r="H64"/>
  <c r="I64"/>
  <c r="J64"/>
  <c r="K64"/>
  <c r="L64"/>
  <c r="M64"/>
  <c r="N64"/>
  <c r="O64"/>
  <c r="P64"/>
  <c r="Q64"/>
  <c r="R64"/>
  <c r="D62"/>
  <c r="D63"/>
  <c r="D61"/>
  <c r="G4" i="8"/>
  <c r="C17" i="17"/>
  <c r="C12"/>
  <c r="D63" i="1"/>
  <c r="C43" i="9"/>
  <c r="AC99" i="7"/>
  <c r="Z29" i="8" s="1"/>
  <c r="E29" s="1"/>
  <c r="AD99" i="7"/>
  <c r="AA29" i="8" s="1"/>
  <c r="F29" s="1"/>
  <c r="P99" i="7"/>
  <c r="Q99"/>
  <c r="R99"/>
  <c r="S99"/>
  <c r="S102" s="1"/>
  <c r="T99"/>
  <c r="T102" s="1"/>
  <c r="U99"/>
  <c r="U102" s="1"/>
  <c r="V99"/>
  <c r="V102" s="1"/>
  <c r="W99"/>
  <c r="W102" s="1"/>
  <c r="X99"/>
  <c r="X102" s="1"/>
  <c r="C71" i="9"/>
  <c r="C40"/>
  <c r="AC71" i="7"/>
  <c r="E71" s="1"/>
  <c r="AD71"/>
  <c r="F71" s="1"/>
  <c r="C9" i="17"/>
  <c r="C37" i="9"/>
  <c r="AB99" i="7"/>
  <c r="P53" i="5"/>
  <c r="Q53"/>
  <c r="R53"/>
  <c r="P14"/>
  <c r="Q14"/>
  <c r="R14"/>
  <c r="P17"/>
  <c r="Q17"/>
  <c r="R17"/>
  <c r="P25"/>
  <c r="Q25"/>
  <c r="R25"/>
  <c r="P28"/>
  <c r="Q28"/>
  <c r="R28"/>
  <c r="P34"/>
  <c r="Q34"/>
  <c r="R34"/>
  <c r="D8"/>
  <c r="D11"/>
  <c r="D12"/>
  <c r="D13"/>
  <c r="D15"/>
  <c r="D16"/>
  <c r="D18"/>
  <c r="D19"/>
  <c r="D20"/>
  <c r="D21"/>
  <c r="D23"/>
  <c r="D24"/>
  <c r="D26"/>
  <c r="D27"/>
  <c r="D29"/>
  <c r="D30"/>
  <c r="D31"/>
  <c r="D32"/>
  <c r="D33"/>
  <c r="D46"/>
  <c r="D48"/>
  <c r="D49"/>
  <c r="D50"/>
  <c r="D51"/>
  <c r="C11" i="9"/>
  <c r="H28" i="5"/>
  <c r="I28"/>
  <c r="J28"/>
  <c r="K28"/>
  <c r="L28"/>
  <c r="M28"/>
  <c r="N28"/>
  <c r="O28"/>
  <c r="H34"/>
  <c r="I34"/>
  <c r="J34"/>
  <c r="K34"/>
  <c r="L34"/>
  <c r="M34"/>
  <c r="N34"/>
  <c r="O34"/>
  <c r="H53"/>
  <c r="I53"/>
  <c r="J53"/>
  <c r="K53"/>
  <c r="L53"/>
  <c r="M53"/>
  <c r="N53"/>
  <c r="O53"/>
  <c r="E53"/>
  <c r="N21" i="8" s="1"/>
  <c r="F53" i="5"/>
  <c r="O21" i="8" s="1"/>
  <c r="G28" i="5"/>
  <c r="G34"/>
  <c r="E7"/>
  <c r="F7"/>
  <c r="F25"/>
  <c r="O11" i="8" s="1"/>
  <c r="E25" i="5"/>
  <c r="O25"/>
  <c r="N25"/>
  <c r="M25"/>
  <c r="L25"/>
  <c r="K25"/>
  <c r="J25"/>
  <c r="I25"/>
  <c r="H25"/>
  <c r="F17"/>
  <c r="O10" i="8" s="1"/>
  <c r="E17" i="5"/>
  <c r="N10" i="8" s="1"/>
  <c r="O17" i="5"/>
  <c r="N17"/>
  <c r="M17"/>
  <c r="L17"/>
  <c r="K17"/>
  <c r="J17"/>
  <c r="I17"/>
  <c r="H17"/>
  <c r="G17"/>
  <c r="F14"/>
  <c r="O9" i="8" s="1"/>
  <c r="E14" i="5"/>
  <c r="N9" i="8" s="1"/>
  <c r="O14" i="5"/>
  <c r="N14"/>
  <c r="M14"/>
  <c r="L14"/>
  <c r="K14"/>
  <c r="J14"/>
  <c r="I14"/>
  <c r="H14"/>
  <c r="G14"/>
  <c r="G25"/>
  <c r="P35" i="7"/>
  <c r="Q35"/>
  <c r="R35"/>
  <c r="S35"/>
  <c r="T35"/>
  <c r="U35"/>
  <c r="V35"/>
  <c r="W35"/>
  <c r="X35"/>
  <c r="P29"/>
  <c r="Q29"/>
  <c r="R29"/>
  <c r="S29"/>
  <c r="T29"/>
  <c r="U29"/>
  <c r="V29"/>
  <c r="W29"/>
  <c r="X29"/>
  <c r="S26"/>
  <c r="T26"/>
  <c r="U26"/>
  <c r="V26"/>
  <c r="W26"/>
  <c r="X26"/>
  <c r="S18"/>
  <c r="T18"/>
  <c r="U18"/>
  <c r="V18"/>
  <c r="W18"/>
  <c r="X18"/>
  <c r="S15"/>
  <c r="T15"/>
  <c r="U15"/>
  <c r="V15"/>
  <c r="W15"/>
  <c r="X15"/>
  <c r="Q71"/>
  <c r="R71"/>
  <c r="S71"/>
  <c r="T71"/>
  <c r="U71"/>
  <c r="V71"/>
  <c r="W71"/>
  <c r="X71"/>
  <c r="R26"/>
  <c r="Q26"/>
  <c r="P26"/>
  <c r="R18"/>
  <c r="Q18"/>
  <c r="P18"/>
  <c r="R15"/>
  <c r="Q15"/>
  <c r="P15"/>
  <c r="H28" i="6"/>
  <c r="I28"/>
  <c r="J28"/>
  <c r="K28"/>
  <c r="L28"/>
  <c r="M28"/>
  <c r="N28"/>
  <c r="O28"/>
  <c r="P28"/>
  <c r="Q28"/>
  <c r="R28"/>
  <c r="S28"/>
  <c r="T28"/>
  <c r="U28"/>
  <c r="G28"/>
  <c r="D38"/>
  <c r="D39"/>
  <c r="D40"/>
  <c r="D41"/>
  <c r="D37"/>
  <c r="D12"/>
  <c r="D13"/>
  <c r="D15"/>
  <c r="D16"/>
  <c r="D18"/>
  <c r="D19"/>
  <c r="D20"/>
  <c r="D21"/>
  <c r="D23"/>
  <c r="D24"/>
  <c r="D26"/>
  <c r="D27"/>
  <c r="D29"/>
  <c r="D30"/>
  <c r="D31"/>
  <c r="D32"/>
  <c r="D33"/>
  <c r="D11"/>
  <c r="Q21" i="8"/>
  <c r="E21" s="1"/>
  <c r="R21"/>
  <c r="H45" i="6"/>
  <c r="I45"/>
  <c r="J45"/>
  <c r="K45"/>
  <c r="L45"/>
  <c r="M45"/>
  <c r="N45"/>
  <c r="O45"/>
  <c r="P45"/>
  <c r="Q45"/>
  <c r="R45"/>
  <c r="S45"/>
  <c r="T45"/>
  <c r="U45"/>
  <c r="G45"/>
  <c r="H34"/>
  <c r="I34"/>
  <c r="J34"/>
  <c r="K34"/>
  <c r="L34"/>
  <c r="M34"/>
  <c r="N34"/>
  <c r="O34"/>
  <c r="P34"/>
  <c r="Q34"/>
  <c r="R34"/>
  <c r="S34"/>
  <c r="T34"/>
  <c r="U34"/>
  <c r="G34"/>
  <c r="U25"/>
  <c r="T25"/>
  <c r="S25"/>
  <c r="R25"/>
  <c r="Q25"/>
  <c r="P25"/>
  <c r="O25"/>
  <c r="N25"/>
  <c r="M25"/>
  <c r="L25"/>
  <c r="K25"/>
  <c r="J25"/>
  <c r="I25"/>
  <c r="H25"/>
  <c r="E25" s="1"/>
  <c r="Q11" i="8" s="1"/>
  <c r="G25" i="6"/>
  <c r="U17"/>
  <c r="T17"/>
  <c r="S17"/>
  <c r="R17"/>
  <c r="Q17"/>
  <c r="P17"/>
  <c r="O17"/>
  <c r="N17"/>
  <c r="M17"/>
  <c r="L17"/>
  <c r="K17"/>
  <c r="J17"/>
  <c r="I17"/>
  <c r="H17"/>
  <c r="E17" s="1"/>
  <c r="Q10" i="8" s="1"/>
  <c r="G17" i="6"/>
  <c r="U14"/>
  <c r="T14"/>
  <c r="S14"/>
  <c r="R14"/>
  <c r="Q14"/>
  <c r="P14"/>
  <c r="O14"/>
  <c r="N14"/>
  <c r="M14"/>
  <c r="L14"/>
  <c r="K14"/>
  <c r="J14"/>
  <c r="I14"/>
  <c r="H14"/>
  <c r="E14" s="1"/>
  <c r="Q9" i="8" s="1"/>
  <c r="G14" i="6"/>
  <c r="D43" i="1"/>
  <c r="E52"/>
  <c r="E65" s="1"/>
  <c r="F52"/>
  <c r="F65" s="1"/>
  <c r="D52"/>
  <c r="G13" i="8"/>
  <c r="G12"/>
  <c r="G11"/>
  <c r="G10"/>
  <c r="F21" l="1"/>
  <c r="G21" i="18"/>
  <c r="D38" i="17"/>
  <c r="H38" i="30"/>
  <c r="P36"/>
  <c r="F14" i="6"/>
  <c r="R9" i="8" s="1"/>
  <c r="E34" i="6"/>
  <c r="F28"/>
  <c r="R12" i="8" s="1"/>
  <c r="E28" i="6"/>
  <c r="Q12" i="8" s="1"/>
  <c r="F34" i="6"/>
  <c r="F17"/>
  <c r="R10" i="8" s="1"/>
  <c r="F25" i="6"/>
  <c r="R11" i="8" s="1"/>
  <c r="R13"/>
  <c r="G20" i="18"/>
  <c r="G27" s="1"/>
  <c r="D37" i="17"/>
  <c r="L38" i="30"/>
  <c r="G13"/>
  <c r="Y9" i="8"/>
  <c r="AA13"/>
  <c r="Z10"/>
  <c r="E10" s="1"/>
  <c r="AA11"/>
  <c r="Z11"/>
  <c r="Z13"/>
  <c r="AA9"/>
  <c r="F9" s="1"/>
  <c r="Z9"/>
  <c r="E9" s="1"/>
  <c r="AA10"/>
  <c r="AA12"/>
  <c r="C6" i="17"/>
  <c r="C23" i="9"/>
  <c r="O38" i="30"/>
  <c r="K38"/>
  <c r="G38"/>
  <c r="F38"/>
  <c r="E38"/>
  <c r="J9" i="29"/>
  <c r="J17" s="1"/>
  <c r="J27" i="8"/>
  <c r="J30" s="1"/>
  <c r="P21" i="30"/>
  <c r="P17"/>
  <c r="N13"/>
  <c r="N23" s="1"/>
  <c r="N40" s="1"/>
  <c r="I13"/>
  <c r="L13"/>
  <c r="L23" s="1"/>
  <c r="L40" s="1"/>
  <c r="D13"/>
  <c r="D23" s="1"/>
  <c r="D38"/>
  <c r="I38"/>
  <c r="M38"/>
  <c r="O13"/>
  <c r="O23" s="1"/>
  <c r="P6"/>
  <c r="F13"/>
  <c r="F23" s="1"/>
  <c r="F40" s="1"/>
  <c r="K13"/>
  <c r="K23" s="1"/>
  <c r="K40" s="1"/>
  <c r="J13"/>
  <c r="J23" s="1"/>
  <c r="J40" s="1"/>
  <c r="G23"/>
  <c r="G40" s="1"/>
  <c r="E13"/>
  <c r="E23" s="1"/>
  <c r="M13"/>
  <c r="M23" s="1"/>
  <c r="M40" s="1"/>
  <c r="H13"/>
  <c r="H23" s="1"/>
  <c r="H17" i="29"/>
  <c r="D17"/>
  <c r="G17"/>
  <c r="I17"/>
  <c r="C11" i="17"/>
  <c r="C10"/>
  <c r="C5"/>
  <c r="Q102" i="7"/>
  <c r="R102"/>
  <c r="Z18" i="8"/>
  <c r="E18" s="1"/>
  <c r="Z12"/>
  <c r="E12" s="1"/>
  <c r="AA18"/>
  <c r="F18" s="1"/>
  <c r="C16" i="17"/>
  <c r="G5" i="8"/>
  <c r="C18" i="17"/>
  <c r="G14" i="8"/>
  <c r="Y11"/>
  <c r="AD36" i="7"/>
  <c r="AD94" s="1"/>
  <c r="F94" s="1"/>
  <c r="Y10" i="8"/>
  <c r="W36" i="7"/>
  <c r="W94" s="1"/>
  <c r="Q36"/>
  <c r="T35" i="6"/>
  <c r="T58" s="1"/>
  <c r="D17"/>
  <c r="N35"/>
  <c r="O35"/>
  <c r="O58" s="1"/>
  <c r="R14" i="8"/>
  <c r="L35" i="6"/>
  <c r="L58" s="1"/>
  <c r="D22"/>
  <c r="D14"/>
  <c r="J35"/>
  <c r="R35"/>
  <c r="O14" i="8"/>
  <c r="O27" s="1"/>
  <c r="O30" s="1"/>
  <c r="D64" i="5"/>
  <c r="H35"/>
  <c r="H66" s="1"/>
  <c r="M35"/>
  <c r="M66" s="1"/>
  <c r="E35"/>
  <c r="E66" s="1"/>
  <c r="N11" i="8"/>
  <c r="N14" s="1"/>
  <c r="N27" s="1"/>
  <c r="N30" s="1"/>
  <c r="D9" i="5"/>
  <c r="M7" i="8" s="1"/>
  <c r="P35" i="5"/>
  <c r="P66" s="1"/>
  <c r="G35" i="6"/>
  <c r="G58" s="1"/>
  <c r="Y12" i="8"/>
  <c r="P71" i="7"/>
  <c r="P102"/>
  <c r="T36"/>
  <c r="T94" s="1"/>
  <c r="C39" i="17"/>
  <c r="D5" i="5"/>
  <c r="M3" i="8" s="1"/>
  <c r="K35" i="6"/>
  <c r="K58" s="1"/>
  <c r="S35"/>
  <c r="S58" s="1"/>
  <c r="P4" i="8"/>
  <c r="R36" i="7"/>
  <c r="AC36"/>
  <c r="AC94" s="1"/>
  <c r="E94" s="1"/>
  <c r="AB36"/>
  <c r="I35" i="6"/>
  <c r="I58" s="1"/>
  <c r="D34"/>
  <c r="D45"/>
  <c r="H35"/>
  <c r="H58" s="1"/>
  <c r="U35"/>
  <c r="U58" s="1"/>
  <c r="P7" i="8"/>
  <c r="Q35" i="6"/>
  <c r="P35"/>
  <c r="D6" i="5"/>
  <c r="M4" i="8" s="1"/>
  <c r="I35" i="5"/>
  <c r="I66" s="1"/>
  <c r="L35"/>
  <c r="L66" s="1"/>
  <c r="D28"/>
  <c r="M12" i="8" s="1"/>
  <c r="R35" i="5"/>
  <c r="R66" s="1"/>
  <c r="D17"/>
  <c r="M10" i="8" s="1"/>
  <c r="K35" i="5"/>
  <c r="K66" s="1"/>
  <c r="F35"/>
  <c r="F66" s="1"/>
  <c r="M35" i="6"/>
  <c r="M58" s="1"/>
  <c r="D25"/>
  <c r="D47" i="5"/>
  <c r="D53" s="1"/>
  <c r="M21" i="8" s="1"/>
  <c r="G53" i="5"/>
  <c r="D65" i="1"/>
  <c r="D28" i="6"/>
  <c r="P12" i="8" s="1"/>
  <c r="U36" i="7"/>
  <c r="U94" s="1"/>
  <c r="S36"/>
  <c r="S94" s="1"/>
  <c r="G35" i="5"/>
  <c r="G66" s="1"/>
  <c r="D22"/>
  <c r="D14"/>
  <c r="M9" i="8" s="1"/>
  <c r="D34" i="5"/>
  <c r="M13" i="8" s="1"/>
  <c r="O35" i="5"/>
  <c r="O66" s="1"/>
  <c r="I23" i="30"/>
  <c r="C14" i="17"/>
  <c r="D25" i="5"/>
  <c r="M11" i="8" s="1"/>
  <c r="Q35" i="5"/>
  <c r="Q66" s="1"/>
  <c r="X36" i="7"/>
  <c r="X94" s="1"/>
  <c r="P36"/>
  <c r="V36"/>
  <c r="V94" s="1"/>
  <c r="N35" i="5"/>
  <c r="N66" s="1"/>
  <c r="J35"/>
  <c r="J66" s="1"/>
  <c r="P7" i="30"/>
  <c r="P10" s="1"/>
  <c r="C54" i="9"/>
  <c r="H21" i="18" l="1"/>
  <c r="H20" s="1"/>
  <c r="H27" s="1"/>
  <c r="E38" i="17"/>
  <c r="F12" i="8"/>
  <c r="D35" i="17"/>
  <c r="G9" i="18"/>
  <c r="H40" i="30"/>
  <c r="E35" i="17"/>
  <c r="C30" i="30" s="1"/>
  <c r="H9" i="18"/>
  <c r="E11" i="8"/>
  <c r="E35" i="6"/>
  <c r="E58" s="1"/>
  <c r="Q13" i="8"/>
  <c r="Q14" s="1"/>
  <c r="D53" i="17"/>
  <c r="D51" s="1"/>
  <c r="F10" i="8"/>
  <c r="E53" i="17"/>
  <c r="E51" s="1"/>
  <c r="F13" i="8"/>
  <c r="F11"/>
  <c r="F35" i="6"/>
  <c r="F58" s="1"/>
  <c r="R27" i="8"/>
  <c r="R30" s="1"/>
  <c r="Q27"/>
  <c r="Q30" s="1"/>
  <c r="I40" i="30"/>
  <c r="P38"/>
  <c r="P22"/>
  <c r="P9" i="8"/>
  <c r="D9" s="1"/>
  <c r="P10"/>
  <c r="D10" s="1"/>
  <c r="P11"/>
  <c r="D11" s="1"/>
  <c r="P13"/>
  <c r="O40" i="30"/>
  <c r="G27" i="8"/>
  <c r="G30" s="1"/>
  <c r="P21"/>
  <c r="D21" s="1"/>
  <c r="Y13"/>
  <c r="P94" i="7"/>
  <c r="Q94"/>
  <c r="R94"/>
  <c r="D12" i="8"/>
  <c r="B10" i="18"/>
  <c r="C8" i="17"/>
  <c r="E40" i="30"/>
  <c r="C53" i="17"/>
  <c r="D4" i="8"/>
  <c r="D7"/>
  <c r="C22" i="17"/>
  <c r="C21" i="30"/>
  <c r="C22" s="1"/>
  <c r="C7" i="17"/>
  <c r="D40" i="30"/>
  <c r="P13"/>
  <c r="AA14" i="8"/>
  <c r="AA27" s="1"/>
  <c r="Z14"/>
  <c r="Z27" s="1"/>
  <c r="Y29"/>
  <c r="C15" i="17"/>
  <c r="N58" i="6"/>
  <c r="J58"/>
  <c r="R58"/>
  <c r="P58"/>
  <c r="P3" i="8"/>
  <c r="P5" s="1"/>
  <c r="M14"/>
  <c r="M5"/>
  <c r="D7" i="5"/>
  <c r="Q58" i="6"/>
  <c r="AB94" i="7"/>
  <c r="D94" s="1"/>
  <c r="D35" i="5"/>
  <c r="D66" s="1"/>
  <c r="D35" i="6"/>
  <c r="F21" i="18" l="1"/>
  <c r="C38" i="17"/>
  <c r="C33" i="30"/>
  <c r="E37" i="17"/>
  <c r="C32"/>
  <c r="F5" i="18"/>
  <c r="E13" i="8"/>
  <c r="E14"/>
  <c r="G6" i="18" s="1"/>
  <c r="F14" i="8"/>
  <c r="AA30"/>
  <c r="F27"/>
  <c r="F30" s="1"/>
  <c r="Z30"/>
  <c r="E27"/>
  <c r="E30" s="1"/>
  <c r="C10" i="30"/>
  <c r="P23"/>
  <c r="P14" i="8"/>
  <c r="D13"/>
  <c r="C6" i="30"/>
  <c r="Y14" i="8"/>
  <c r="C17" i="30"/>
  <c r="C20" i="17"/>
  <c r="D5" i="8"/>
  <c r="D29"/>
  <c r="D3"/>
  <c r="C4" i="17"/>
  <c r="M27" i="8"/>
  <c r="M30" s="1"/>
  <c r="B3" i="18"/>
  <c r="D58" i="6"/>
  <c r="C31" i="17" l="1"/>
  <c r="F4" i="18"/>
  <c r="E33" i="17"/>
  <c r="C28" i="30" s="1"/>
  <c r="H6" i="18"/>
  <c r="D33" i="17"/>
  <c r="H3" i="18"/>
  <c r="D14" i="8"/>
  <c r="P27"/>
  <c r="P30" s="1"/>
  <c r="P40" i="30"/>
  <c r="C13"/>
  <c r="C23" s="1"/>
  <c r="B20" i="18"/>
  <c r="C52" i="17"/>
  <c r="B16" i="18"/>
  <c r="C19" i="17"/>
  <c r="C25"/>
  <c r="Y18" i="8"/>
  <c r="C34" i="17"/>
  <c r="C33" l="1"/>
  <c r="F6" i="18"/>
  <c r="H16"/>
  <c r="H28" s="1"/>
  <c r="G3"/>
  <c r="D30" i="17"/>
  <c r="D41" s="1"/>
  <c r="D43" s="1"/>
  <c r="D56" s="1"/>
  <c r="E30"/>
  <c r="E41" s="1"/>
  <c r="E47" s="1"/>
  <c r="B27" i="18"/>
  <c r="C51" i="17"/>
  <c r="F20" i="18"/>
  <c r="C37" i="17"/>
  <c r="C36" i="30"/>
  <c r="Y27" i="8"/>
  <c r="Y30" s="1"/>
  <c r="D18"/>
  <c r="F9" i="18" s="1"/>
  <c r="G16" l="1"/>
  <c r="G28" s="1"/>
  <c r="F3"/>
  <c r="F16" s="1"/>
  <c r="C35" i="17"/>
  <c r="E43"/>
  <c r="E56" s="1"/>
  <c r="D47"/>
  <c r="B28" i="18"/>
  <c r="F27"/>
  <c r="D27" i="8"/>
  <c r="D30" s="1"/>
  <c r="C32" i="30" l="1"/>
  <c r="C38" s="1"/>
  <c r="C40" s="1"/>
  <c r="F28" i="18"/>
  <c r="C30" i="17"/>
  <c r="C41" l="1"/>
  <c r="C43" s="1"/>
  <c r="C56" l="1"/>
  <c r="C47"/>
</calcChain>
</file>

<file path=xl/comments1.xml><?xml version="1.0" encoding="utf-8"?>
<comments xmlns="http://schemas.openxmlformats.org/spreadsheetml/2006/main">
  <authors>
    <author>user</author>
  </authors>
  <commentList>
    <comment ref="G2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Házasságkötés</t>
        </r>
      </text>
    </comment>
    <comment ref="M29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Könyvtár:88
ÓM: 1156
Rendezvények. 1209
Hirdetés: 360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21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Provoda É. 100e/hó*7</t>
        </r>
      </text>
    </comment>
    <comment ref="D33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Könyv, folyóirat</t>
        </r>
      </text>
    </comment>
    <comment ref="D34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Üzemanyag: 150
Munkaruha: 50+100
Egyéb készlet: 150
Irodaszer. 1300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Szoftver nyomköv.díj: 1 100 000
Internet 150</t>
        </r>
      </text>
    </comment>
    <comment ref="D38" authorId="0">
      <text>
        <r>
          <rPr>
            <sz val="8"/>
            <color indexed="81"/>
            <rFont val="Tahoma"/>
            <family val="2"/>
            <charset val="238"/>
          </rPr>
          <t>vezetékes 550
mobil 700</t>
        </r>
      </text>
    </comment>
    <comment ref="D43" authorId="0">
      <text>
        <r>
          <rPr>
            <sz val="8"/>
            <color indexed="81"/>
            <rFont val="Tahoma"/>
            <family val="2"/>
            <charset val="238"/>
          </rPr>
          <t>mezőőri gépkocsi 200e
fénymásolók 1100e, színes fénymásoló 410e</t>
        </r>
      </text>
    </comment>
    <comment ref="D4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V.Böbe 440
E.Judit 220
Tönde: 38
Ügyvédi díj. 200 
Épügy.viszga: 2*30 000= 60 
Egyéb képzések 200</t>
        </r>
      </text>
    </comment>
    <comment ref="D48" authorId="0">
      <text>
        <r>
          <rPr>
            <sz val="8"/>
            <color indexed="81"/>
            <rFont val="Tahoma"/>
            <family val="2"/>
            <charset val="238"/>
          </rPr>
          <t>Bankktg:400
Posta: 2500
Utalvány ktg: 70
KGFB-mezőőr: 80
Alapvizsga. 200
normatíva: 600</t>
        </r>
      </text>
    </comment>
    <comment ref="D57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autópálya matricák 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Kötelező bérnövekedés
3 fő nyugdíj-felmentési idő
5,7 % garantált bérmin. növekedés</t>
        </r>
      </text>
    </comment>
    <comment ref="G5" authorId="0">
      <text>
        <r>
          <rPr>
            <b/>
            <sz val="8"/>
            <color indexed="81"/>
            <rFont val="Tahoma"/>
            <family val="2"/>
            <charset val="238"/>
          </rPr>
          <t>user:</t>
        </r>
        <r>
          <rPr>
            <sz val="8"/>
            <color indexed="81"/>
            <rFont val="Tahoma"/>
            <family val="2"/>
            <charset val="238"/>
          </rPr>
          <t xml:space="preserve">
Kötelező bérszintnövekedés
3 ember felmentési idő nyugdíj miatt
5,7 % gar.bérmin. növekedés</t>
        </r>
      </text>
    </comment>
  </commentList>
</comments>
</file>

<file path=xl/sharedStrings.xml><?xml version="1.0" encoding="utf-8"?>
<sst xmlns="http://schemas.openxmlformats.org/spreadsheetml/2006/main" count="2879" uniqueCount="1079">
  <si>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</si>
  <si>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</si>
  <si>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</si>
  <si>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</si>
  <si>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</si>
  <si>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</si>
  <si>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</si>
  <si>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</si>
  <si>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</si>
  <si>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</si>
  <si>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</si>
  <si>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</si>
  <si>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</si>
  <si>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</si>
  <si>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</si>
  <si>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</si>
  <si>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</si>
  <si>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</si>
  <si>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</si>
  <si>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</si>
  <si>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</si>
  <si>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</si>
  <si>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</si>
  <si>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</si>
  <si>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</si>
  <si>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</si>
  <si>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ebből:biztosítási díjak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</si>
  <si>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</si>
  <si>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</si>
  <si>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</si>
  <si>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</si>
  <si>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</si>
  <si>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</si>
  <si>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</si>
  <si>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</si>
  <si>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</si>
  <si>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</si>
  <si>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ebből: szociális hozzájárulási adó</t>
  </si>
  <si>
    <t>ebből: rehabilitációs hozzájárulás</t>
  </si>
  <si>
    <t>ebből: egészségügyi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</si>
  <si>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</si>
  <si>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</si>
  <si>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</si>
  <si>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</si>
  <si>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</si>
  <si>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</si>
  <si>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</si>
  <si>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</si>
  <si>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</si>
  <si>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</si>
  <si>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</si>
  <si>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</si>
  <si>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</si>
  <si>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</si>
  <si>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</si>
  <si>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</si>
  <si>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</si>
  <si>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</si>
  <si>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</si>
  <si>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</si>
  <si>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</si>
  <si>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</si>
  <si>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>ebből: államháztartáson belül</t>
  </si>
  <si>
    <t xml:space="preserve">Szakmai tevékenységet segítő szolgáltatások </t>
  </si>
  <si>
    <t>K336</t>
  </si>
  <si>
    <t xml:space="preserve">Egyéb szolgáltatások 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</si>
  <si>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</si>
  <si>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</si>
  <si>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</si>
  <si>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</si>
  <si>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</si>
  <si>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</si>
  <si>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</si>
  <si>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</si>
  <si>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</si>
  <si>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</si>
  <si>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</si>
  <si>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</si>
  <si>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</si>
  <si>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</si>
  <si>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</si>
  <si>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</si>
  <si>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</si>
  <si>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</si>
  <si>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</si>
  <si>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</si>
  <si>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Pénzbeli kárpótlások, kártérítések</t>
  </si>
  <si>
    <t>K43</t>
  </si>
  <si>
    <t>K44</t>
  </si>
  <si>
    <t>ebből: ápolási díj</t>
  </si>
  <si>
    <t>K45</t>
  </si>
  <si>
    <t>K46</t>
  </si>
  <si>
    <t>K47</t>
  </si>
  <si>
    <t>ebből: oktatásban résztvevők pénzbeli juttatásai</t>
  </si>
  <si>
    <t>K48</t>
  </si>
  <si>
    <t>K4</t>
  </si>
  <si>
    <t>Elvonások és befizetések</t>
  </si>
  <si>
    <t>K502</t>
  </si>
  <si>
    <t>Működési célú visszatérítendő támogatások, kölcsönök nyújtása államháztartáson belülre (=135+…+144)</t>
  </si>
  <si>
    <t>K504</t>
  </si>
  <si>
    <t>ebből: helyi önkormányzatok és költségvetési szerveik</t>
  </si>
  <si>
    <t>ebből: társulások és költségvetési szerveik</t>
  </si>
  <si>
    <t>K506</t>
  </si>
  <si>
    <t>Működési célú visszatérítendő támogatások, kölcsönök nyújtása államháztartáson kívülre (=170+…+180)</t>
  </si>
  <si>
    <t>K508</t>
  </si>
  <si>
    <t>ebből:önkormányzati többségi tulajdonú nem pénzügyi vállalkozások</t>
  </si>
  <si>
    <t>K511</t>
  </si>
  <si>
    <t>Tartalékok</t>
  </si>
  <si>
    <t>K512</t>
  </si>
  <si>
    <t>K5</t>
  </si>
  <si>
    <t>Immateriális javak beszerzése, létesítése</t>
  </si>
  <si>
    <t>K61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</si>
  <si>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</si>
  <si>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</si>
  <si>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</si>
  <si>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</si>
  <si>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</si>
  <si>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</si>
  <si>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</si>
  <si>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</si>
  <si>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</si>
  <si>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</si>
  <si>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</si>
  <si>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</si>
  <si>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</si>
  <si>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</si>
  <si>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</si>
  <si>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</si>
  <si>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</si>
  <si>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</si>
  <si>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</si>
  <si>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</si>
  <si>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</si>
  <si>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</si>
  <si>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K88</t>
  </si>
  <si>
    <t>K8</t>
  </si>
  <si>
    <t>K1-K8</t>
  </si>
  <si>
    <t>Családi támogatások</t>
  </si>
  <si>
    <t>ebből: önkormányzati segély (átmeneti segély, rendkívüli gyermekvédelmi tám., temetési segély)</t>
  </si>
  <si>
    <t xml:space="preserve">ebből: óvodáztatási támogatás </t>
  </si>
  <si>
    <t xml:space="preserve">Betegséggel kapcsolatos (nem társadalombiztosítási) ellátások </t>
  </si>
  <si>
    <t xml:space="preserve">ebből: helyi megállapítású közgyógyellátás </t>
  </si>
  <si>
    <t xml:space="preserve">Foglalkoztatással, munkanélküliséggel kapcsolatos ellátások </t>
  </si>
  <si>
    <t xml:space="preserve">ebből: foglalkoztatást helyettesítő támogatás </t>
  </si>
  <si>
    <t xml:space="preserve">Lakhatással kapcsolatos ellátások </t>
  </si>
  <si>
    <t xml:space="preserve">ebből: lakásfenntartási támogatás </t>
  </si>
  <si>
    <t xml:space="preserve">Intézményi ellátottak pénzbeli juttatásai </t>
  </si>
  <si>
    <t xml:space="preserve">Egyéb nem intézményi ellátások </t>
  </si>
  <si>
    <t>ebből: rendszeres szociális segély</t>
  </si>
  <si>
    <t>ebből: köztemetés</t>
  </si>
  <si>
    <t xml:space="preserve">ebből: rászorultságtól függõ normatív kedvezmények </t>
  </si>
  <si>
    <t xml:space="preserve">Ellátottak pénzbeli juttatásai </t>
  </si>
  <si>
    <t xml:space="preserve">Dologi kiadások </t>
  </si>
  <si>
    <t>Különféle befizetések és egyéb dologi kiadások</t>
  </si>
  <si>
    <t xml:space="preserve">Egyéb pénzügyi műveletek kiadásai </t>
  </si>
  <si>
    <t xml:space="preserve">Kamatkiadások   </t>
  </si>
  <si>
    <t>Kiküldetések, reklám- és propagandakiadások</t>
  </si>
  <si>
    <t xml:space="preserve">Szolgáltatási kiadások </t>
  </si>
  <si>
    <t xml:space="preserve">Költségvetési kiadások </t>
  </si>
  <si>
    <t>Egyéb felhalmozási célú kiadások</t>
  </si>
  <si>
    <t xml:space="preserve">Egyéb felhalmozási célú támogatások államháztartáson kívülre </t>
  </si>
  <si>
    <t xml:space="preserve">Felújítások </t>
  </si>
  <si>
    <t>Beruházások</t>
  </si>
  <si>
    <t xml:space="preserve">Ingatlanok beszerzése, létesítése </t>
  </si>
  <si>
    <t>Egyéb működési célú kiadások</t>
  </si>
  <si>
    <t>Egyéb működési célú támogatások államháztartáson kívülre</t>
  </si>
  <si>
    <t xml:space="preserve">Egyéb működési célú támogatások államháztartáson belülre </t>
  </si>
  <si>
    <t>Közvetített szolgáltatások</t>
  </si>
  <si>
    <t xml:space="preserve">Bérleti és lízing díjak </t>
  </si>
  <si>
    <t>ebből: államháztartáson kívül</t>
  </si>
  <si>
    <t xml:space="preserve">Kommunikációs szolgáltatások </t>
  </si>
  <si>
    <t xml:space="preserve">Készletbeszerzés </t>
  </si>
  <si>
    <t xml:space="preserve">Munkaadókat terhelő járulékok és szociális hozzájárulási adó                                                                   </t>
  </si>
  <si>
    <t xml:space="preserve">Személyi juttatások összesen </t>
  </si>
  <si>
    <t xml:space="preserve">Külső személyi juttatások </t>
  </si>
  <si>
    <t xml:space="preserve">Foglalkoztatottak személyi juttatásai </t>
  </si>
  <si>
    <t>Foglalkoztatottak egyéb személyi juttatásai</t>
  </si>
  <si>
    <t>011130- Önkormányzati jogalkotás</t>
  </si>
  <si>
    <t>Eredeti ei.</t>
  </si>
  <si>
    <t>Mód. Ei.</t>
  </si>
  <si>
    <t>Telj. Ei.</t>
  </si>
  <si>
    <t>Összesen</t>
  </si>
  <si>
    <t>066020 Város- és községgazdálkodási egyéb szolgáltatások</t>
  </si>
  <si>
    <t>Megnevezése</t>
  </si>
  <si>
    <t xml:space="preserve">Működési célú visszatérítendő támogatások, kölcsönök nyújtása államháztartáson kívülre </t>
  </si>
  <si>
    <t>Működési célú visszatérítendő támogatások, kölcsönök nyújtása államháztartáson belülre</t>
  </si>
  <si>
    <t>091110- Óvodai nevelés, ellátás szakmai feladatai</t>
  </si>
  <si>
    <t>074031- Család és nővédelmi eü gondozás</t>
  </si>
  <si>
    <t>074032- Ifjúság-eüi gondozás</t>
  </si>
  <si>
    <t>072420- Eü laboratóriumi szolg.</t>
  </si>
  <si>
    <t>Kötelező feladat</t>
  </si>
  <si>
    <t>Önként vállalt feladat</t>
  </si>
  <si>
    <t>072210 - Járóbetegek gyógyító szakellátása</t>
  </si>
  <si>
    <t>074011- Foglalkozás eü-i alapellátás</t>
  </si>
  <si>
    <t>091250- Alapfokú művokt. Összefüggő működési feladatok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</si>
  <si>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</si>
  <si>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</si>
  <si>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</si>
  <si>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</si>
  <si>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</si>
  <si>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</si>
  <si>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</si>
  <si>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</si>
  <si>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</si>
  <si>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</si>
  <si>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B11</t>
  </si>
  <si>
    <t>Egyéb működési célú támogatások bevételei államháztartáson belülről</t>
  </si>
  <si>
    <t>B16</t>
  </si>
  <si>
    <t>B1</t>
  </si>
  <si>
    <t>Egyéb felhalmozási célú támogatások bevételei államháztartáson belülről</t>
  </si>
  <si>
    <t>B25</t>
  </si>
  <si>
    <t>B2</t>
  </si>
  <si>
    <t>Magánszemélyek jövedelemadói</t>
  </si>
  <si>
    <t>B311</t>
  </si>
  <si>
    <t xml:space="preserve">Társaságok jövedelemadói </t>
  </si>
  <si>
    <t>B312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</si>
  <si>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</si>
  <si>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</si>
  <si>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</si>
  <si>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</si>
  <si>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</si>
  <si>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</si>
  <si>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</si>
  <si>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</si>
  <si>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</si>
  <si>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</si>
  <si>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</si>
  <si>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</si>
  <si>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</si>
  <si>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</si>
  <si>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</si>
  <si>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</si>
  <si>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</si>
  <si>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</si>
  <si>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</si>
  <si>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</si>
  <si>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</si>
  <si>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</si>
  <si>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</si>
  <si>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</si>
  <si>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</si>
  <si>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</si>
  <si>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</si>
  <si>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</si>
  <si>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</si>
  <si>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</si>
  <si>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</si>
  <si>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</si>
  <si>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</si>
  <si>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</si>
  <si>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</si>
  <si>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</si>
  <si>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</si>
  <si>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</si>
  <si>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</si>
  <si>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</si>
  <si>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</t>
  </si>
  <si>
    <t>B5</t>
  </si>
  <si>
    <t>Egyéb működési célú átvett pénzeszközök</t>
  </si>
  <si>
    <t>B63</t>
  </si>
  <si>
    <t>B6</t>
  </si>
  <si>
    <t>Egyéb felhalmozási célú átvett pénzeszközök</t>
  </si>
  <si>
    <t>B73</t>
  </si>
  <si>
    <t>B7</t>
  </si>
  <si>
    <t>B1-B7</t>
  </si>
  <si>
    <t>Jogalkotás</t>
  </si>
  <si>
    <t>Szociális ellátások</t>
  </si>
  <si>
    <t>Egyéb tevékenységek</t>
  </si>
  <si>
    <t xml:space="preserve">Hosszú lejáratú hitelek, kölcsönök törlesztése </t>
  </si>
  <si>
    <t>K9111</t>
  </si>
  <si>
    <t>Hitel-, kölcsöntörlesztés államháztartáson kívülre (=01+02+03)</t>
  </si>
  <si>
    <t>K911</t>
  </si>
  <si>
    <t>K9</t>
  </si>
  <si>
    <t>Előző év költségvetési maradványának igénybevétele</t>
  </si>
  <si>
    <t>B8131</t>
  </si>
  <si>
    <t>B813</t>
  </si>
  <si>
    <t>B8</t>
  </si>
  <si>
    <t xml:space="preserve">Költségvetési bevételek </t>
  </si>
  <si>
    <t>Finanszírozási kiadások</t>
  </si>
  <si>
    <t xml:space="preserve">Működési célú átvett pénzeszközök </t>
  </si>
  <si>
    <t xml:space="preserve">Felhalmozási bevételek </t>
  </si>
  <si>
    <t xml:space="preserve">Működési bevételek </t>
  </si>
  <si>
    <t>Mindösszesen</t>
  </si>
  <si>
    <t>Eredeti előirányzat</t>
  </si>
  <si>
    <t>Megnevezés</t>
  </si>
  <si>
    <t xml:space="preserve">Felhalmozási célú átvett pénzeszközök </t>
  </si>
  <si>
    <t>B816</t>
  </si>
  <si>
    <t>Központi, irányítószervi támogatás</t>
  </si>
  <si>
    <t>Finanszírozási bevételek</t>
  </si>
  <si>
    <t>Összes bevétel</t>
  </si>
  <si>
    <t>Kiadások összesen</t>
  </si>
  <si>
    <t>091140- Óvodai nevelés, ellátás működési feladatai</t>
  </si>
  <si>
    <t>091120- SNI gyermekek óvodai nevelés, ellátás szakmai feladatai</t>
  </si>
  <si>
    <t>Polgármesteri Hivatal</t>
  </si>
  <si>
    <t>Brunszvik Teréz Óvoda</t>
  </si>
  <si>
    <t>Pályázat</t>
  </si>
  <si>
    <t>011130-Önkormányzati hivatalok jogalkotó és általános igazgatási tevékenysége</t>
  </si>
  <si>
    <t>082091-Közművelődés- közösségi és társadalmi részvétel fejlesztése</t>
  </si>
  <si>
    <t>082061-Múzeumi gyűjteményi tevékenység</t>
  </si>
  <si>
    <t>082030-Művészeti tevékenység</t>
  </si>
  <si>
    <t>082044- Könyvtári szolgáltatások</t>
  </si>
  <si>
    <t>Intézmények összesen</t>
  </si>
  <si>
    <t>083030- Egyéb kiadói tevékenység</t>
  </si>
  <si>
    <t>B E V É T E L E K</t>
  </si>
  <si>
    <t>1. sz. táblázat</t>
  </si>
  <si>
    <t>Módosított előirányzat</t>
  </si>
  <si>
    <t>A</t>
  </si>
  <si>
    <t>C</t>
  </si>
  <si>
    <t>D</t>
  </si>
  <si>
    <t>E</t>
  </si>
  <si>
    <t>F</t>
  </si>
  <si>
    <t>1.</t>
  </si>
  <si>
    <t>K I A D Á S O K</t>
  </si>
  <si>
    <t>2. sz. táblázat</t>
  </si>
  <si>
    <t>B</t>
  </si>
  <si>
    <t>1.1.</t>
  </si>
  <si>
    <t>1.2.</t>
  </si>
  <si>
    <t>Felújítások</t>
  </si>
  <si>
    <t>KÖLTSÉGVETÉSI BEVÉTELEK ÉS KIADÁSOK EGYENLEGE</t>
  </si>
  <si>
    <t>3. sz. táblázat</t>
  </si>
  <si>
    <t>FINANSZÍROZÁSI CÉLÚ BEVÉTELEK ÉS KIADÁSOK EGYENLEGE</t>
  </si>
  <si>
    <t>4. sz. táblázat</t>
  </si>
  <si>
    <r>
      <t xml:space="preserve">Finanszírozási célú műveletek egyenlege </t>
    </r>
    <r>
      <rPr>
        <sz val="8"/>
        <rFont val="Times New Roman CE"/>
        <charset val="238"/>
      </rPr>
      <t>(1.1 - 1.2) +/-</t>
    </r>
  </si>
  <si>
    <t>5 sz. táblázat</t>
  </si>
  <si>
    <t>ebből:Központi ktgvetési szervek</t>
  </si>
  <si>
    <t>ebből: központi kezelésű előirányzatok</t>
  </si>
  <si>
    <t>ebből: fejezeti kezelésű előirányzatok, EU-s programok és azok hazai társfinanszírozása</t>
  </si>
  <si>
    <t>ebből: egyéb fejezeti kezelésű előirányzatok</t>
  </si>
  <si>
    <t>ebből: TB pénzügy alapjai</t>
  </si>
  <si>
    <t>ebből: elkülönített állami pénzalapok</t>
  </si>
  <si>
    <t>ebből: nezmetiségi önkormányzatok és költségvetési szerveik</t>
  </si>
  <si>
    <t>ebből: térségi fejlesztési tanácsok és költségvetési szerveik</t>
  </si>
  <si>
    <t>Működési célú támogatások államháztartáson belülről</t>
  </si>
  <si>
    <t xml:space="preserve">Felhalmozási célú támogatások államháztartáson belülről </t>
  </si>
  <si>
    <t xml:space="preserve">Önkormányzatok működési támogatásai </t>
  </si>
  <si>
    <t>ebből:központi ktgvetési szervek</t>
  </si>
  <si>
    <t xml:space="preserve">Jövedelemadók </t>
  </si>
  <si>
    <t>Termékek és szolgáltatások adói</t>
  </si>
  <si>
    <t xml:space="preserve">Közhatalmi bevételek </t>
  </si>
  <si>
    <t xml:space="preserve">Maradvány igénybevétele </t>
  </si>
  <si>
    <t xml:space="preserve">Finanszírozási bevételek </t>
  </si>
  <si>
    <t>Bevételek</t>
  </si>
  <si>
    <t>Kiadások</t>
  </si>
  <si>
    <t>Működési bevételek</t>
  </si>
  <si>
    <t>Személyi juttatások</t>
  </si>
  <si>
    <t>Munkaadókat terhelő járulékok</t>
  </si>
  <si>
    <t>Dologi kiadások</t>
  </si>
  <si>
    <t>Ellátottak juttatási</t>
  </si>
  <si>
    <t>ÁFA kölcsön törlesztés</t>
  </si>
  <si>
    <t>I. Működtetés összesen</t>
  </si>
  <si>
    <t>Felhalmozásra átvett pénzeszközök</t>
  </si>
  <si>
    <t>II.Fejlesztés összesen</t>
  </si>
  <si>
    <t>Sorsz.</t>
  </si>
  <si>
    <t>Beruházás  megnevezése</t>
  </si>
  <si>
    <t>Saját erő</t>
  </si>
  <si>
    <t>Pályázati támogatás</t>
  </si>
  <si>
    <t>G</t>
  </si>
  <si>
    <t>Áthúzódó EU-s pályázatok összesen</t>
  </si>
  <si>
    <t>Egyéb beruházások</t>
  </si>
  <si>
    <t xml:space="preserve">Áthúzódó egyéb beruházások </t>
  </si>
  <si>
    <t>Egyéb beruházások összesen</t>
  </si>
  <si>
    <t>Hazai támogatású fejlesztési programok</t>
  </si>
  <si>
    <t xml:space="preserve">Áthúzódó hazai tám. fejlesztési programok </t>
  </si>
  <si>
    <t>Hazai támogatású fejlesztési programok összesen</t>
  </si>
  <si>
    <t>Intézményi beruházások összesen</t>
  </si>
  <si>
    <t>Informatikai fejlesztés</t>
  </si>
  <si>
    <t>Informatikai fejlesztés összesen</t>
  </si>
  <si>
    <t>BERUHÁZÁSOK ÖSSZESEN:</t>
  </si>
  <si>
    <t>Ssz.</t>
  </si>
  <si>
    <t>Felújítás  megnevezése</t>
  </si>
  <si>
    <t xml:space="preserve">Eredeti előirányzat </t>
  </si>
  <si>
    <t>Európai uniós támogatással megvalósuló felújítás</t>
  </si>
  <si>
    <t>Európai uniós támogatással megvalósuló felújítások összesen</t>
  </si>
  <si>
    <t>Egyéb felújítások</t>
  </si>
  <si>
    <t>Egyéb felújítások összesen</t>
  </si>
  <si>
    <t>Intézményi felújítások</t>
  </si>
  <si>
    <t>Intézményi felújítások összesen</t>
  </si>
  <si>
    <t>FELÚJÍTÁSOK  ÖSSZESEN:</t>
  </si>
  <si>
    <t>Sorszám</t>
  </si>
  <si>
    <t>Intézmények</t>
  </si>
  <si>
    <t>BB Központ</t>
  </si>
  <si>
    <t>INTÉZMÉNYEK ÖSSZESEN:</t>
  </si>
  <si>
    <t>Területi Védőnői Szolgálat</t>
  </si>
  <si>
    <t xml:space="preserve">Mezei Őrszolgálat </t>
  </si>
  <si>
    <t>Közfoglalkoztatottak</t>
  </si>
  <si>
    <t>MINDÖSSZESEN:</t>
  </si>
  <si>
    <t>ebből: Építményadó</t>
  </si>
  <si>
    <t>ebből: Telekadó</t>
  </si>
  <si>
    <t>ebből: Kommunális adó</t>
  </si>
  <si>
    <t>K9112</t>
  </si>
  <si>
    <t>K9113</t>
  </si>
  <si>
    <t>Rövid lejáratú hitelek, kölcsönök törlesztése</t>
  </si>
  <si>
    <t>Likviditási célú hitelek, kölcsönök törlesztése</t>
  </si>
  <si>
    <t>K915</t>
  </si>
  <si>
    <t>Központi, irányító szervi támogatás folyósítása</t>
  </si>
  <si>
    <t>Működési célú tám.ért.kiadások</t>
  </si>
  <si>
    <t>K82</t>
  </si>
  <si>
    <t>Felhalmozási célú visszatérítendő támogatások, kölcsönök nyújtása ÁH belülre</t>
  </si>
  <si>
    <t>B23</t>
  </si>
  <si>
    <t>Felh.célú visszatérítendő támogatások, kölcsönök visszatérülése ÁH belülről</t>
  </si>
  <si>
    <r>
      <t xml:space="preserve">Közhatalmi bevételek </t>
    </r>
    <r>
      <rPr>
        <sz val="10"/>
        <rFont val="Times New Roman"/>
        <family val="1"/>
        <charset val="238"/>
      </rPr>
      <t>(igazgatási szolg.díj)</t>
    </r>
  </si>
  <si>
    <t>Hitel, kölcsön felvétel államháztartáson kívülről</t>
  </si>
  <si>
    <t>Működési célú maradvány</t>
  </si>
  <si>
    <t>Felhalmozási célú maradvány</t>
  </si>
  <si>
    <t>KÖLTSÉGVETÉSI BEVÉTELEK ÖSSZESEN</t>
  </si>
  <si>
    <t>BEVÉTELEK ÖSSZESEN</t>
  </si>
  <si>
    <t>Tárgyévi teljesítés 
összesen</t>
  </si>
  <si>
    <t xml:space="preserve">Polgármesteri Hivatal </t>
  </si>
  <si>
    <t>Adatok E forintban</t>
  </si>
  <si>
    <t>B21</t>
  </si>
  <si>
    <t>Felhalmozási célú önkormnyzati támogatások</t>
  </si>
  <si>
    <t>Adatok E Ft-ban</t>
  </si>
  <si>
    <t>K84</t>
  </si>
  <si>
    <t>Egyéb felhalmozási célú támogatások áh belülre</t>
  </si>
  <si>
    <t xml:space="preserve">Egyéb felhalmozási célú támogatások áh kívülre </t>
  </si>
  <si>
    <t>ebből működési maradvány</t>
  </si>
  <si>
    <t>ebből felhalmozási maradvány</t>
  </si>
  <si>
    <t>a</t>
  </si>
  <si>
    <t>b</t>
  </si>
  <si>
    <t xml:space="preserve"> Működési célú bevételek</t>
  </si>
  <si>
    <t>I.</t>
  </si>
  <si>
    <t>2.</t>
  </si>
  <si>
    <t>a.</t>
  </si>
  <si>
    <t>b.</t>
  </si>
  <si>
    <t>c.</t>
  </si>
  <si>
    <t>d.</t>
  </si>
  <si>
    <t>II.</t>
  </si>
  <si>
    <t>III.</t>
  </si>
  <si>
    <t>Működési célú támogatások ÁH belülről</t>
  </si>
  <si>
    <t>KÖLTSÉGVETÉSI KIADÁSOK ÖSSZESEN</t>
  </si>
  <si>
    <t>KIADÁSOK ÖSSZESEN</t>
  </si>
  <si>
    <t xml:space="preserve"> Működési célú kiadások</t>
  </si>
  <si>
    <t>II</t>
  </si>
  <si>
    <t>Felhalmozási kiadások</t>
  </si>
  <si>
    <t>III</t>
  </si>
  <si>
    <t>Költségvetési hiány, többlet ( költségvetési bevételek  - költségvetési kiadások) (+/-)</t>
  </si>
  <si>
    <t>Finanszírozási célú műv. bevételei (1. sz. mell.1. sz. táblázat III.)</t>
  </si>
  <si>
    <t>Finanszírozási célú műv. kiadásai (1. sz. mell .2. sz. táblázat III:)</t>
  </si>
  <si>
    <t>Működési célú tám. Áh belülről</t>
  </si>
  <si>
    <t>Műk. célú átvett pénzeszközök</t>
  </si>
  <si>
    <t>Felhalmozási célú tám. Áh belülről</t>
  </si>
  <si>
    <t>Egyéb felhalmozási kiadások</t>
  </si>
  <si>
    <t>Tartalék</t>
  </si>
  <si>
    <t>Európai uniós támogatással megvalósuló beruházások összesen</t>
  </si>
  <si>
    <t xml:space="preserve">Európai uniós támogatással megvalósuló beruházások </t>
  </si>
  <si>
    <t>Áthúzódó 2013 évi EU-s felújítások</t>
  </si>
  <si>
    <t>Foglalkoztatottak személyi juttatásai</t>
  </si>
  <si>
    <t>Külső személyi juttatások</t>
  </si>
  <si>
    <t>Személyi juttatások összesen</t>
  </si>
  <si>
    <t>Munkaadókat terhelő járulékok és szociális hozzájárulási adó</t>
  </si>
  <si>
    <t>ebből: fogl.kapcs.egyéb járulék</t>
  </si>
  <si>
    <t>Készletbeszerzés</t>
  </si>
  <si>
    <t>Kommunikációs szolgáltatások</t>
  </si>
  <si>
    <t>Bérleti és lízing díjak</t>
  </si>
  <si>
    <t>Szakmai tevékenységet segítő szolgáltatások</t>
  </si>
  <si>
    <t>Egyéb szolgáltatások</t>
  </si>
  <si>
    <t>Szolgáltatási kiadások</t>
  </si>
  <si>
    <t>Fizetendő általános forgalmi adó</t>
  </si>
  <si>
    <t>Kamatkiadások</t>
  </si>
  <si>
    <t>Egyéb pénzügyi műveletek kiadásai</t>
  </si>
  <si>
    <t>Ingatlanok beszerzése, létesítése</t>
  </si>
  <si>
    <t>Egyéb tárgyi eszközök felújítása</t>
  </si>
  <si>
    <t>Költségvetési kiadások</t>
  </si>
  <si>
    <t>Működési kiadások</t>
  </si>
  <si>
    <t>Közhatalmi bevételek</t>
  </si>
  <si>
    <t>Január</t>
  </si>
  <si>
    <t>Február</t>
  </si>
  <si>
    <t>Március</t>
  </si>
  <si>
    <t>Április</t>
  </si>
  <si>
    <t>Május</t>
  </si>
  <si>
    <t>Június</t>
  </si>
  <si>
    <t>Július</t>
  </si>
  <si>
    <t>Szeptember</t>
  </si>
  <si>
    <t>Október</t>
  </si>
  <si>
    <t>November</t>
  </si>
  <si>
    <t>December</t>
  </si>
  <si>
    <t>Köztemető fenntartása</t>
  </si>
  <si>
    <t>ebből: működési hiány finanszírozása</t>
  </si>
  <si>
    <t>Felhalmozási bevételek</t>
  </si>
  <si>
    <t xml:space="preserve"> Ezer forintban !</t>
  </si>
  <si>
    <t>Sor-szám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</si>
  <si>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</si>
  <si>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</si>
  <si>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</si>
  <si>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</si>
  <si>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</si>
  <si>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</si>
  <si>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</si>
  <si>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</si>
  <si>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</si>
  <si>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</si>
  <si>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Összesen:</t>
  </si>
  <si>
    <t>Ezer forintban !</t>
  </si>
  <si>
    <t>Auguszt.</t>
  </si>
  <si>
    <t>Egyenleg</t>
  </si>
  <si>
    <t>Többéves kihatással járó döntésekből származó kötelezettségek célok szerint, évenkénti bontásban</t>
  </si>
  <si>
    <t>Sor-
szám</t>
  </si>
  <si>
    <t>Kötelezettség jogcíme</t>
  </si>
  <si>
    <t>Köt. váll.
 éve</t>
  </si>
  <si>
    <t>Tárgyév előtti tőke kifizetés összesen</t>
  </si>
  <si>
    <t>Kiadás vonzata évenként</t>
  </si>
  <si>
    <t>Tárgyév</t>
  </si>
  <si>
    <t>Tárgyévi teljesítés</t>
  </si>
  <si>
    <t>Tárgyévet követő év</t>
  </si>
  <si>
    <t>Tárgyévet követő 2. év</t>
  </si>
  <si>
    <t>10=(4+5+7+8+9)</t>
  </si>
  <si>
    <t>Működési célú hiteltörlesztés (tőke+kamat)</t>
  </si>
  <si>
    <t>Felhalmozási célú hiteltörlesztés (tőke+kamat)</t>
  </si>
  <si>
    <t xml:space="preserve">    Egyéb elismert kötelezettségek</t>
  </si>
  <si>
    <t xml:space="preserve">   Áfa Kölcsön törlesztés</t>
  </si>
  <si>
    <t>Összesen (1+5+10)</t>
  </si>
  <si>
    <t>Sportszervezetek támogatása</t>
  </si>
  <si>
    <t>011130</t>
  </si>
  <si>
    <t>Út, autópálya építése</t>
  </si>
  <si>
    <t>Egyéb szárazföldi személyszállítás</t>
  </si>
  <si>
    <t>Nem veszélyes hulladék vegyes begyűjtése, szállítása, átrakása</t>
  </si>
  <si>
    <t>Közvilágítás</t>
  </si>
  <si>
    <t>Zöldterület-kezlés</t>
  </si>
  <si>
    <t>Város- és községgazdálkodás</t>
  </si>
  <si>
    <t>Sportlétesítmények, edzőtáborok működtetése</t>
  </si>
  <si>
    <t>Egyéb működési célú támogatások áh-n kívülre</t>
  </si>
  <si>
    <t>Orvosi rendelő, védőnői helységek</t>
  </si>
  <si>
    <t>084032</t>
  </si>
  <si>
    <t>Civil szervezetek programtámogatása</t>
  </si>
  <si>
    <t>081041</t>
  </si>
  <si>
    <t>Cofog</t>
  </si>
  <si>
    <t>Rovatrend</t>
  </si>
  <si>
    <t>Ellátottak pénzbeli juttatásai</t>
  </si>
  <si>
    <t>107060</t>
  </si>
  <si>
    <t>TKT-nak pénzeszköz átadás</t>
  </si>
  <si>
    <t>Városfejlesztés saját forrásból</t>
  </si>
  <si>
    <t>Városfejlesztés EU forrásból</t>
  </si>
  <si>
    <t>Védőnő, Eü</t>
  </si>
  <si>
    <t>Átadott pénzeszközök</t>
  </si>
  <si>
    <t>Közfoglalkoztatás</t>
  </si>
  <si>
    <t>Köznev.int tanuló szakmai feladatai                      1-4.évfolyam</t>
  </si>
  <si>
    <t>Alapfokú művészetoktatással összefüggő működési feladatok</t>
  </si>
  <si>
    <t xml:space="preserve">092111-Köznev.int tanuló szakmai feladatai                     </t>
  </si>
  <si>
    <t>Működési célú támogatások visszatérülése ÁH-n kívülről</t>
  </si>
  <si>
    <t>Zsidó Hitközség</t>
  </si>
  <si>
    <t xml:space="preserve">Továbbszámlázott szolg.  bevétele </t>
  </si>
  <si>
    <t>Működési célú kamatbevétel</t>
  </si>
  <si>
    <t>Intézményi működési bevételek összesen</t>
  </si>
  <si>
    <t>Felhalmozási saját bevételek összesen</t>
  </si>
  <si>
    <t xml:space="preserve">  </t>
  </si>
  <si>
    <t>Építményadó</t>
  </si>
  <si>
    <t>Telekadó</t>
  </si>
  <si>
    <t>Magánszemélyek komm. adója</t>
  </si>
  <si>
    <t>Idegenforgalmi adó</t>
  </si>
  <si>
    <t>Iparűzési adó</t>
  </si>
  <si>
    <t>Helyi  adók összesen</t>
  </si>
  <si>
    <t>Gépjárműadó</t>
  </si>
  <si>
    <t>Átengedett központi adók összesen</t>
  </si>
  <si>
    <t>Talajterhelési díj</t>
  </si>
  <si>
    <t>Termőföld bérbead.szárm.jöv.adó</t>
  </si>
  <si>
    <t>Egyéb közhatalmi bevételek összesen</t>
  </si>
  <si>
    <t>Közhatalmi bevételek mindösszesen</t>
  </si>
  <si>
    <t>Működési célú támogatások</t>
  </si>
  <si>
    <t>Felhalmozási célú támogatások</t>
  </si>
  <si>
    <t>Működési célú átvett pénzeszköz</t>
  </si>
  <si>
    <t>Felhalmozási célú átvett pénzeszköz</t>
  </si>
  <si>
    <t xml:space="preserve">Mezőőri szolgáltatás bevétele </t>
  </si>
  <si>
    <t>Tulajdonosi bevételek (csatorna, víz)</t>
  </si>
  <si>
    <t>Kiszámlázott áfa</t>
  </si>
  <si>
    <t xml:space="preserve">Pótlékok, bírságok </t>
  </si>
  <si>
    <t>Normatíva jogcíme</t>
  </si>
  <si>
    <t xml:space="preserve">Önkormányzati hivatal műk. </t>
  </si>
  <si>
    <t>Település-üzemeltetés tám.</t>
  </si>
  <si>
    <t>Beszámítás összege (elvárt bevétel, visszavonás)</t>
  </si>
  <si>
    <t>Egyéb köt. Önk. Feladatok</t>
  </si>
  <si>
    <t>Pénzbeli szociális ellátás támogatása</t>
  </si>
  <si>
    <t>Helyi önk műk ált támogatás összesen</t>
  </si>
  <si>
    <t>Óvodaped bértámogatása</t>
  </si>
  <si>
    <t>Óvodaped pótlólagos támogatás</t>
  </si>
  <si>
    <t>Óvodapedagógusok  nev. munkáját közvetlenül segítők bértámogatása</t>
  </si>
  <si>
    <t>Óvodaműködtetési támogatás</t>
  </si>
  <si>
    <t>Elismert bértámogatás</t>
  </si>
  <si>
    <t>Üzemeltetési támogatás</t>
  </si>
  <si>
    <t>Gyermekétkeztetés támogatás</t>
  </si>
  <si>
    <t>Köznevelési támogatások összesen</t>
  </si>
  <si>
    <t>Házi segítségnyújtás</t>
  </si>
  <si>
    <t>Tanyagondnoki szolgálat</t>
  </si>
  <si>
    <t>Idősek nappali ellátása</t>
  </si>
  <si>
    <t>Családi napközi</t>
  </si>
  <si>
    <t>Szociális feladatok összesen</t>
  </si>
  <si>
    <t>Könyvtári, közművelődési feladat támogatása</t>
  </si>
  <si>
    <t>Üdülőhelyi feladatok támogatása</t>
  </si>
  <si>
    <t>Köznevelési feladatok egyéb tám</t>
  </si>
  <si>
    <t>Lakott külterülettel kapcsol. Tám</t>
  </si>
  <si>
    <t>Prémium évek program támogatás</t>
  </si>
  <si>
    <t>Bérkompenzáció</t>
  </si>
  <si>
    <t>TÁMOGATÁSOK ÖSSZESEN</t>
  </si>
  <si>
    <t>Vagyonkezelés</t>
  </si>
  <si>
    <t>Ebből:  Tartalék</t>
  </si>
  <si>
    <t>Kieg.támogatás óvodaped. Minősítésből adódó kiadáshoz</t>
  </si>
  <si>
    <t>Hivatal működési támogatása</t>
  </si>
  <si>
    <t>C: tel.típus kt. Létszám min.</t>
  </si>
  <si>
    <t>D: tel.típus kt. Létszám max.</t>
  </si>
  <si>
    <t>Emelés (járási székhely)</t>
  </si>
  <si>
    <t>ÖSSZESEN</t>
  </si>
  <si>
    <t>ebből: Zöldterület gazdálkodás</t>
  </si>
  <si>
    <t>ebből: Közutak fenntartása</t>
  </si>
  <si>
    <t>ebből: Közvilágítás fenntartása</t>
  </si>
  <si>
    <t>ebből: Köztemető fenntartása</t>
  </si>
  <si>
    <t>Tartalék (részleteiben: 5/g.melléklet)</t>
  </si>
  <si>
    <t>B8111</t>
  </si>
  <si>
    <t>Hosszú lejáratú hitelek, kölcsönök pénzügyi vállalkozástól</t>
  </si>
  <si>
    <t>Hitelek, kölcsön felvétel pénzügyi vállalkozástól</t>
  </si>
  <si>
    <t>B811</t>
  </si>
  <si>
    <t>Hitelv felvétel</t>
  </si>
  <si>
    <t>013350- Az önkormányzati vagyonnal való gazdálkodással kapcsolatos feladat</t>
  </si>
  <si>
    <t>ebből fordított áfa</t>
  </si>
  <si>
    <t>Bérleti díj bevétel</t>
  </si>
  <si>
    <t>INTÉZMÉNYI BERUHÁZÁSOK</t>
  </si>
  <si>
    <t>BBKP egyéb tárgyi eszköz vásárlás</t>
  </si>
  <si>
    <t>Brunszvik Óvoda informatikai eszköz vásárlás</t>
  </si>
  <si>
    <t>Brunszvik Óvoda egyéb tárgyi eszköz vásárlás</t>
  </si>
  <si>
    <t>Polgármesteri Hivatal immateriális javak vásárlása</t>
  </si>
  <si>
    <t>Polgármesteri Hivatal informatikai eszközök vásárlása</t>
  </si>
  <si>
    <t>Polgármesteri Hivatal egyéb tárgyi eszköz vásárlása</t>
  </si>
  <si>
    <t>Védőnői beruházások</t>
  </si>
  <si>
    <t>Martongazdának átadott pe városüzemeltetési feladatokra</t>
  </si>
  <si>
    <t>Áfa megtérülés</t>
  </si>
  <si>
    <t xml:space="preserve">Tárgyévet követő  évek
</t>
  </si>
  <si>
    <t>Egyéb működési célú támogatások áh-n belülre</t>
  </si>
  <si>
    <t>096015- Gyermekétkeztetés köznevelési intézményben</t>
  </si>
  <si>
    <t>104035- Gyermekétkeztetés bölcsödében és fogyatékosok nappali intézményében</t>
  </si>
  <si>
    <t>Költségvetési egyenleg</t>
  </si>
  <si>
    <t>2016. évi</t>
  </si>
  <si>
    <t>Újság hirdetés bevétele</t>
  </si>
  <si>
    <t>Rendkívüli települési támogatás (pénzbeni és természetbeni ellátások)</t>
  </si>
  <si>
    <t>Köztemetés</t>
  </si>
  <si>
    <t>2015/2016 8 hó</t>
  </si>
  <si>
    <t>2016/2017 4 hó</t>
  </si>
  <si>
    <t>PH házasságkötés bevétele</t>
  </si>
  <si>
    <t>MINDÖSSZESEN</t>
  </si>
  <si>
    <t>Martonvásár Város Önkormányzata és Intézményei  2016. évi létszámkerete</t>
  </si>
  <si>
    <t>1.sz. melléklet</t>
  </si>
  <si>
    <t>2.sz. melléklet</t>
  </si>
  <si>
    <t>3.sz. melléklet</t>
  </si>
  <si>
    <t>4.sz. melléklet</t>
  </si>
  <si>
    <t>5.sz. melléklet</t>
  </si>
  <si>
    <t>5.a.sz. melléklet</t>
  </si>
  <si>
    <t>5.b.sz. melléklet</t>
  </si>
  <si>
    <t>5.c.sz. melléklet</t>
  </si>
  <si>
    <t>5.d.sz. melléklet</t>
  </si>
  <si>
    <t>5.e.sz. melléklet</t>
  </si>
  <si>
    <t>5.f.sz. melléklet</t>
  </si>
  <si>
    <t>5.g.sz. melléklet</t>
  </si>
  <si>
    <t>6.sz. melléklet</t>
  </si>
  <si>
    <t>Martonvásár Város Önkormányzat- Intézmények bevételei és kiadásai mindösszesen</t>
  </si>
  <si>
    <t>6.a.sz. melléklet</t>
  </si>
  <si>
    <t>6.b.sz.melléklet</t>
  </si>
  <si>
    <t>6.c.sz.melléklet</t>
  </si>
  <si>
    <t>7.sz. melléklet</t>
  </si>
  <si>
    <t>Martonvásár Város Önkormányzat beruházási (felhalmozási) célú kiadásai feladatonként</t>
  </si>
  <si>
    <t>8.sz. melléklet</t>
  </si>
  <si>
    <t>Martonvásár Város Önkormányzat felújítási célú kiadásai feladatonként</t>
  </si>
  <si>
    <t>9.sz.melléklet</t>
  </si>
  <si>
    <t>10.sz. melléklet</t>
  </si>
  <si>
    <t>11.sz. melléklet</t>
  </si>
  <si>
    <t>3/a.sz. melléklet</t>
  </si>
  <si>
    <t>3/b.sz. melléklet</t>
  </si>
  <si>
    <t>3/c.sz. melléklet</t>
  </si>
  <si>
    <t>Martonvásár Város Önkormányzatának 2016. évi bevétele (intézmények nélkül)</t>
  </si>
  <si>
    <t>Martonvásár Város Önkormányzatának 2016. évi működési bevételei</t>
  </si>
  <si>
    <t>Martonvásár Város Önkormányzatának 2016. évi  közhatalmi bevételei</t>
  </si>
  <si>
    <t>Martonvásár Város Önkormányzatának 2016. évi normatív támogatásai</t>
  </si>
  <si>
    <t>Martonvásár Város Önkormányzatának 2016. évi kiadásai (intézmények nélkül)</t>
  </si>
  <si>
    <t>Martonvásár Város Önkormányzatának 2016. évi kiadásai - Önkormányzati jogalkotás kormányzati funkció</t>
  </si>
  <si>
    <t>Martonvásár Város Önkormányzatának 2016. évi kiadásai - Szociális feladatok ellátása</t>
  </si>
  <si>
    <t>Martonvásár Város Önkormányzatának 2016. évi kiadásai - Átadott pénzeszközök</t>
  </si>
  <si>
    <t>Martonvásár Város Önkormányzatának 2016. évi kiadásai - Védőnői és eü feladatok ellátása</t>
  </si>
  <si>
    <t>Martonvásár Város Önkormányzatának 2016. évi kiadásai - Városfejlesztési feladatok ellátása EU forrásból</t>
  </si>
  <si>
    <t>Martonvásár Város Önkormányzatának 2016. évi kiadásai - Városfejlesztési feladatok ellátása saját forrásból</t>
  </si>
  <si>
    <t>Martonvásári Polgármesteri Hivatal 2016. évi kiadásai</t>
  </si>
  <si>
    <t>Brunszvik Teréz Óvoda 2016. évi kiadásai</t>
  </si>
  <si>
    <t>Brunszvik-Beethoven Kulturális Központ 2016. évi kiadásai</t>
  </si>
  <si>
    <t>Martonvásár Város Önkormányzata - Előirányzat felhasználási ütemterv</t>
  </si>
  <si>
    <t>Martonvásár Város Önkormányzatának 2016. évi kiadásai - Egyéb feladatok ellátása</t>
  </si>
  <si>
    <t>Martonvásár Város Önkormányzatának 2016. évi átvett pénzeszközei</t>
  </si>
  <si>
    <t>Martonvásár Város Önkormányzatának 2016.évi költségvetésének pénzügyi mérlege I.</t>
  </si>
  <si>
    <t>Martonvásár Város Önkormányzatának 2016.évi költségvetésének pénzügyi mérlege II.</t>
  </si>
  <si>
    <t>Martonvásár Város Önkormányzata</t>
  </si>
  <si>
    <t>Szent László Völgye TKT</t>
  </si>
  <si>
    <t>2015/2016 8hó</t>
  </si>
  <si>
    <t>Csatorna fejlesztési ct.</t>
  </si>
  <si>
    <t>Városmenedzsment MT szerint fogl.</t>
  </si>
  <si>
    <t>Martonsport Kft-nek átadott pe</t>
  </si>
  <si>
    <t>Polgárőrség támogatása</t>
  </si>
  <si>
    <t>Rászoruló gyermekek szünidei étkeztetésének támogatása</t>
  </si>
  <si>
    <t>Család- és gyermekjóléti szolgálat</t>
  </si>
  <si>
    <t>Család- és gyermekjóléti központ</t>
  </si>
  <si>
    <t>Szociális étkeztetés</t>
  </si>
  <si>
    <t>Támogató szolgáltatás</t>
  </si>
  <si>
    <t>Idősek nappali feladatainak ellátása</t>
  </si>
  <si>
    <t>Házi segítségnyújtás ellátása</t>
  </si>
  <si>
    <t>Támogatószolgálati feladatok ellátása</t>
  </si>
  <si>
    <t>104030</t>
  </si>
  <si>
    <t>102030</t>
  </si>
  <si>
    <t>Gyermekétkeztetés</t>
  </si>
  <si>
    <t xml:space="preserve">Szociális étkeztetés </t>
  </si>
  <si>
    <t>Tanyagondnoki feladatok ellátása</t>
  </si>
  <si>
    <t>Családi napközi feladatainak ellátása</t>
  </si>
  <si>
    <t>101222</t>
  </si>
  <si>
    <t>107055</t>
  </si>
  <si>
    <t>107052</t>
  </si>
  <si>
    <t>104042</t>
  </si>
  <si>
    <t>096015</t>
  </si>
  <si>
    <t>104043</t>
  </si>
  <si>
    <t>107051</t>
  </si>
  <si>
    <r>
      <t xml:space="preserve">Működési céltartalék </t>
    </r>
    <r>
      <rPr>
        <i/>
        <sz val="10"/>
        <color indexed="8"/>
        <rFont val="Times New Roman"/>
        <family val="1"/>
        <charset val="238"/>
      </rPr>
      <t>(Martonvásári Napokra)</t>
    </r>
  </si>
  <si>
    <t>Kisajátítási céltartalék</t>
  </si>
  <si>
    <t>Hitel törlesztési tart.</t>
  </si>
  <si>
    <t>Általános tartalék</t>
  </si>
  <si>
    <t xml:space="preserve">Fejlesztési célú ct. </t>
  </si>
  <si>
    <t>K513</t>
  </si>
  <si>
    <t>K89</t>
  </si>
  <si>
    <t>B411</t>
  </si>
  <si>
    <t>Működési célú költségvetési támogatások és kiegészítő támogatások</t>
  </si>
  <si>
    <t>Elszámolásból származó bevételek</t>
  </si>
  <si>
    <t>B65</t>
  </si>
  <si>
    <t>B64</t>
  </si>
  <si>
    <t>B75</t>
  </si>
  <si>
    <r>
      <t xml:space="preserve">Fejlesztési célú ct. </t>
    </r>
    <r>
      <rPr>
        <i/>
        <sz val="10"/>
        <color indexed="8"/>
        <rFont val="Times New Roman"/>
        <family val="1"/>
        <charset val="238"/>
      </rPr>
      <t>(előzetes "kötvállal" terhelt)</t>
    </r>
  </si>
  <si>
    <t>ebból általános tartalék</t>
  </si>
  <si>
    <t>TKT-nak átadott pe.</t>
  </si>
  <si>
    <t>Adatok forintban</t>
  </si>
  <si>
    <t>Gépjármű lízing (Martongazda Kft)</t>
  </si>
  <si>
    <t>K8907</t>
  </si>
  <si>
    <t>Egyéb felhalmozási célú támogatások ÁH-n kívülre</t>
  </si>
  <si>
    <t>TKT-nak pénzeszköz átadás felhalmozási</t>
  </si>
  <si>
    <t>TKT-nak pénzeszköz átadás normatíva</t>
  </si>
  <si>
    <t>Martongazda Kft-nek átadott felhalmozási c. pénzeszköz</t>
  </si>
  <si>
    <t>Iskolatej</t>
  </si>
  <si>
    <t>091110</t>
  </si>
  <si>
    <t>Óvodai nevelés, ellátás</t>
  </si>
  <si>
    <r>
      <t xml:space="preserve">Költségvetési kiadások </t>
    </r>
    <r>
      <rPr>
        <i/>
        <sz val="10"/>
        <color rgb="FF000000"/>
        <rFont val="Times New Roman"/>
        <family val="1"/>
        <charset val="238"/>
      </rPr>
      <t>(ebből 12.196 e Ft Önkormányzati támogatásból fedezve)</t>
    </r>
  </si>
  <si>
    <t>MKE támogatás visszatérülése 2015. évről</t>
  </si>
  <si>
    <t>Martonvásár Város Képviselőtestület …../2016 (….) önkormányzati rendelete Martonvásár Város 2016.évi költségvetésének módosításáról</t>
  </si>
  <si>
    <t>12.a melléklet</t>
  </si>
  <si>
    <t>Előirányzat módosítás részletes nyilvántartása - Martonvásár Város Önkormányzata</t>
  </si>
  <si>
    <t>12.b melléklet</t>
  </si>
  <si>
    <t>Előirányzat módosítás részletes nyilvántartása - Martonvásári Polgármesteri Hivatal</t>
  </si>
  <si>
    <t>12.c melléklet</t>
  </si>
  <si>
    <t>Előirányzat módosítás részletes nyilvántartása - Brunszvik Teréz Óvoda</t>
  </si>
  <si>
    <t>12.d melléklet</t>
  </si>
  <si>
    <t>Előirányzat módosítás részletes nyilvántartása - Brunszvik-Beethoven Kulturális Központ</t>
  </si>
  <si>
    <t>12.e melléklet</t>
  </si>
  <si>
    <t>Konszolidált előirányzat módosítás Martonvásár Város Önkormányzata és intézményei</t>
  </si>
  <si>
    <t>Módosítás</t>
  </si>
  <si>
    <t>Mód. Ei. I</t>
  </si>
  <si>
    <t>Mód. Ei. I.</t>
  </si>
  <si>
    <t>Eredeti ei, Ft</t>
  </si>
  <si>
    <t>Módosítás, Ft</t>
  </si>
  <si>
    <t>Módosított ei. I, Ft</t>
  </si>
  <si>
    <t>Módosítás,  Ft</t>
  </si>
  <si>
    <t>Módosított ei. I., Ft</t>
  </si>
  <si>
    <t>Tüzoltószertár végösszegének megfizetése</t>
  </si>
  <si>
    <t>Mód. ei. I.</t>
  </si>
  <si>
    <t xml:space="preserve">Mód. Ei. I. </t>
  </si>
  <si>
    <t>Brunszvik-Beethoven Kulturális Központ</t>
  </si>
  <si>
    <t>Módosított előirányzat I.</t>
  </si>
  <si>
    <t>052020- Szennyvíz gyűjtése, tisztítása, elhelyezése</t>
  </si>
  <si>
    <t>066020- Város-, községgazdálkodási egyéb szolgáltatások</t>
  </si>
  <si>
    <t>102031</t>
  </si>
  <si>
    <t>K914</t>
  </si>
  <si>
    <t>ÁH-n belüli megelőlegezések visszafizetése</t>
  </si>
  <si>
    <t>Módosítás jogcíme</t>
  </si>
  <si>
    <t>COFOG</t>
  </si>
  <si>
    <t>Bevétel összesen</t>
  </si>
  <si>
    <t>Szem.  juttatások</t>
  </si>
  <si>
    <t>Munka-adókat terhelő jár.</t>
  </si>
  <si>
    <t>Ellátottak pénzbeni  juttatásai</t>
  </si>
  <si>
    <t>Beruházás</t>
  </si>
  <si>
    <t xml:space="preserve">Felújítás </t>
  </si>
  <si>
    <t>Felhalm.célú p.e.átadás</t>
  </si>
  <si>
    <t>Megelőlegezések visszafize-tése</t>
  </si>
  <si>
    <t>Intézményfinanszírozás</t>
  </si>
  <si>
    <t>Hitel törlesztés</t>
  </si>
  <si>
    <t>Működési  céltartalék</t>
  </si>
  <si>
    <t>Fejlesztési céltartalék</t>
  </si>
  <si>
    <t>Csatorna céltartalék</t>
  </si>
  <si>
    <t>Kisajátítási ktg céltartalék</t>
  </si>
  <si>
    <t>Közhatalmi bevétel</t>
  </si>
  <si>
    <t>Működési bevétel</t>
  </si>
  <si>
    <t>Önk. műk.célú költségvet. tám.</t>
  </si>
  <si>
    <t>Műk.célú tám. ÁH-n belülről</t>
  </si>
  <si>
    <t>Műk.célú pénzeszk.átvétel ÁH-n kívülről</t>
  </si>
  <si>
    <t>Felhalmozási bevétel</t>
  </si>
  <si>
    <t>Önk. felhalm.c. ktgvet. tám.</t>
  </si>
  <si>
    <t>Felhalm.célú tám. ÁH-n belülről</t>
  </si>
  <si>
    <t>Felhalm.célú pénzeszk.átvétel ÁH-n kívülről</t>
  </si>
  <si>
    <t>Hitel felvétel</t>
  </si>
  <si>
    <t>Pénzmaradvány</t>
  </si>
  <si>
    <t>ÁH-n belülre</t>
  </si>
  <si>
    <t>ÁH-n kívülre</t>
  </si>
  <si>
    <t>2015.évi pénzmaradvány igénybevétele</t>
  </si>
  <si>
    <t>Előző évi személyi juttatásra</t>
  </si>
  <si>
    <t>041233</t>
  </si>
  <si>
    <t>Közbeszerzési garancia letét</t>
  </si>
  <si>
    <t>Gépjárműadó számla egyenlege</t>
  </si>
  <si>
    <t>Idegen bevételi számla egyenlege</t>
  </si>
  <si>
    <t>Illeték bevételi számla egyenlege</t>
  </si>
  <si>
    <t>Állami finanszírozás számla egyenlege</t>
  </si>
  <si>
    <t>Kötelezettséggel nem terhelt maradvány</t>
  </si>
  <si>
    <t>2015.évi pénzmaradvány elvonás PH</t>
  </si>
  <si>
    <t>018030</t>
  </si>
  <si>
    <t>2015.évi pénzmaradvány elvonás Óvoda</t>
  </si>
  <si>
    <t>2015.évi pénzmaradvány elvonás BBK</t>
  </si>
  <si>
    <t>Dekorációs falfestés Ped. Szakszolgálat</t>
  </si>
  <si>
    <t>066020</t>
  </si>
  <si>
    <t>Általános tartalék terhére</t>
  </si>
  <si>
    <t>Vásártér Csarnok épület talajmechanikai vizsgálat</t>
  </si>
  <si>
    <t>013350</t>
  </si>
  <si>
    <t>Kisajátítás ügyvédi költsége</t>
  </si>
  <si>
    <t>Kisajátítási  tartalék terhére</t>
  </si>
  <si>
    <t>Csatorna hálózat felújítási költségei</t>
  </si>
  <si>
    <t>052020</t>
  </si>
  <si>
    <t>Csatorna céltartalék terhére</t>
  </si>
  <si>
    <t>Intézmény finanszírozás PH  módosítás</t>
  </si>
  <si>
    <t>Fórum Martini főszerkesztői költségei</t>
  </si>
  <si>
    <t>083030</t>
  </si>
  <si>
    <t>Int.finanszírozás Óvoda (Országos Kisgyermeknevelési Konferencia költségei)</t>
  </si>
  <si>
    <t>Gyorsszerelésű pavilon vásárlás</t>
  </si>
  <si>
    <t>Fejlesztési céltartalék terhére</t>
  </si>
  <si>
    <t>Arzénmentesítő berendezés</t>
  </si>
  <si>
    <t>TKT szoc. hozzájárulás ei.átcsoportosítás</t>
  </si>
  <si>
    <t>Műk.célú pe.átadás SZLV TKT (orvosi ügyelet, tagdíj, belső ell.)</t>
  </si>
  <si>
    <t>Ei. átcsoportosítás telefonkészülék vásárlásra (Beethoven Isk.)</t>
  </si>
  <si>
    <t>092111</t>
  </si>
  <si>
    <t>Ei. átcsoportosítás dologi kiadásról</t>
  </si>
  <si>
    <t>Intézmény finanszírozás BBK könyvtár átalakítás költségeire</t>
  </si>
  <si>
    <t>Domain név karbantartás</t>
  </si>
  <si>
    <t>Bérleti díj OMSZ, KDVI</t>
  </si>
  <si>
    <t>Közbeszerzés- folyékony hulladék - II. részlet</t>
  </si>
  <si>
    <t>Csatornadíj túlfizetés visszafiz.kötelezettség</t>
  </si>
  <si>
    <t>Teljesítési biztosíték visszautalása</t>
  </si>
  <si>
    <t>Pénzmaradvány terhére</t>
  </si>
  <si>
    <t>Végrehajtási költség ei.</t>
  </si>
  <si>
    <t>Gyermekétkeztetés 2015. december</t>
  </si>
  <si>
    <t>Szoc. étkeztetés 2015. december</t>
  </si>
  <si>
    <t>Állami finanszírozás 2015.évi megelőlegezés visszavonása</t>
  </si>
  <si>
    <t>018010</t>
  </si>
  <si>
    <t>Fejlesztési célú pe. átadás Sporttelep áramhálózat</t>
  </si>
  <si>
    <t>Városháza átalakítás, beruházás</t>
  </si>
  <si>
    <t>Tűzvédelmi oltómedence</t>
  </si>
  <si>
    <t>Széchenyi u.- Váci M. u.- Kossuth tér útépítés tervezési m.</t>
  </si>
  <si>
    <t>Domain név hosszabítás</t>
  </si>
  <si>
    <t>Intézményfinanszírozás BBK "Kihelyezett énekóra"</t>
  </si>
  <si>
    <t>Fejl. célú pénzeszköz átadás Martonsport TAO 2015</t>
  </si>
  <si>
    <t>Fejl. célú pénzeszköz átadás Martonsport öltöző önrész</t>
  </si>
  <si>
    <t>Fejl. célú pénzeszköz átadás Martonsport csarnok önrész</t>
  </si>
  <si>
    <t>Brunszvik út-Sétáló utca gyalogátkelőhely tervezés</t>
  </si>
  <si>
    <t>045120</t>
  </si>
  <si>
    <t>Kresz tábla vásárlás</t>
  </si>
  <si>
    <t>Kresz tábla vásárlás fordított áfa</t>
  </si>
  <si>
    <t xml:space="preserve">Kopjafa </t>
  </si>
  <si>
    <t>Adósságkonszolidáció visszatér. továbbutalása</t>
  </si>
  <si>
    <t>2015.évi normatíva visszafizetése</t>
  </si>
  <si>
    <t>Martonvásár honlap és applikáció fejlesztése</t>
  </si>
  <si>
    <t>Mv.182.hrsz. ingatlan vásárlás</t>
  </si>
  <si>
    <t>Ped.szakszolgálat irodáinak kialakítása</t>
  </si>
  <si>
    <t>Műk.célú pe.átadás MG Kft</t>
  </si>
  <si>
    <t>Közfoglalkoztatási támogatás visszafizetése</t>
  </si>
  <si>
    <t>OMSZ kerítés építésre pénzeszköz átvétel</t>
  </si>
  <si>
    <t>Mentőállomás kerítés építés</t>
  </si>
  <si>
    <t>Beethoven Iskola tanterem kialakítása</t>
  </si>
  <si>
    <t>Művészeti Iskola födém statikus szakértői vélemény</t>
  </si>
  <si>
    <t>091250</t>
  </si>
  <si>
    <t>Kerékpár tároló építése</t>
  </si>
  <si>
    <t>Pro Minoritate Alapítvány támogatás</t>
  </si>
  <si>
    <t>084031</t>
  </si>
  <si>
    <t>Iskolai tantermi bútorok (Beethoven Iskola)</t>
  </si>
  <si>
    <t>SZLV TKT-tól jutalomra átvett pénzeszköz</t>
  </si>
  <si>
    <t>Intézményfinanszírozás PH</t>
  </si>
  <si>
    <t>Sportöltöző gázcsonk áthelyezés</t>
  </si>
  <si>
    <t>Kresz tábla fordított áfa</t>
  </si>
  <si>
    <t xml:space="preserve">Ei. átcsoportosítás COFOG között </t>
  </si>
  <si>
    <t xml:space="preserve">Klímaberendezés vásárlás </t>
  </si>
  <si>
    <t>COOP Áruház gyalogátkelő</t>
  </si>
  <si>
    <t xml:space="preserve">Kisajátítás perköltsége </t>
  </si>
  <si>
    <t>Pályázati tanulmány VP-6.7.4.1.1.</t>
  </si>
  <si>
    <t>Pályázati tanulmány TOP-4.1.1-15</t>
  </si>
  <si>
    <t>072111</t>
  </si>
  <si>
    <t>Ablak nyitó távirányítóval</t>
  </si>
  <si>
    <t>Útépítés tervezési munkák</t>
  </si>
  <si>
    <t>Számítógép vásárlás</t>
  </si>
  <si>
    <t>Locsolóhálózat építési munkái</t>
  </si>
  <si>
    <t>Sportcsarnok előtti járda építés</t>
  </si>
  <si>
    <t>Gázmérő leszerelése</t>
  </si>
  <si>
    <t>KPE védőcső öntözőhöz (Sportöltöző)</t>
  </si>
  <si>
    <t>Hősugárzó beszerzés</t>
  </si>
  <si>
    <t>Városháza átalakítás, karbantartás</t>
  </si>
  <si>
    <t>Városháza-klímaberendezések</t>
  </si>
  <si>
    <t>Településrendezési terv</t>
  </si>
  <si>
    <t>Gépi földmunka sportpálya</t>
  </si>
  <si>
    <t>081030</t>
  </si>
  <si>
    <t>Intézméynfinanszírozás PH-adóellenőrzés</t>
  </si>
  <si>
    <t>Intézméynfinanszírozás PH-bútor vásárlás</t>
  </si>
  <si>
    <t>MSK TAO pályázat önerő támogatás</t>
  </si>
  <si>
    <t>Bérkompenzáció bevétele 2015.évi</t>
  </si>
  <si>
    <t>Bérkompenzáció bevétele 2016.évi</t>
  </si>
  <si>
    <t>Intézményfinanszírozás bérkompenzációra PH</t>
  </si>
  <si>
    <t>Intézményfinanszírozás bérkompenzációra  Óvoda</t>
  </si>
  <si>
    <t>018031</t>
  </si>
  <si>
    <t>Intézményfinanszírozás bérkompenzációra  BBK</t>
  </si>
  <si>
    <t>018032</t>
  </si>
  <si>
    <t>Pénzeszköz átadás SZLV TKT</t>
  </si>
  <si>
    <t>Tartalékba helyezés (bérkompenzáció előleg)</t>
  </si>
  <si>
    <t>Bérleti díjak átvétele intézményektől</t>
  </si>
  <si>
    <t>Bérleti díj átadás MG Kft-nek</t>
  </si>
  <si>
    <t>Szoc.ágazati pótlék bevétele</t>
  </si>
  <si>
    <t>Kiegészítő szoc.ágazati pótlék bevétele</t>
  </si>
  <si>
    <t>Pézeszköz átadás SZLV TKT</t>
  </si>
  <si>
    <t>Tárhely és mobil alkalmazás üzemeltetése</t>
  </si>
  <si>
    <t>Pályázati tanulmány TOP-2.1.2-15</t>
  </si>
  <si>
    <t>MLSZ használati jog vásárlás</t>
  </si>
  <si>
    <t>Hat. szám v. ügyir. sz.</t>
  </si>
  <si>
    <t>Bevételek összesen</t>
  </si>
  <si>
    <t>Szem jell.</t>
  </si>
  <si>
    <t>Járulék</t>
  </si>
  <si>
    <t>DOLOGI</t>
  </si>
  <si>
    <t>Felújítás</t>
  </si>
  <si>
    <t>Ber.célú p.e.átadás</t>
  </si>
  <si>
    <t>Műk.célú bevétel</t>
  </si>
  <si>
    <t>Felhalm. Bevétel</t>
  </si>
  <si>
    <t>Felhalm.c.bevétel</t>
  </si>
  <si>
    <t>Pénzma-radvány</t>
  </si>
  <si>
    <t>Készletbesz.</t>
  </si>
  <si>
    <t>Kommunikáció</t>
  </si>
  <si>
    <t>Szolgáltatási kiad.</t>
  </si>
  <si>
    <t>ÁFA</t>
  </si>
  <si>
    <t>Egyéb kiadás</t>
  </si>
  <si>
    <t>Kamat</t>
  </si>
  <si>
    <t>ÁH-n belülről</t>
  </si>
  <si>
    <t>ÁH-n kívülről</t>
  </si>
  <si>
    <t>Intézmény finanszírozás ei. csökk.</t>
  </si>
  <si>
    <t>Fórum Martini főszerkesztői fa. ei.átcsop. Önkormányzathoz</t>
  </si>
  <si>
    <t>Továbbszámlázott szolg. bevétel ei.</t>
  </si>
  <si>
    <t>Továbbszámlázott kiadások ei.</t>
  </si>
  <si>
    <t>Intézmény finanszírozás jutalomra</t>
  </si>
  <si>
    <t xml:space="preserve">Jutalom és járulékai </t>
  </si>
  <si>
    <t>Intézmény finanszírozás adóellenőrzésre</t>
  </si>
  <si>
    <t>Helyiség bérleti díj</t>
  </si>
  <si>
    <t xml:space="preserve">Adóellenőrzés szakértői díj </t>
  </si>
  <si>
    <t>Intézmény finanszírozás bútor vásárlásra</t>
  </si>
  <si>
    <t>Bútor vásárlás</t>
  </si>
  <si>
    <t>Intézmény finanszírozás bérkompenzációra</t>
  </si>
  <si>
    <t>Bérkompenzáció és járulékai</t>
  </si>
  <si>
    <t>Házasságkötés bevétele</t>
  </si>
  <si>
    <t>Anyakönyvvezetők díja, járuléka</t>
  </si>
  <si>
    <t>Pénzmaradvány igénybevétele</t>
  </si>
  <si>
    <t>Pénzmaradvány elvonása</t>
  </si>
  <si>
    <t xml:space="preserve">Bérleti díj bevétel </t>
  </si>
  <si>
    <t>Bérleti díj átadás önkormányzatnak</t>
  </si>
  <si>
    <t>Bérleti díj átadás MG Kft. részére</t>
  </si>
  <si>
    <t>Irodaszer ei.</t>
  </si>
  <si>
    <t>Pénzmar. igénybe vétele</t>
  </si>
  <si>
    <t>H</t>
  </si>
  <si>
    <t>I</t>
  </si>
  <si>
    <t>J</t>
  </si>
  <si>
    <t>K</t>
  </si>
  <si>
    <t>M</t>
  </si>
  <si>
    <t>N</t>
  </si>
  <si>
    <t>O</t>
  </si>
  <si>
    <t>P</t>
  </si>
  <si>
    <t>S</t>
  </si>
  <si>
    <t>T</t>
  </si>
  <si>
    <t>U</t>
  </si>
  <si>
    <t>V</t>
  </si>
  <si>
    <t>W</t>
  </si>
  <si>
    <t>X</t>
  </si>
  <si>
    <t>Intézmény finanszírozás</t>
  </si>
  <si>
    <t>Orsz. Kisgyermek nevelési konferencia költségeire</t>
  </si>
  <si>
    <t>Ei. átcsoportosítás beruházásra (porszívó vásárlás)</t>
  </si>
  <si>
    <t>Ei. átcsoportosítás megbízási díjról</t>
  </si>
  <si>
    <t>Ei. átcsoportosítás dologi kiadásra (SNI-s gyerekek fejl.)</t>
  </si>
  <si>
    <t>Terembérleti díj bevétel ei.</t>
  </si>
  <si>
    <t>Bérleti díj átadás MG részére</t>
  </si>
  <si>
    <t>Bérleti díj átadás önkormányzat  részére</t>
  </si>
  <si>
    <t>Bérleti díj ei. dologi kiadásokra</t>
  </si>
  <si>
    <t>13.</t>
  </si>
  <si>
    <t>14.</t>
  </si>
  <si>
    <t>Pénzeszköz átadás önkormányzat részére</t>
  </si>
  <si>
    <t>15.</t>
  </si>
  <si>
    <t>Ei. átcsoportosítás alapilletményről</t>
  </si>
  <si>
    <t>16.</t>
  </si>
  <si>
    <t>Ei. átcsoportosítás betegszabadságra</t>
  </si>
  <si>
    <t>17.</t>
  </si>
  <si>
    <t>Ei. átcsoportosítás táppénz hozzájárulásra</t>
  </si>
  <si>
    <t>Könyvtár átalakítás költségeire</t>
  </si>
  <si>
    <t>Továbbszámlázott szolgáltatás bevétele</t>
  </si>
  <si>
    <t>Továbbszámlázott szolgáltatás kiadásaira</t>
  </si>
  <si>
    <t>Rendezvény bevétele</t>
  </si>
  <si>
    <t>Bérleti díj bevétel átadás</t>
  </si>
  <si>
    <t>Budapest Voices koncert költségeire</t>
  </si>
  <si>
    <t>Ei. átcsoportosítás tárgyi eszköz beszerzésről (OM)</t>
  </si>
  <si>
    <t>Ei. átcsoportosítás Emlékszoba kialkítás költségeire</t>
  </si>
  <si>
    <t>Ei. átcsoportosítás beruházásról (városmarketing term.)</t>
  </si>
  <si>
    <t>Ei. átcsoportosítás dologi kiadásokra (városmarketing term.)</t>
  </si>
  <si>
    <t>Ei. átcsoportosítás dologi kiadásokról</t>
  </si>
  <si>
    <t>Ei. átcsoportosítás reprezentációra</t>
  </si>
  <si>
    <t>18.</t>
  </si>
  <si>
    <t>19.</t>
  </si>
  <si>
    <t>Bérleti díj bevétel ei.</t>
  </si>
  <si>
    <t>20.</t>
  </si>
  <si>
    <t>21.</t>
  </si>
  <si>
    <t>22.</t>
  </si>
  <si>
    <t>Táboroztatás bevétel ei.</t>
  </si>
  <si>
    <t>23.</t>
  </si>
  <si>
    <t>Táboroztatás kiadás ei.</t>
  </si>
  <si>
    <t>Ellátottak pénzbeni juttatásai</t>
  </si>
  <si>
    <t>Felh.célú p.e.átadás</t>
  </si>
  <si>
    <t>Megelőlege-zések  visszafiz.</t>
  </si>
  <si>
    <t>Működési céltartalék</t>
  </si>
  <si>
    <t>Felhalmzozási céltartalék</t>
  </si>
  <si>
    <t>Önk. műk.célú ktgv.tám.</t>
  </si>
  <si>
    <t>Önk. felhalm. ktgvet.tám.</t>
  </si>
  <si>
    <t>Felhalm.c. bevétel</t>
  </si>
  <si>
    <t>Önkormányzat összesen</t>
  </si>
  <si>
    <t>Egyéb működési célú támogatások államháztartáson belülre</t>
  </si>
  <si>
    <t xml:space="preserve">ebből: helyi önkormányzatok </t>
  </si>
  <si>
    <t>ebből: helyi önkormányzatok</t>
  </si>
  <si>
    <t>ebből: önkormányzat</t>
  </si>
  <si>
    <t>045120 - Út, autópálya építése</t>
  </si>
  <si>
    <t>Martongazdának átadott pe (karbant.)</t>
  </si>
  <si>
    <t>Martonsport Kft-nek fejl. átadott pe</t>
  </si>
  <si>
    <t>072111 - Háziorvosi alapellátás</t>
  </si>
  <si>
    <t>081030 - Sportlétesítmények, edzőtáborok működtetése és fejlesztése</t>
  </si>
  <si>
    <t>MSK TAO önerő átadása</t>
  </si>
  <si>
    <t>Módosított ei.</t>
  </si>
  <si>
    <t>Martongazdának átadott pe (bérleti díj)</t>
  </si>
  <si>
    <t>Orvosi ügylet, tagdíj, belső ellenőrzés, bérkompenzáció, szoc.ágazati pótlék</t>
  </si>
  <si>
    <t>Kisajátítás ig.szolg.díj</t>
  </si>
  <si>
    <t>Fejlesztési tartalék terhére</t>
  </si>
  <si>
    <t>2016 .évi tervezett  létszám (fő)</t>
  </si>
  <si>
    <t>2016. évi módosított  létszám (fő)</t>
  </si>
  <si>
    <t>PH bérleti díj bevétel</t>
  </si>
  <si>
    <t>PH továbbszámlázott szolgáltatás</t>
  </si>
  <si>
    <t>Brunszvik Óvoda bérleti díj bevétel</t>
  </si>
  <si>
    <t>BBK könyvtár bevétele</t>
  </si>
  <si>
    <t>BBK Óvodamúzeum bevétele</t>
  </si>
  <si>
    <t>BBK Rendezvények bevétele</t>
  </si>
  <si>
    <t>BBK Terembérlet</t>
  </si>
  <si>
    <t>BBK továbbszámlázott szolgáltatás</t>
  </si>
  <si>
    <t>BBK Kiszámlázott áfa</t>
  </si>
  <si>
    <t>BBK Áfavisszatérülés</t>
  </si>
  <si>
    <t>BBK táboroztatás</t>
  </si>
  <si>
    <t>Széchenyi u., Váci u., Kossuth L. tér útépítés tervezési munkái</t>
  </si>
  <si>
    <t>Honlap és applikáció fejlesztés</t>
  </si>
  <si>
    <t>Rákóczi, Dreher, Budai út, Ady és Vasvári utcák tervezése</t>
  </si>
  <si>
    <t>Vásártér - csarnok talajmech.vizsgálat</t>
  </si>
  <si>
    <t>Brunszvik utca - Sétáló út gyalogátkelőhely tervezése</t>
  </si>
  <si>
    <t>Mv. 182.hrsz ingatlan vásárlás</t>
  </si>
  <si>
    <t>Ped.szakszolg. Kialakítása</t>
  </si>
  <si>
    <t>Locsolóhálózat kiépítése, Szent László út</t>
  </si>
  <si>
    <t>KPE védőcső sportöltöző</t>
  </si>
  <si>
    <t>Gépi földmunka, sportpálya</t>
  </si>
  <si>
    <t>Városháza átalakítás</t>
  </si>
  <si>
    <t>Mentő állomás kerítés építés</t>
  </si>
  <si>
    <t>Beethoven Iskola tanterem kialakítás</t>
  </si>
  <si>
    <t>COOP Áruház gyalogátkelő létesítése</t>
  </si>
  <si>
    <t>Számítógépek vásárlása</t>
  </si>
  <si>
    <t>Gyors szerelésű pavilonok</t>
  </si>
  <si>
    <t>Arzénmentesítő vásárlása</t>
  </si>
  <si>
    <t>Telefon készülék, Beethoven Iskola</t>
  </si>
  <si>
    <t>Kerékpár tároló</t>
  </si>
  <si>
    <t>Iskolai tantermi bútorok</t>
  </si>
  <si>
    <t>Klíma berendezések</t>
  </si>
  <si>
    <t>Hősurgárzó</t>
  </si>
  <si>
    <t>Csatorna felújítás</t>
  </si>
  <si>
    <t>Gázkazán csere, védőnői szolgálat</t>
  </si>
  <si>
    <t>Adatok E FT-ban</t>
  </si>
  <si>
    <t>Gázkazán felújítás védőnői szolgálatnál</t>
  </si>
  <si>
    <t>Finanszírozási kiadás</t>
  </si>
  <si>
    <t>Felhalm.célú pe.átadás gépjármű beszerzéshez   (MG Kft.)</t>
  </si>
  <si>
    <t>Pénzmaradvány terhére (tart. visszafiz.)</t>
  </si>
  <si>
    <t xml:space="preserve"> 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</si>
</sst>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0__"/>
    <numFmt numFmtId="165" formatCode="#,###"/>
    <numFmt numFmtId="166" formatCode="#,##0\ ;\-#,##0"/>
    <numFmt numFmtId="167" formatCode="_-* #,##0\ _F_t_-;\-* #,##0\ _F_t_-;_-* &quot;-&quot;??\ _F_t_-;_-@_-"/>
  </numFmts>
  <fonts count="8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i/>
      <sz val="9"/>
      <name val="Times New Roman CE"/>
      <charset val="238"/>
    </font>
    <font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i/>
      <sz val="8"/>
      <name val="Times New Roman CE"/>
      <charset val="238"/>
    </font>
    <font>
      <sz val="10"/>
      <color indexed="10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b/>
      <sz val="12"/>
      <color rgb="FF000000"/>
      <name val="Times new roman ce"/>
    </font>
    <font>
      <b/>
      <i/>
      <sz val="10"/>
      <color rgb="FF000000"/>
      <name val="Times new roman ce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lightHorizontal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99">
    <xf numFmtId="0" fontId="0" fillId="0" borderId="0"/>
    <xf numFmtId="0" fontId="1" fillId="0" borderId="0"/>
    <xf numFmtId="0" fontId="9" fillId="0" borderId="0"/>
    <xf numFmtId="0" fontId="9" fillId="0" borderId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11" borderId="0" applyNumberFormat="0" applyBorder="0" applyAlignment="0" applyProtection="0"/>
    <xf numFmtId="0" fontId="43" fillId="8" borderId="0" applyNumberFormat="0" applyBorder="0" applyAlignment="0" applyProtection="0"/>
    <xf numFmtId="0" fontId="43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3" borderId="0" applyNumberFormat="0" applyBorder="0" applyAlignment="0" applyProtection="0"/>
    <xf numFmtId="0" fontId="43" fillId="12" borderId="0" applyNumberFormat="0" applyBorder="0" applyAlignment="0" applyProtection="0"/>
    <xf numFmtId="0" fontId="44" fillId="14" borderId="0" applyNumberFormat="0" applyBorder="0" applyAlignment="0" applyProtection="0"/>
    <xf numFmtId="0" fontId="44" fillId="8" borderId="0" applyNumberFormat="0" applyBorder="0" applyAlignment="0" applyProtection="0"/>
    <xf numFmtId="0" fontId="44" fillId="12" borderId="0" applyNumberFormat="0" applyBorder="0" applyAlignment="0" applyProtection="0"/>
    <xf numFmtId="0" fontId="44" fillId="11" borderId="0" applyNumberFormat="0" applyBorder="0" applyAlignment="0" applyProtection="0"/>
    <xf numFmtId="0" fontId="44" fillId="14" borderId="0" applyNumberFormat="0" applyBorder="0" applyAlignment="0" applyProtection="0"/>
    <xf numFmtId="0" fontId="44" fillId="8" borderId="0" applyNumberFormat="0" applyBorder="0" applyAlignment="0" applyProtection="0"/>
    <xf numFmtId="0" fontId="45" fillId="12" borderId="64" applyNumberFormat="0" applyAlignment="0" applyProtection="0"/>
    <xf numFmtId="0" fontId="46" fillId="0" borderId="0" applyNumberFormat="0" applyFill="0" applyBorder="0" applyAlignment="0" applyProtection="0"/>
    <xf numFmtId="0" fontId="47" fillId="0" borderId="65" applyNumberFormat="0" applyFill="0" applyAlignment="0" applyProtection="0"/>
    <xf numFmtId="0" fontId="48" fillId="0" borderId="66" applyNumberFormat="0" applyFill="0" applyAlignment="0" applyProtection="0"/>
    <xf numFmtId="0" fontId="49" fillId="0" borderId="67" applyNumberFormat="0" applyFill="0" applyAlignment="0" applyProtection="0"/>
    <xf numFmtId="0" fontId="49" fillId="0" borderId="0" applyNumberFormat="0" applyFill="0" applyBorder="0" applyAlignment="0" applyProtection="0"/>
    <xf numFmtId="0" fontId="50" fillId="15" borderId="68" applyNumberFormat="0" applyAlignment="0" applyProtection="0"/>
    <xf numFmtId="0" fontId="51" fillId="0" borderId="0" applyNumberFormat="0" applyFill="0" applyBorder="0" applyAlignment="0" applyProtection="0"/>
    <xf numFmtId="0" fontId="52" fillId="0" borderId="69" applyNumberFormat="0" applyFill="0" applyAlignment="0" applyProtection="0"/>
    <xf numFmtId="0" fontId="16" fillId="9" borderId="70" applyNumberFormat="0" applyFont="0" applyAlignment="0" applyProtection="0"/>
    <xf numFmtId="0" fontId="44" fillId="14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53" fillId="20" borderId="0" applyNumberFormat="0" applyBorder="0" applyAlignment="0" applyProtection="0"/>
    <xf numFmtId="0" fontId="54" fillId="21" borderId="71" applyNumberFormat="0" applyAlignment="0" applyProtection="0"/>
    <xf numFmtId="0" fontId="55" fillId="0" borderId="0" applyNumberFormat="0" applyFill="0" applyBorder="0" applyAlignment="0" applyProtection="0"/>
    <xf numFmtId="0" fontId="56" fillId="0" borderId="0"/>
    <xf numFmtId="0" fontId="43" fillId="0" borderId="0"/>
    <xf numFmtId="0" fontId="57" fillId="0" borderId="0"/>
    <xf numFmtId="0" fontId="16" fillId="0" borderId="0"/>
    <xf numFmtId="0" fontId="57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57" fillId="0" borderId="0"/>
    <xf numFmtId="0" fontId="58" fillId="0" borderId="72" applyNumberFormat="0" applyFill="0" applyAlignment="0" applyProtection="0"/>
    <xf numFmtId="0" fontId="59" fillId="22" borderId="0" applyNumberFormat="0" applyBorder="0" applyAlignment="0" applyProtection="0"/>
    <xf numFmtId="0" fontId="60" fillId="12" borderId="0" applyNumberFormat="0" applyBorder="0" applyAlignment="0" applyProtection="0"/>
    <xf numFmtId="0" fontId="61" fillId="21" borderId="64" applyNumberFormat="0" applyAlignment="0" applyProtection="0"/>
    <xf numFmtId="9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0" fontId="43" fillId="23" borderId="0" applyNumberFormat="0" applyBorder="0" applyAlignment="0" applyProtection="0"/>
    <xf numFmtId="0" fontId="43" fillId="22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10" borderId="0" applyNumberFormat="0" applyBorder="0" applyAlignment="0" applyProtection="0"/>
    <xf numFmtId="0" fontId="43" fillId="7" borderId="0" applyNumberFormat="0" applyBorder="0" applyAlignment="0" applyProtection="0"/>
    <xf numFmtId="0" fontId="43" fillId="13" borderId="0" applyNumberFormat="0" applyBorder="0" applyAlignment="0" applyProtection="0"/>
    <xf numFmtId="0" fontId="43" fillId="8" borderId="0" applyNumberFormat="0" applyBorder="0" applyAlignment="0" applyProtection="0"/>
    <xf numFmtId="0" fontId="43" fillId="25" borderId="0" applyNumberFormat="0" applyBorder="0" applyAlignment="0" applyProtection="0"/>
    <xf numFmtId="0" fontId="43" fillId="24" borderId="0" applyNumberFormat="0" applyBorder="0" applyAlignment="0" applyProtection="0"/>
    <xf numFmtId="0" fontId="43" fillId="13" borderId="0" applyNumberFormat="0" applyBorder="0" applyAlignment="0" applyProtection="0"/>
    <xf numFmtId="0" fontId="43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8" borderId="0" applyNumberFormat="0" applyBorder="0" applyAlignment="0" applyProtection="0"/>
    <xf numFmtId="0" fontId="44" fillId="25" borderId="0" applyNumberFormat="0" applyBorder="0" applyAlignment="0" applyProtection="0"/>
    <xf numFmtId="0" fontId="44" fillId="28" borderId="0" applyNumberFormat="0" applyBorder="0" applyAlignment="0" applyProtection="0"/>
    <xf numFmtId="0" fontId="44" fillId="14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28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59" fillId="22" borderId="0" applyNumberFormat="0" applyBorder="0" applyAlignment="0" applyProtection="0"/>
    <xf numFmtId="0" fontId="61" fillId="11" borderId="64" applyNumberFormat="0" applyAlignment="0" applyProtection="0"/>
    <xf numFmtId="0" fontId="50" fillId="15" borderId="68" applyNumberFormat="0" applyAlignment="0" applyProtection="0"/>
    <xf numFmtId="0" fontId="55" fillId="0" borderId="0" applyNumberFormat="0" applyFill="0" applyBorder="0" applyAlignment="0" applyProtection="0"/>
    <xf numFmtId="0" fontId="53" fillId="20" borderId="0" applyNumberFormat="0" applyBorder="0" applyAlignment="0" applyProtection="0"/>
    <xf numFmtId="0" fontId="62" fillId="0" borderId="84" applyNumberFormat="0" applyFill="0" applyAlignment="0" applyProtection="0"/>
    <xf numFmtId="0" fontId="63" fillId="0" borderId="66" applyNumberFormat="0" applyFill="0" applyAlignment="0" applyProtection="0"/>
    <xf numFmtId="0" fontId="64" fillId="0" borderId="85" applyNumberFormat="0" applyFill="0" applyAlignment="0" applyProtection="0"/>
    <xf numFmtId="0" fontId="64" fillId="0" borderId="0" applyNumberFormat="0" applyFill="0" applyBorder="0" applyAlignment="0" applyProtection="0"/>
    <xf numFmtId="0" fontId="45" fillId="7" borderId="64" applyNumberFormat="0" applyAlignment="0" applyProtection="0"/>
    <xf numFmtId="0" fontId="52" fillId="0" borderId="69" applyNumberFormat="0" applyFill="0" applyAlignment="0" applyProtection="0"/>
    <xf numFmtId="0" fontId="60" fillId="12" borderId="0" applyNumberFormat="0" applyBorder="0" applyAlignment="0" applyProtection="0"/>
    <xf numFmtId="0" fontId="57" fillId="9" borderId="70" applyNumberFormat="0" applyFont="0" applyAlignment="0" applyProtection="0"/>
    <xf numFmtId="0" fontId="54" fillId="11" borderId="71" applyNumberFormat="0" applyAlignment="0" applyProtection="0"/>
    <xf numFmtId="0" fontId="65" fillId="0" borderId="0" applyNumberFormat="0" applyFill="0" applyBorder="0" applyAlignment="0" applyProtection="0"/>
    <xf numFmtId="0" fontId="58" fillId="0" borderId="86" applyNumberFormat="0" applyFill="0" applyAlignment="0" applyProtection="0"/>
    <xf numFmtId="0" fontId="51" fillId="0" borderId="0" applyNumberFormat="0" applyFill="0" applyBorder="0" applyAlignment="0" applyProtection="0"/>
    <xf numFmtId="43" fontId="42" fillId="0" borderId="0" applyFont="0" applyFill="0" applyBorder="0" applyAlignment="0" applyProtection="0"/>
  </cellStyleXfs>
  <cellXfs count="1204">
    <xf numFmtId="0" fontId="0" fillId="0" borderId="0" xfId="0"/>
    <xf numFmtId="0" fontId="0" fillId="0" borderId="0" xfId="0" applyBorder="1"/>
    <xf numFmtId="0" fontId="30" fillId="0" borderId="0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/>
    </xf>
    <xf numFmtId="0" fontId="5" fillId="0" borderId="1" xfId="1" applyFont="1" applyBorder="1"/>
    <xf numFmtId="0" fontId="2" fillId="0" borderId="1" xfId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164" fontId="4" fillId="0" borderId="6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right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/>
    <xf numFmtId="0" fontId="32" fillId="0" borderId="1" xfId="0" applyFont="1" applyBorder="1"/>
    <xf numFmtId="0" fontId="32" fillId="0" borderId="2" xfId="0" applyFont="1" applyBorder="1"/>
    <xf numFmtId="0" fontId="32" fillId="0" borderId="4" xfId="0" applyFont="1" applyBorder="1"/>
    <xf numFmtId="0" fontId="32" fillId="0" borderId="8" xfId="0" applyFont="1" applyBorder="1"/>
    <xf numFmtId="0" fontId="32" fillId="0" borderId="5" xfId="0" applyFont="1" applyBorder="1"/>
    <xf numFmtId="0" fontId="32" fillId="0" borderId="9" xfId="0" applyFont="1" applyBorder="1"/>
    <xf numFmtId="0" fontId="32" fillId="0" borderId="6" xfId="0" applyFont="1" applyBorder="1" applyAlignment="1">
      <alignment horizontal="left"/>
    </xf>
    <xf numFmtId="0" fontId="32" fillId="0" borderId="0" xfId="0" applyFont="1" applyBorder="1" applyAlignment="1">
      <alignment horizontal="right"/>
    </xf>
    <xf numFmtId="0" fontId="32" fillId="0" borderId="0" xfId="0" applyFont="1" applyBorder="1" applyAlignment="1">
      <alignment horizontal="left"/>
    </xf>
    <xf numFmtId="3" fontId="5" fillId="0" borderId="1" xfId="1" applyNumberFormat="1" applyFont="1" applyBorder="1"/>
    <xf numFmtId="3" fontId="32" fillId="0" borderId="1" xfId="0" applyNumberFormat="1" applyFont="1" applyBorder="1"/>
    <xf numFmtId="3" fontId="32" fillId="0" borderId="4" xfId="0" applyNumberFormat="1" applyFont="1" applyBorder="1"/>
    <xf numFmtId="3" fontId="32" fillId="0" borderId="8" xfId="0" applyNumberFormat="1" applyFont="1" applyBorder="1"/>
    <xf numFmtId="3" fontId="32" fillId="0" borderId="5" xfId="0" applyNumberFormat="1" applyFont="1" applyBorder="1"/>
    <xf numFmtId="49" fontId="32" fillId="0" borderId="0" xfId="0" applyNumberFormat="1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right" vertical="center"/>
    </xf>
    <xf numFmtId="164" fontId="6" fillId="0" borderId="8" xfId="1" applyNumberFormat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right" vertical="center"/>
    </xf>
    <xf numFmtId="0" fontId="7" fillId="0" borderId="8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right" vertical="center" wrapText="1"/>
    </xf>
    <xf numFmtId="0" fontId="32" fillId="0" borderId="0" xfId="0" applyFont="1" applyBorder="1" applyAlignment="1">
      <alignment vertical="center"/>
    </xf>
    <xf numFmtId="0" fontId="33" fillId="0" borderId="3" xfId="0" applyFont="1" applyBorder="1" applyAlignment="1">
      <alignment horizontal="left"/>
    </xf>
    <xf numFmtId="0" fontId="33" fillId="0" borderId="0" xfId="0" applyFont="1" applyBorder="1"/>
    <xf numFmtId="0" fontId="6" fillId="0" borderId="3" xfId="1" applyFont="1" applyFill="1" applyBorder="1" applyAlignment="1">
      <alignment horizontal="right" vertical="center" wrapText="1"/>
    </xf>
    <xf numFmtId="0" fontId="6" fillId="0" borderId="8" xfId="1" applyFont="1" applyFill="1" applyBorder="1" applyAlignment="1">
      <alignment horizontal="left" vertical="center" wrapText="1"/>
    </xf>
    <xf numFmtId="0" fontId="31" fillId="0" borderId="2" xfId="0" applyFont="1" applyBorder="1"/>
    <xf numFmtId="0" fontId="31" fillId="0" borderId="0" xfId="0" applyFont="1" applyBorder="1"/>
    <xf numFmtId="0" fontId="31" fillId="0" borderId="1" xfId="0" applyFont="1" applyBorder="1"/>
    <xf numFmtId="0" fontId="31" fillId="0" borderId="5" xfId="0" applyFont="1" applyBorder="1"/>
    <xf numFmtId="0" fontId="30" fillId="0" borderId="0" xfId="0" applyFont="1" applyBorder="1"/>
    <xf numFmtId="0" fontId="2" fillId="0" borderId="10" xfId="1" applyFont="1" applyFill="1" applyBorder="1" applyAlignment="1">
      <alignment horizontal="right" vertical="center"/>
    </xf>
    <xf numFmtId="0" fontId="2" fillId="0" borderId="11" xfId="1" applyFont="1" applyFill="1" applyBorder="1" applyAlignment="1">
      <alignment horizontal="left" vertical="center" wrapText="1"/>
    </xf>
    <xf numFmtId="0" fontId="32" fillId="0" borderId="11" xfId="0" applyFont="1" applyBorder="1"/>
    <xf numFmtId="0" fontId="2" fillId="0" borderId="12" xfId="1" applyFont="1" applyFill="1" applyBorder="1" applyAlignment="1">
      <alignment horizontal="right" vertical="center" wrapText="1"/>
    </xf>
    <xf numFmtId="0" fontId="31" fillId="0" borderId="13" xfId="0" applyFont="1" applyBorder="1"/>
    <xf numFmtId="3" fontId="33" fillId="0" borderId="1" xfId="0" applyNumberFormat="1" applyFont="1" applyBorder="1"/>
    <xf numFmtId="3" fontId="31" fillId="0" borderId="7" xfId="0" applyNumberFormat="1" applyFont="1" applyBorder="1"/>
    <xf numFmtId="3" fontId="31" fillId="0" borderId="5" xfId="0" applyNumberFormat="1" applyFont="1" applyBorder="1"/>
    <xf numFmtId="3" fontId="31" fillId="0" borderId="2" xfId="0" applyNumberFormat="1" applyFont="1" applyBorder="1"/>
    <xf numFmtId="3" fontId="7" fillId="0" borderId="1" xfId="0" applyNumberFormat="1" applyFont="1" applyFill="1" applyBorder="1" applyAlignment="1">
      <alignment vertical="center" wrapText="1"/>
    </xf>
    <xf numFmtId="3" fontId="33" fillId="0" borderId="8" xfId="0" applyNumberFormat="1" applyFont="1" applyBorder="1"/>
    <xf numFmtId="3" fontId="31" fillId="0" borderId="1" xfId="0" applyNumberFormat="1" applyFont="1" applyBorder="1"/>
    <xf numFmtId="3" fontId="33" fillId="0" borderId="2" xfId="0" applyNumberFormat="1" applyFont="1" applyBorder="1"/>
    <xf numFmtId="3" fontId="4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2" fillId="0" borderId="0" xfId="0" applyNumberFormat="1" applyFont="1" applyBorder="1"/>
    <xf numFmtId="3" fontId="31" fillId="0" borderId="13" xfId="0" applyNumberFormat="1" applyFont="1" applyBorder="1"/>
    <xf numFmtId="0" fontId="3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right" vertical="center" wrapText="1"/>
    </xf>
    <xf numFmtId="0" fontId="32" fillId="0" borderId="0" xfId="0" applyFont="1" applyBorder="1" applyAlignment="1"/>
    <xf numFmtId="0" fontId="4" fillId="0" borderId="0" xfId="0" applyFont="1" applyFill="1" applyAlignment="1"/>
    <xf numFmtId="0" fontId="5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right"/>
    </xf>
    <xf numFmtId="0" fontId="31" fillId="0" borderId="1" xfId="0" applyFont="1" applyBorder="1" applyAlignment="1"/>
    <xf numFmtId="0" fontId="0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Border="1"/>
    <xf numFmtId="3" fontId="3" fillId="0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31" fillId="0" borderId="1" xfId="0" applyFont="1" applyBorder="1" applyAlignment="1">
      <alignment horizontal="left"/>
    </xf>
    <xf numFmtId="49" fontId="11" fillId="0" borderId="0" xfId="2" applyNumberFormat="1" applyFont="1" applyFill="1" applyBorder="1" applyAlignment="1" applyProtection="1">
      <alignment horizontal="centerContinuous" vertical="center"/>
    </xf>
    <xf numFmtId="3" fontId="11" fillId="0" borderId="0" xfId="2" applyNumberFormat="1" applyFont="1" applyFill="1" applyBorder="1" applyAlignment="1" applyProtection="1">
      <alignment horizontal="centerContinuous" vertical="center"/>
    </xf>
    <xf numFmtId="3" fontId="15" fillId="0" borderId="1" xfId="2" applyNumberFormat="1" applyFont="1" applyFill="1" applyBorder="1" applyAlignment="1" applyProtection="1">
      <alignment horizontal="right" vertical="center" wrapText="1"/>
    </xf>
    <xf numFmtId="3" fontId="10" fillId="0" borderId="1" xfId="2" applyNumberFormat="1" applyFont="1" applyFill="1" applyBorder="1" applyAlignment="1" applyProtection="1">
      <alignment horizontal="left" vertical="center" wrapText="1" indent="1"/>
    </xf>
    <xf numFmtId="3" fontId="10" fillId="0" borderId="1" xfId="2" applyNumberFormat="1" applyFont="1" applyFill="1" applyBorder="1" applyAlignment="1" applyProtection="1">
      <alignment horizontal="right" vertical="center" wrapText="1"/>
    </xf>
    <xf numFmtId="3" fontId="15" fillId="0" borderId="1" xfId="2" applyNumberFormat="1" applyFont="1" applyFill="1" applyBorder="1" applyAlignment="1" applyProtection="1">
      <alignment vertical="center" wrapText="1"/>
    </xf>
    <xf numFmtId="3" fontId="10" fillId="0" borderId="0" xfId="2" applyNumberFormat="1" applyFont="1" applyFill="1" applyBorder="1"/>
    <xf numFmtId="3" fontId="3" fillId="0" borderId="1" xfId="1" applyNumberFormat="1" applyFont="1" applyBorder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 indent="5"/>
    </xf>
    <xf numFmtId="3" fontId="7" fillId="0" borderId="1" xfId="0" applyNumberFormat="1" applyFont="1" applyFill="1" applyBorder="1" applyAlignment="1">
      <alignment vertical="center"/>
    </xf>
    <xf numFmtId="0" fontId="7" fillId="0" borderId="0" xfId="0" applyFont="1" applyFill="1"/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/>
    </xf>
    <xf numFmtId="0" fontId="5" fillId="0" borderId="1" xfId="1" applyFont="1" applyBorder="1" applyAlignment="1">
      <alignment horizontal="right" vertical="center" wrapText="1"/>
    </xf>
    <xf numFmtId="0" fontId="7" fillId="0" borderId="1" xfId="1" applyFont="1" applyBorder="1" applyAlignment="1">
      <alignment horizontal="right" vertical="center" wrapText="1"/>
    </xf>
    <xf numFmtId="0" fontId="3" fillId="0" borderId="1" xfId="1" applyFont="1" applyBorder="1" applyAlignment="1">
      <alignment horizontal="right" vertical="center" wrapText="1"/>
    </xf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5" fontId="14" fillId="0" borderId="13" xfId="0" applyNumberFormat="1" applyFont="1" applyFill="1" applyBorder="1" applyAlignment="1">
      <alignment horizontal="center" vertical="center" wrapText="1"/>
    </xf>
    <xf numFmtId="165" fontId="13" fillId="0" borderId="13" xfId="0" applyNumberFormat="1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Fill="1" applyBorder="1" applyAlignment="1" applyProtection="1">
      <alignment vertical="center" wrapText="1"/>
      <protection locked="0"/>
    </xf>
    <xf numFmtId="3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19" xfId="0" applyNumberFormat="1" applyFont="1" applyFill="1" applyBorder="1" applyAlignment="1" applyProtection="1">
      <alignment horizontal="right" vertical="center" wrapText="1"/>
    </xf>
    <xf numFmtId="165" fontId="0" fillId="0" borderId="2" xfId="0" applyNumberFormat="1" applyFill="1" applyBorder="1" applyAlignment="1" applyProtection="1">
      <alignment horizontal="left" vertical="center" wrapText="1" indent="1"/>
      <protection locked="0"/>
    </xf>
    <xf numFmtId="3" fontId="0" fillId="0" borderId="2" xfId="0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24" xfId="0" applyNumberFormat="1" applyFont="1" applyFill="1" applyBorder="1" applyAlignment="1" applyProtection="1">
      <alignment horizontal="right" vertical="center" wrapText="1"/>
    </xf>
    <xf numFmtId="3" fontId="14" fillId="0" borderId="13" xfId="0" applyNumberFormat="1" applyFont="1" applyFill="1" applyBorder="1" applyAlignment="1" applyProtection="1">
      <alignment vertical="center" wrapText="1"/>
      <protection locked="0"/>
    </xf>
    <xf numFmtId="3" fontId="14" fillId="0" borderId="5" xfId="0" applyNumberFormat="1" applyFont="1" applyFill="1" applyBorder="1" applyAlignment="1" applyProtection="1">
      <alignment vertical="center" wrapText="1"/>
      <protection locked="0"/>
    </xf>
    <xf numFmtId="3" fontId="17" fillId="0" borderId="30" xfId="0" applyNumberFormat="1" applyFont="1" applyFill="1" applyBorder="1" applyAlignment="1" applyProtection="1">
      <alignment horizontal="right" vertical="center" wrapText="1"/>
    </xf>
    <xf numFmtId="165" fontId="14" fillId="0" borderId="1" xfId="0" applyNumberFormat="1" applyFont="1" applyFill="1" applyBorder="1" applyAlignment="1" applyProtection="1">
      <alignment horizontal="left" vertical="center" wrapText="1"/>
      <protection locked="0"/>
    </xf>
    <xf numFmtId="3" fontId="14" fillId="0" borderId="1" xfId="0" applyNumberFormat="1" applyFont="1" applyFill="1" applyBorder="1" applyAlignment="1" applyProtection="1">
      <alignment vertical="center" wrapText="1"/>
      <protection locked="0"/>
    </xf>
    <xf numFmtId="165" fontId="14" fillId="0" borderId="13" xfId="0" applyNumberFormat="1" applyFont="1" applyFill="1" applyBorder="1" applyAlignment="1" applyProtection="1">
      <alignment horizontal="left" vertical="center" wrapText="1"/>
      <protection locked="0"/>
    </xf>
    <xf numFmtId="165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13" xfId="0" applyNumberFormat="1" applyFont="1" applyFill="1" applyBorder="1" applyAlignment="1" applyProtection="1">
      <alignment vertical="center" wrapText="1"/>
      <protection locked="0"/>
    </xf>
    <xf numFmtId="3" fontId="17" fillId="0" borderId="13" xfId="0" applyNumberFormat="1" applyFont="1" applyFill="1" applyBorder="1" applyAlignment="1" applyProtection="1">
      <alignment vertical="center" wrapText="1"/>
      <protection locked="0"/>
    </xf>
    <xf numFmtId="3" fontId="17" fillId="0" borderId="14" xfId="0" applyNumberFormat="1" applyFont="1" applyFill="1" applyBorder="1" applyAlignment="1" applyProtection="1">
      <alignment vertical="center" wrapText="1"/>
      <protection locked="0"/>
    </xf>
    <xf numFmtId="165" fontId="17" fillId="0" borderId="5" xfId="0" applyNumberFormat="1" applyFont="1" applyFill="1" applyBorder="1" applyAlignment="1" applyProtection="1">
      <alignment vertical="center" wrapText="1"/>
      <protection locked="0"/>
    </xf>
    <xf numFmtId="3" fontId="17" fillId="0" borderId="5" xfId="0" applyNumberFormat="1" applyFont="1" applyFill="1" applyBorder="1" applyAlignment="1" applyProtection="1">
      <alignment vertical="center" wrapText="1"/>
      <protection locked="0"/>
    </xf>
    <xf numFmtId="3" fontId="17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17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17" fillId="0" borderId="14" xfId="0" applyNumberFormat="1" applyFont="1" applyFill="1" applyBorder="1" applyAlignment="1" applyProtection="1">
      <alignment horizontal="right" vertical="center" wrapText="1"/>
      <protection locked="0"/>
    </xf>
    <xf numFmtId="165" fontId="17" fillId="0" borderId="12" xfId="0" applyNumberFormat="1" applyFont="1" applyFill="1" applyBorder="1" applyAlignment="1">
      <alignment horizontal="center" vertical="center" wrapText="1"/>
    </xf>
    <xf numFmtId="165" fontId="14" fillId="0" borderId="14" xfId="0" applyNumberFormat="1" applyFont="1" applyFill="1" applyBorder="1" applyAlignment="1" applyProtection="1">
      <alignment horizontal="center"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0" fillId="0" borderId="31" xfId="0" applyNumberFormat="1" applyFont="1" applyFill="1" applyBorder="1" applyAlignment="1" applyProtection="1">
      <alignment horizontal="center" vertical="center" wrapText="1"/>
    </xf>
    <xf numFmtId="165" fontId="15" fillId="0" borderId="5" xfId="0" applyNumberFormat="1" applyFont="1" applyFill="1" applyBorder="1" applyAlignment="1" applyProtection="1">
      <alignment horizontal="center" vertical="center" wrapText="1"/>
    </xf>
    <xf numFmtId="165" fontId="15" fillId="0" borderId="30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ont="1" applyFill="1" applyAlignment="1" applyProtection="1">
      <alignment vertical="center" wrapText="1"/>
    </xf>
    <xf numFmtId="165" fontId="0" fillId="0" borderId="18" xfId="0" applyNumberFormat="1" applyFont="1" applyFill="1" applyBorder="1" applyAlignment="1" applyProtection="1">
      <alignment horizontal="center" vertical="center" wrapText="1"/>
    </xf>
    <xf numFmtId="165" fontId="13" fillId="0" borderId="1" xfId="0" applyNumberFormat="1" applyFont="1" applyFill="1" applyBorder="1" applyAlignment="1" applyProtection="1">
      <alignment vertical="center" wrapText="1"/>
      <protection locked="0"/>
    </xf>
    <xf numFmtId="165" fontId="15" fillId="0" borderId="1" xfId="0" applyNumberFormat="1" applyFont="1" applyFill="1" applyBorder="1" applyAlignment="1" applyProtection="1">
      <alignment horizontal="center" vertical="center" wrapText="1"/>
    </xf>
    <xf numFmtId="165" fontId="15" fillId="0" borderId="19" xfId="0" applyNumberFormat="1" applyFont="1" applyFill="1" applyBorder="1" applyAlignment="1" applyProtection="1">
      <alignment horizontal="center" vertical="center" wrapText="1"/>
    </xf>
    <xf numFmtId="165" fontId="18" fillId="0" borderId="1" xfId="0" applyNumberFormat="1" applyFont="1" applyFill="1" applyBorder="1" applyAlignment="1" applyProtection="1">
      <alignment vertical="center" wrapText="1"/>
      <protection locked="0"/>
    </xf>
    <xf numFmtId="14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1" xfId="0" applyNumberFormat="1" applyFont="1" applyFill="1" applyBorder="1" applyAlignment="1" applyProtection="1">
      <alignment vertical="center" wrapText="1"/>
      <protection locked="0"/>
    </xf>
    <xf numFmtId="3" fontId="0" fillId="0" borderId="19" xfId="0" applyNumberFormat="1" applyFont="1" applyFill="1" applyBorder="1" applyAlignment="1" applyProtection="1">
      <alignment vertical="center" wrapText="1"/>
    </xf>
    <xf numFmtId="165" fontId="1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23" xfId="0" applyNumberFormat="1" applyFont="1" applyFill="1" applyBorder="1" applyAlignment="1" applyProtection="1">
      <alignment horizontal="center" vertical="center" wrapText="1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14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2" xfId="0" applyNumberFormat="1" applyFont="1" applyFill="1" applyBorder="1" applyAlignment="1" applyProtection="1">
      <alignment vertical="center" wrapText="1"/>
      <protection locked="0"/>
    </xf>
    <xf numFmtId="3" fontId="0" fillId="0" borderId="24" xfId="0" applyNumberFormat="1" applyFont="1" applyFill="1" applyBorder="1" applyAlignment="1" applyProtection="1">
      <alignment vertical="center" wrapText="1"/>
    </xf>
    <xf numFmtId="165" fontId="0" fillId="0" borderId="12" xfId="0" applyNumberFormat="1" applyFont="1" applyFill="1" applyBorder="1" applyAlignment="1" applyProtection="1">
      <alignment horizontal="center" vertical="center" wrapText="1"/>
    </xf>
    <xf numFmtId="165" fontId="14" fillId="0" borderId="13" xfId="0" applyNumberFormat="1" applyFont="1" applyFill="1" applyBorder="1" applyAlignment="1" applyProtection="1">
      <alignment vertical="center" wrapText="1"/>
      <protection locked="0"/>
    </xf>
    <xf numFmtId="14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14" xfId="0" applyNumberFormat="1" applyFont="1" applyFill="1" applyBorder="1" applyAlignment="1" applyProtection="1">
      <alignment vertical="center" wrapText="1"/>
    </xf>
    <xf numFmtId="165" fontId="14" fillId="0" borderId="5" xfId="0" applyNumberFormat="1" applyFont="1" applyFill="1" applyBorder="1" applyAlignment="1" applyProtection="1">
      <alignment horizontal="left" vertical="center" wrapText="1"/>
      <protection locked="0"/>
    </xf>
    <xf numFmtId="165" fontId="14" fillId="0" borderId="5" xfId="0" applyNumberFormat="1" applyFont="1" applyFill="1" applyBorder="1" applyAlignment="1" applyProtection="1">
      <alignment vertical="center" wrapText="1"/>
      <protection locked="0"/>
    </xf>
    <xf numFmtId="14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30" xfId="0" applyNumberFormat="1" applyFont="1" applyFill="1" applyBorder="1" applyAlignment="1" applyProtection="1">
      <alignment vertical="center" wrapText="1"/>
    </xf>
    <xf numFmtId="165" fontId="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1" xfId="0" applyNumberFormat="1" applyFont="1" applyFill="1" applyBorder="1" applyAlignment="1" applyProtection="1">
      <alignment vertical="center" wrapText="1"/>
      <protection locked="0"/>
    </xf>
    <xf numFmtId="1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19" xfId="0" applyNumberFormat="1" applyFont="1" applyFill="1" applyBorder="1" applyAlignment="1" applyProtection="1">
      <alignment vertical="center" wrapText="1"/>
    </xf>
    <xf numFmtId="14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2" xfId="0" applyNumberFormat="1" applyFont="1" applyFill="1" applyBorder="1" applyAlignment="1" applyProtection="1">
      <alignment horizontal="left" vertical="center" wrapText="1" indent="1"/>
      <protection locked="0"/>
    </xf>
    <xf numFmtId="3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14" xfId="0" applyNumberFormat="1" applyFont="1" applyFill="1" applyBorder="1" applyAlignment="1" applyProtection="1">
      <alignment horizontal="right" vertical="center" wrapText="1"/>
    </xf>
    <xf numFmtId="165" fontId="17" fillId="0" borderId="0" xfId="0" applyNumberFormat="1" applyFont="1" applyFill="1" applyAlignment="1">
      <alignment vertical="center" wrapText="1"/>
    </xf>
    <xf numFmtId="165" fontId="20" fillId="0" borderId="5" xfId="0" applyNumberFormat="1" applyFont="1" applyFill="1" applyBorder="1" applyAlignment="1" applyProtection="1">
      <alignment horizontal="left" vertical="center" wrapText="1" indent="1"/>
      <protection locked="0"/>
    </xf>
    <xf numFmtId="3" fontId="20" fillId="0" borderId="5" xfId="0" applyNumberFormat="1" applyFont="1" applyFill="1" applyBorder="1" applyAlignment="1" applyProtection="1">
      <alignment vertical="center" wrapText="1"/>
      <protection locked="0"/>
    </xf>
    <xf numFmtId="3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20" fillId="0" borderId="30" xfId="0" applyNumberFormat="1" applyFont="1" applyFill="1" applyBorder="1" applyAlignment="1" applyProtection="1">
      <alignment horizontal="right" vertical="center" wrapText="1"/>
    </xf>
    <xf numFmtId="165" fontId="13" fillId="0" borderId="2" xfId="0" applyNumberFormat="1" applyFont="1" applyFill="1" applyBorder="1" applyAlignment="1" applyProtection="1">
      <alignment vertical="center" wrapText="1"/>
      <protection locked="0"/>
    </xf>
    <xf numFmtId="3" fontId="13" fillId="0" borderId="2" xfId="0" applyNumberFormat="1" applyFont="1" applyFill="1" applyBorder="1" applyAlignment="1" applyProtection="1">
      <alignment vertical="center" wrapText="1"/>
      <protection locked="0"/>
    </xf>
    <xf numFmtId="3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24" xfId="0" applyNumberFormat="1" applyFont="1" applyFill="1" applyBorder="1" applyAlignment="1" applyProtection="1">
      <alignment horizontal="right" vertical="center" wrapText="1"/>
    </xf>
    <xf numFmtId="165" fontId="17" fillId="0" borderId="13" xfId="0" applyNumberFormat="1" applyFont="1" applyFill="1" applyBorder="1" applyAlignment="1">
      <alignment horizontal="left" vertical="center" wrapText="1"/>
    </xf>
    <xf numFmtId="3" fontId="17" fillId="0" borderId="13" xfId="0" applyNumberFormat="1" applyFont="1" applyFill="1" applyBorder="1" applyAlignment="1" applyProtection="1">
      <alignment vertical="center" wrapText="1"/>
    </xf>
    <xf numFmtId="0" fontId="17" fillId="0" borderId="18" xfId="0" applyNumberFormat="1" applyFont="1" applyFill="1" applyBorder="1" applyAlignment="1">
      <alignment horizontal="center"/>
    </xf>
    <xf numFmtId="0" fontId="17" fillId="0" borderId="1" xfId="0" applyFont="1" applyFill="1" applyBorder="1"/>
    <xf numFmtId="0" fontId="17" fillId="0" borderId="19" xfId="0" applyFont="1" applyFill="1" applyBorder="1"/>
    <xf numFmtId="0" fontId="0" fillId="0" borderId="1" xfId="0" applyFont="1" applyFill="1" applyBorder="1"/>
    <xf numFmtId="0" fontId="0" fillId="0" borderId="19" xfId="0" applyFont="1" applyFill="1" applyBorder="1"/>
    <xf numFmtId="0" fontId="17" fillId="0" borderId="1" xfId="0" applyFont="1" applyFill="1" applyBorder="1" applyAlignment="1">
      <alignment horizontal="right"/>
    </xf>
    <xf numFmtId="0" fontId="17" fillId="0" borderId="20" xfId="0" applyNumberFormat="1" applyFont="1" applyFill="1" applyBorder="1" applyAlignment="1">
      <alignment horizontal="center"/>
    </xf>
    <xf numFmtId="0" fontId="17" fillId="0" borderId="21" xfId="0" applyFont="1" applyFill="1" applyBorder="1" applyAlignment="1">
      <alignment horizontal="right"/>
    </xf>
    <xf numFmtId="0" fontId="4" fillId="0" borderId="25" xfId="1" applyFont="1" applyFill="1" applyBorder="1" applyAlignment="1">
      <alignment horizontal="right" vertical="center"/>
    </xf>
    <xf numFmtId="0" fontId="32" fillId="0" borderId="25" xfId="0" applyFont="1" applyBorder="1" applyAlignment="1">
      <alignment horizontal="right"/>
    </xf>
    <xf numFmtId="0" fontId="4" fillId="0" borderId="35" xfId="1" applyFont="1" applyFill="1" applyBorder="1" applyAlignment="1">
      <alignment horizontal="right" vertical="center"/>
    </xf>
    <xf numFmtId="3" fontId="32" fillId="0" borderId="6" xfId="0" applyNumberFormat="1" applyFont="1" applyBorder="1"/>
    <xf numFmtId="3" fontId="5" fillId="0" borderId="1" xfId="0" applyNumberFormat="1" applyFont="1" applyFill="1" applyBorder="1" applyAlignment="1" applyProtection="1">
      <alignment vertical="center" wrapText="1"/>
      <protection locked="0"/>
    </xf>
    <xf numFmtId="165" fontId="5" fillId="0" borderId="1" xfId="0" applyNumberFormat="1" applyFont="1" applyFill="1" applyBorder="1" applyAlignment="1" applyProtection="1">
      <alignment vertical="center" wrapText="1"/>
      <protection locked="0"/>
    </xf>
    <xf numFmtId="165" fontId="32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2" fillId="0" borderId="1" xfId="0" applyNumberFormat="1" applyFont="1" applyFill="1" applyBorder="1" applyAlignment="1" applyProtection="1">
      <alignment vertical="center" wrapText="1"/>
      <protection locked="0"/>
    </xf>
    <xf numFmtId="3" fontId="32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" xfId="0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 indent="5"/>
    </xf>
    <xf numFmtId="49" fontId="32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32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3" fontId="9" fillId="0" borderId="0" xfId="2" applyNumberFormat="1" applyFont="1" applyFill="1" applyBorder="1"/>
    <xf numFmtId="3" fontId="16" fillId="0" borderId="0" xfId="2" applyNumberFormat="1" applyFont="1" applyFill="1" applyBorder="1"/>
    <xf numFmtId="3" fontId="13" fillId="0" borderId="0" xfId="0" applyNumberFormat="1" applyFont="1" applyFill="1" applyBorder="1" applyAlignment="1" applyProtection="1">
      <alignment horizontal="right"/>
    </xf>
    <xf numFmtId="49" fontId="10" fillId="0" borderId="0" xfId="2" applyNumberFormat="1" applyFont="1" applyFill="1" applyBorder="1"/>
    <xf numFmtId="49" fontId="12" fillId="0" borderId="0" xfId="2" applyNumberFormat="1" applyFont="1" applyFill="1" applyBorder="1" applyAlignment="1" applyProtection="1">
      <alignment horizontal="left" vertical="center"/>
    </xf>
    <xf numFmtId="3" fontId="12" fillId="0" borderId="0" xfId="2" applyNumberFormat="1" applyFont="1" applyFill="1" applyBorder="1" applyAlignment="1" applyProtection="1">
      <alignment horizontal="left" vertical="center"/>
    </xf>
    <xf numFmtId="49" fontId="9" fillId="0" borderId="0" xfId="2" applyNumberFormat="1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left" vertical="center" wrapText="1" indent="1"/>
    </xf>
    <xf numFmtId="49" fontId="10" fillId="0" borderId="1" xfId="2" applyNumberFormat="1" applyFont="1" applyFill="1" applyBorder="1" applyAlignment="1" applyProtection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3" fontId="5" fillId="0" borderId="1" xfId="0" applyNumberFormat="1" applyFont="1" applyFill="1" applyBorder="1"/>
    <xf numFmtId="0" fontId="5" fillId="0" borderId="1" xfId="1" applyFont="1" applyFill="1" applyBorder="1" applyAlignment="1">
      <alignment horizontal="right" vertical="center" wrapText="1"/>
    </xf>
    <xf numFmtId="3" fontId="5" fillId="0" borderId="0" xfId="0" applyNumberFormat="1" applyFont="1" applyFill="1" applyBorder="1"/>
    <xf numFmtId="0" fontId="3" fillId="0" borderId="3" xfId="0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right" vertical="center" wrapText="1"/>
    </xf>
    <xf numFmtId="3" fontId="15" fillId="0" borderId="0" xfId="2" applyNumberFormat="1" applyFont="1" applyFill="1" applyBorder="1"/>
    <xf numFmtId="3" fontId="11" fillId="0" borderId="0" xfId="2" applyNumberFormat="1" applyFont="1" applyFill="1" applyBorder="1"/>
    <xf numFmtId="3" fontId="17" fillId="0" borderId="0" xfId="2" applyNumberFormat="1" applyFont="1" applyFill="1" applyBorder="1"/>
    <xf numFmtId="0" fontId="7" fillId="0" borderId="1" xfId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indent="3"/>
    </xf>
    <xf numFmtId="3" fontId="3" fillId="0" borderId="1" xfId="1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/>
    <xf numFmtId="3" fontId="5" fillId="0" borderId="1" xfId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 applyProtection="1">
      <alignment vertical="center" wrapText="1"/>
      <protection locked="0"/>
    </xf>
    <xf numFmtId="165" fontId="32" fillId="0" borderId="1" xfId="0" applyNumberFormat="1" applyFont="1" applyFill="1" applyBorder="1" applyAlignment="1" applyProtection="1">
      <alignment vertical="center" wrapText="1"/>
      <protection locked="0"/>
    </xf>
    <xf numFmtId="3" fontId="32" fillId="0" borderId="1" xfId="0" applyNumberFormat="1" applyFont="1" applyFill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3" fontId="0" fillId="0" borderId="0" xfId="0" applyNumberFormat="1"/>
    <xf numFmtId="165" fontId="32" fillId="0" borderId="0" xfId="0" applyNumberFormat="1" applyFont="1" applyFill="1" applyAlignment="1">
      <alignment vertical="center" wrapText="1"/>
    </xf>
    <xf numFmtId="165" fontId="32" fillId="0" borderId="0" xfId="0" applyNumberFormat="1" applyFont="1" applyFill="1" applyAlignment="1">
      <alignment horizontal="center" vertical="center" wrapText="1"/>
    </xf>
    <xf numFmtId="165" fontId="32" fillId="0" borderId="0" xfId="0" applyNumberFormat="1" applyFont="1" applyFill="1" applyAlignment="1">
      <alignment horizontal="right" vertical="center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2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right" vertical="center" wrapText="1"/>
    </xf>
    <xf numFmtId="165" fontId="31" fillId="0" borderId="0" xfId="0" applyNumberFormat="1" applyFont="1" applyFill="1" applyAlignment="1">
      <alignment vertical="center" wrapText="1"/>
    </xf>
    <xf numFmtId="165" fontId="8" fillId="0" borderId="1" xfId="0" applyNumberFormat="1" applyFont="1" applyFill="1" applyBorder="1" applyAlignment="1" applyProtection="1">
      <alignment horizontal="left" vertical="center" wrapText="1"/>
      <protection locked="0"/>
    </xf>
    <xf numFmtId="3" fontId="32" fillId="0" borderId="1" xfId="0" applyNumberFormat="1" applyFont="1" applyFill="1" applyBorder="1" applyAlignment="1" applyProtection="1">
      <alignment horizontal="right" vertical="center" wrapText="1"/>
    </xf>
    <xf numFmtId="165" fontId="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3" fontId="32" fillId="0" borderId="0" xfId="0" applyNumberFormat="1" applyFont="1" applyFill="1" applyAlignment="1">
      <alignment vertical="center" wrapText="1"/>
    </xf>
    <xf numFmtId="3" fontId="32" fillId="0" borderId="0" xfId="0" applyNumberFormat="1" applyFont="1" applyFill="1" applyAlignment="1">
      <alignment horizontal="right" vertical="center" wrapText="1"/>
    </xf>
    <xf numFmtId="3" fontId="32" fillId="0" borderId="0" xfId="0" applyNumberFormat="1" applyFont="1" applyFill="1" applyAlignment="1" applyProtection="1">
      <alignment horizontal="right" vertical="center" wrapText="1"/>
    </xf>
    <xf numFmtId="165" fontId="32" fillId="0" borderId="0" xfId="0" applyNumberFormat="1" applyFont="1" applyFill="1" applyAlignment="1" applyProtection="1">
      <alignment horizontal="right" vertical="center" wrapText="1"/>
    </xf>
    <xf numFmtId="0" fontId="35" fillId="0" borderId="0" xfId="0" applyFont="1"/>
    <xf numFmtId="0" fontId="0" fillId="0" borderId="0" xfId="0" applyAlignment="1">
      <alignment wrapText="1"/>
    </xf>
    <xf numFmtId="0" fontId="35" fillId="0" borderId="6" xfId="0" applyFont="1" applyBorder="1" applyAlignment="1">
      <alignment horizontal="right"/>
    </xf>
    <xf numFmtId="0" fontId="35" fillId="0" borderId="6" xfId="0" applyFont="1" applyBorder="1" applyAlignment="1">
      <alignment horizontal="left"/>
    </xf>
    <xf numFmtId="0" fontId="35" fillId="0" borderId="6" xfId="0" applyFont="1" applyBorder="1"/>
    <xf numFmtId="0" fontId="37" fillId="0" borderId="0" xfId="0" applyFont="1" applyAlignment="1">
      <alignment horizontal="center" vertical="center" wrapText="1"/>
    </xf>
    <xf numFmtId="0" fontId="38" fillId="0" borderId="1" xfId="0" applyFont="1" applyBorder="1" applyAlignment="1">
      <alignment horizontal="right" vertical="center"/>
    </xf>
    <xf numFmtId="0" fontId="36" fillId="0" borderId="3" xfId="0" applyFont="1" applyBorder="1" applyAlignment="1">
      <alignment horizontal="right" vertical="center"/>
    </xf>
    <xf numFmtId="0" fontId="38" fillId="0" borderId="4" xfId="0" applyFont="1" applyBorder="1"/>
    <xf numFmtId="0" fontId="38" fillId="0" borderId="8" xfId="0" applyFont="1" applyBorder="1"/>
    <xf numFmtId="0" fontId="38" fillId="0" borderId="3" xfId="0" applyFont="1" applyBorder="1"/>
    <xf numFmtId="0" fontId="39" fillId="0" borderId="1" xfId="0" applyFont="1" applyBorder="1" applyAlignment="1">
      <alignment horizontal="right" vertical="center"/>
    </xf>
    <xf numFmtId="0" fontId="39" fillId="0" borderId="3" xfId="0" applyFont="1" applyBorder="1" applyAlignment="1">
      <alignment horizontal="left"/>
    </xf>
    <xf numFmtId="1" fontId="39" fillId="0" borderId="8" xfId="0" applyNumberFormat="1" applyFont="1" applyBorder="1" applyAlignment="1">
      <alignment horizontal="left" vertical="center" wrapText="1"/>
    </xf>
    <xf numFmtId="0" fontId="39" fillId="0" borderId="11" xfId="0" applyFont="1" applyBorder="1" applyAlignment="1">
      <alignment horizontal="right" vertical="center"/>
    </xf>
    <xf numFmtId="0" fontId="39" fillId="0" borderId="11" xfId="0" applyFont="1" applyBorder="1" applyAlignment="1">
      <alignment horizontal="left"/>
    </xf>
    <xf numFmtId="1" fontId="39" fillId="0" borderId="11" xfId="0" applyNumberFormat="1" applyFont="1" applyBorder="1" applyAlignment="1">
      <alignment horizontal="left" vertical="center" wrapText="1"/>
    </xf>
    <xf numFmtId="0" fontId="38" fillId="0" borderId="11" xfId="0" applyFont="1" applyBorder="1"/>
    <xf numFmtId="0" fontId="38" fillId="0" borderId="6" xfId="0" applyFont="1" applyBorder="1" applyAlignment="1">
      <alignment horizontal="right" vertical="center"/>
    </xf>
    <xf numFmtId="0" fontId="38" fillId="0" borderId="6" xfId="0" applyFont="1" applyBorder="1" applyAlignment="1">
      <alignment horizontal="left"/>
    </xf>
    <xf numFmtId="1" fontId="38" fillId="0" borderId="6" xfId="0" applyNumberFormat="1" applyFont="1" applyBorder="1" applyAlignment="1">
      <alignment horizontal="left" vertical="center" wrapText="1"/>
    </xf>
    <xf numFmtId="0" fontId="38" fillId="0" borderId="6" xfId="0" applyFont="1" applyBorder="1"/>
    <xf numFmtId="0" fontId="39" fillId="0" borderId="1" xfId="0" applyFont="1" applyBorder="1" applyAlignment="1">
      <alignment horizontal="right" vertical="center" wrapText="1"/>
    </xf>
    <xf numFmtId="0" fontId="39" fillId="0" borderId="8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right" vertical="center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/>
    <xf numFmtId="0" fontId="36" fillId="0" borderId="6" xfId="0" applyFont="1" applyBorder="1" applyAlignment="1">
      <alignment horizontal="right" vertical="center"/>
    </xf>
    <xf numFmtId="0" fontId="38" fillId="0" borderId="6" xfId="0" applyFont="1" applyBorder="1" applyAlignment="1">
      <alignment horizontal="left" vertical="center" wrapText="1"/>
    </xf>
    <xf numFmtId="0" fontId="36" fillId="0" borderId="32" xfId="0" applyFont="1" applyBorder="1" applyAlignment="1">
      <alignment horizontal="right" vertical="center"/>
    </xf>
    <xf numFmtId="0" fontId="36" fillId="0" borderId="38" xfId="0" applyFont="1" applyBorder="1" applyAlignment="1">
      <alignment horizontal="left" vertical="center" wrapText="1"/>
    </xf>
    <xf numFmtId="0" fontId="38" fillId="0" borderId="38" xfId="0" applyFont="1" applyBorder="1"/>
    <xf numFmtId="0" fontId="38" fillId="0" borderId="39" xfId="0" applyFont="1" applyBorder="1"/>
    <xf numFmtId="0" fontId="38" fillId="0" borderId="32" xfId="0" applyFont="1" applyBorder="1"/>
    <xf numFmtId="0" fontId="36" fillId="0" borderId="12" xfId="0" applyFont="1" applyBorder="1" applyAlignment="1">
      <alignment horizontal="right" vertical="center" wrapText="1"/>
    </xf>
    <xf numFmtId="0" fontId="36" fillId="0" borderId="13" xfId="0" applyFont="1" applyBorder="1"/>
    <xf numFmtId="0" fontId="38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8" fillId="0" borderId="0" xfId="0" applyFont="1"/>
    <xf numFmtId="3" fontId="40" fillId="0" borderId="37" xfId="0" applyNumberFormat="1" applyFont="1" applyBorder="1" applyAlignment="1">
      <alignment horizontal="center"/>
    </xf>
    <xf numFmtId="3" fontId="41" fillId="0" borderId="37" xfId="0" applyNumberFormat="1" applyFont="1" applyBorder="1" applyAlignment="1">
      <alignment horizontal="right"/>
    </xf>
    <xf numFmtId="0" fontId="36" fillId="0" borderId="34" xfId="0" applyFont="1" applyBorder="1" applyAlignment="1">
      <alignment horizontal="center" vertical="center"/>
    </xf>
    <xf numFmtId="9" fontId="36" fillId="0" borderId="34" xfId="0" applyNumberFormat="1" applyFont="1" applyBorder="1" applyAlignment="1">
      <alignment horizontal="center" vertical="center" wrapText="1"/>
    </xf>
    <xf numFmtId="0" fontId="35" fillId="0" borderId="25" xfId="0" applyFont="1" applyBorder="1"/>
    <xf numFmtId="0" fontId="36" fillId="0" borderId="40" xfId="0" applyFont="1" applyBorder="1" applyAlignment="1">
      <alignment horizontal="left" vertical="center"/>
    </xf>
    <xf numFmtId="9" fontId="36" fillId="0" borderId="40" xfId="0" applyNumberFormat="1" applyFont="1" applyBorder="1" applyAlignment="1">
      <alignment horizontal="center" vertical="center" wrapText="1"/>
    </xf>
    <xf numFmtId="0" fontId="38" fillId="0" borderId="41" xfId="0" applyFont="1" applyBorder="1"/>
    <xf numFmtId="0" fontId="36" fillId="0" borderId="41" xfId="0" applyFont="1" applyBorder="1" applyAlignment="1">
      <alignment horizontal="left" vertical="center"/>
    </xf>
    <xf numFmtId="3" fontId="36" fillId="4" borderId="41" xfId="0" applyNumberFormat="1" applyFont="1" applyFill="1" applyBorder="1" applyAlignment="1">
      <alignment horizontal="center" vertical="center" wrapText="1"/>
    </xf>
    <xf numFmtId="0" fontId="36" fillId="0" borderId="41" xfId="0" applyFont="1" applyBorder="1"/>
    <xf numFmtId="0" fontId="38" fillId="4" borderId="33" xfId="0" applyFont="1" applyFill="1" applyBorder="1"/>
    <xf numFmtId="0" fontId="38" fillId="4" borderId="0" xfId="0" applyFont="1" applyFill="1"/>
    <xf numFmtId="0" fontId="36" fillId="0" borderId="34" xfId="0" applyFont="1" applyBorder="1" applyAlignment="1">
      <alignment vertical="center"/>
    </xf>
    <xf numFmtId="0" fontId="38" fillId="0" borderId="0" xfId="0" applyFont="1" applyAlignment="1">
      <alignment vertical="center"/>
    </xf>
    <xf numFmtId="3" fontId="36" fillId="0" borderId="42" xfId="0" applyNumberFormat="1" applyFont="1" applyBorder="1"/>
    <xf numFmtId="9" fontId="38" fillId="0" borderId="42" xfId="0" applyNumberFormat="1" applyFont="1" applyBorder="1"/>
    <xf numFmtId="0" fontId="38" fillId="0" borderId="42" xfId="0" applyFont="1" applyBorder="1"/>
    <xf numFmtId="0" fontId="35" fillId="0" borderId="37" xfId="0" applyFont="1" applyBorder="1"/>
    <xf numFmtId="0" fontId="38" fillId="0" borderId="37" xfId="0" applyFont="1" applyBorder="1"/>
    <xf numFmtId="9" fontId="38" fillId="0" borderId="37" xfId="0" applyNumberFormat="1" applyFont="1" applyBorder="1"/>
    <xf numFmtId="0" fontId="36" fillId="0" borderId="40" xfId="0" applyFont="1" applyBorder="1" applyAlignment="1">
      <alignment horizontal="center" vertical="center"/>
    </xf>
    <xf numFmtId="166" fontId="38" fillId="0" borderId="0" xfId="0" applyNumberFormat="1" applyFont="1"/>
    <xf numFmtId="3" fontId="36" fillId="0" borderId="41" xfId="0" applyNumberFormat="1" applyFont="1" applyBorder="1" applyAlignment="1">
      <alignment horizontal="center"/>
    </xf>
    <xf numFmtId="0" fontId="35" fillId="0" borderId="42" xfId="0" applyFont="1" applyBorder="1"/>
    <xf numFmtId="3" fontId="38" fillId="0" borderId="42" xfId="0" applyNumberFormat="1" applyFont="1" applyBorder="1"/>
    <xf numFmtId="3" fontId="38" fillId="0" borderId="0" xfId="0" applyNumberFormat="1" applyFont="1"/>
    <xf numFmtId="0" fontId="38" fillId="0" borderId="1" xfId="0" applyFont="1" applyBorder="1"/>
    <xf numFmtId="0" fontId="36" fillId="0" borderId="1" xfId="0" applyFont="1" applyBorder="1" applyAlignment="1">
      <alignment horizontal="right" vertical="center"/>
    </xf>
    <xf numFmtId="0" fontId="36" fillId="0" borderId="1" xfId="0" applyFont="1" applyBorder="1"/>
    <xf numFmtId="0" fontId="30" fillId="0" borderId="0" xfId="0" applyFont="1" applyAlignment="1">
      <alignment wrapText="1"/>
    </xf>
    <xf numFmtId="0" fontId="37" fillId="0" borderId="0" xfId="0" applyFont="1"/>
    <xf numFmtId="0" fontId="38" fillId="0" borderId="41" xfId="0" applyFont="1" applyBorder="1"/>
    <xf numFmtId="0" fontId="39" fillId="0" borderId="41" xfId="0" applyFont="1" applyBorder="1"/>
    <xf numFmtId="0" fontId="36" fillId="4" borderId="34" xfId="0" applyFont="1" applyFill="1" applyBorder="1" applyAlignment="1">
      <alignment horizontal="center" vertical="center" wrapText="1"/>
    </xf>
    <xf numFmtId="0" fontId="36" fillId="0" borderId="49" xfId="0" applyFont="1" applyBorder="1" applyAlignment="1">
      <alignment horizontal="left" vertical="center"/>
    </xf>
    <xf numFmtId="0" fontId="38" fillId="0" borderId="49" xfId="0" applyFont="1" applyBorder="1"/>
    <xf numFmtId="0" fontId="36" fillId="0" borderId="41" xfId="0" applyFont="1" applyBorder="1" applyAlignment="1">
      <alignment horizontal="left" vertical="center"/>
    </xf>
    <xf numFmtId="0" fontId="35" fillId="0" borderId="0" xfId="0" applyFont="1" applyBorder="1"/>
    <xf numFmtId="3" fontId="31" fillId="0" borderId="0" xfId="0" applyNumberFormat="1" applyFont="1" applyBorder="1"/>
    <xf numFmtId="3" fontId="5" fillId="0" borderId="5" xfId="1" applyNumberFormat="1" applyFont="1" applyBorder="1"/>
    <xf numFmtId="0" fontId="2" fillId="0" borderId="11" xfId="1" applyFont="1" applyFill="1" applyBorder="1" applyAlignment="1">
      <alignment horizontal="right" vertical="center"/>
    </xf>
    <xf numFmtId="0" fontId="4" fillId="0" borderId="11" xfId="1" applyFont="1" applyFill="1" applyBorder="1" applyAlignment="1">
      <alignment horizontal="left" vertical="center" wrapText="1"/>
    </xf>
    <xf numFmtId="3" fontId="5" fillId="0" borderId="11" xfId="1" applyNumberFormat="1" applyFont="1" applyBorder="1"/>
    <xf numFmtId="3" fontId="32" fillId="0" borderId="11" xfId="0" applyNumberFormat="1" applyFont="1" applyBorder="1"/>
    <xf numFmtId="3" fontId="33" fillId="0" borderId="11" xfId="0" applyNumberFormat="1" applyFont="1" applyBorder="1"/>
    <xf numFmtId="0" fontId="6" fillId="0" borderId="11" xfId="1" applyFont="1" applyFill="1" applyBorder="1" applyAlignment="1">
      <alignment horizontal="right" vertical="center"/>
    </xf>
    <xf numFmtId="0" fontId="33" fillId="0" borderId="11" xfId="0" applyFont="1" applyBorder="1" applyAlignment="1">
      <alignment horizontal="left"/>
    </xf>
    <xf numFmtId="164" fontId="6" fillId="0" borderId="11" xfId="1" applyNumberFormat="1" applyFont="1" applyFill="1" applyBorder="1" applyAlignment="1">
      <alignment horizontal="left" vertical="center" wrapText="1"/>
    </xf>
    <xf numFmtId="3" fontId="0" fillId="0" borderId="0" xfId="0" applyNumberFormat="1" applyFill="1" applyAlignment="1">
      <alignment horizontal="center" vertical="center" wrapText="1"/>
    </xf>
    <xf numFmtId="3" fontId="0" fillId="0" borderId="0" xfId="0" applyNumberFormat="1" applyFill="1" applyAlignment="1">
      <alignment vertical="center" wrapText="1"/>
    </xf>
    <xf numFmtId="3" fontId="10" fillId="0" borderId="1" xfId="0" applyNumberFormat="1" applyFont="1" applyFill="1" applyBorder="1" applyAlignment="1" applyProtection="1">
      <alignment vertical="center" wrapText="1"/>
      <protection locked="0"/>
    </xf>
    <xf numFmtId="3" fontId="5" fillId="0" borderId="0" xfId="3" applyNumberFormat="1" applyFont="1" applyFill="1" applyProtection="1"/>
    <xf numFmtId="3" fontId="5" fillId="0" borderId="0" xfId="3" applyNumberFormat="1" applyFont="1" applyFill="1" applyProtection="1">
      <protection locked="0"/>
    </xf>
    <xf numFmtId="3" fontId="3" fillId="0" borderId="0" xfId="3" applyNumberFormat="1" applyFont="1" applyFill="1" applyAlignment="1" applyProtection="1">
      <alignment horizontal="right"/>
    </xf>
    <xf numFmtId="3" fontId="3" fillId="0" borderId="15" xfId="3" applyNumberFormat="1" applyFont="1" applyFill="1" applyBorder="1" applyAlignment="1" applyProtection="1">
      <alignment horizontal="center" vertical="center" wrapText="1"/>
    </xf>
    <xf numFmtId="3" fontId="3" fillId="0" borderId="16" xfId="3" applyNumberFormat="1" applyFont="1" applyFill="1" applyBorder="1" applyAlignment="1" applyProtection="1">
      <alignment horizontal="center" vertical="center"/>
    </xf>
    <xf numFmtId="3" fontId="3" fillId="0" borderId="16" xfId="3" applyNumberFormat="1" applyFont="1" applyFill="1" applyBorder="1" applyAlignment="1" applyProtection="1">
      <alignment horizontal="center" vertical="center" wrapText="1"/>
    </xf>
    <xf numFmtId="3" fontId="3" fillId="0" borderId="17" xfId="3" applyNumberFormat="1" applyFont="1" applyFill="1" applyBorder="1" applyAlignment="1" applyProtection="1">
      <alignment horizontal="center" vertical="center"/>
    </xf>
    <xf numFmtId="3" fontId="5" fillId="0" borderId="18" xfId="3" applyNumberFormat="1" applyFont="1" applyFill="1" applyBorder="1" applyAlignment="1" applyProtection="1">
      <alignment horizontal="left" vertical="center" indent="1"/>
    </xf>
    <xf numFmtId="3" fontId="5" fillId="0" borderId="0" xfId="3" applyNumberFormat="1" applyFont="1" applyFill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Alignment="1" applyProtection="1">
      <alignment vertical="center"/>
      <protection locked="0"/>
    </xf>
    <xf numFmtId="3" fontId="3" fillId="0" borderId="18" xfId="3" applyNumberFormat="1" applyFont="1" applyFill="1" applyBorder="1" applyAlignment="1" applyProtection="1">
      <alignment horizontal="left" vertical="center" indent="1"/>
    </xf>
    <xf numFmtId="3" fontId="3" fillId="0" borderId="1" xfId="3" applyNumberFormat="1" applyFont="1" applyFill="1" applyBorder="1" applyAlignment="1" applyProtection="1">
      <alignment vertical="center"/>
      <protection locked="0"/>
    </xf>
    <xf numFmtId="3" fontId="3" fillId="0" borderId="19" xfId="3" applyNumberFormat="1" applyFont="1" applyFill="1" applyBorder="1" applyAlignment="1" applyProtection="1">
      <alignment vertical="center"/>
      <protection locked="0"/>
    </xf>
    <xf numFmtId="3" fontId="3" fillId="0" borderId="0" xfId="3" applyNumberFormat="1" applyFont="1" applyFill="1" applyAlignment="1" applyProtection="1">
      <alignment vertical="center"/>
      <protection locked="0"/>
    </xf>
    <xf numFmtId="3" fontId="3" fillId="5" borderId="18" xfId="3" applyNumberFormat="1" applyFont="1" applyFill="1" applyBorder="1" applyAlignment="1" applyProtection="1">
      <alignment horizontal="left" vertical="center" indent="1"/>
    </xf>
    <xf numFmtId="0" fontId="3" fillId="5" borderId="1" xfId="1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vertical="center"/>
    </xf>
    <xf numFmtId="3" fontId="3" fillId="5" borderId="19" xfId="0" applyNumberFormat="1" applyFont="1" applyFill="1" applyBorder="1" applyAlignment="1">
      <alignment vertical="center"/>
    </xf>
    <xf numFmtId="3" fontId="5" fillId="5" borderId="18" xfId="3" applyNumberFormat="1" applyFont="1" applyFill="1" applyBorder="1" applyAlignment="1" applyProtection="1">
      <alignment horizontal="left" vertical="center" indent="1"/>
    </xf>
    <xf numFmtId="3" fontId="3" fillId="0" borderId="19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wrapText="1"/>
    </xf>
    <xf numFmtId="3" fontId="5" fillId="6" borderId="20" xfId="3" applyNumberFormat="1" applyFont="1" applyFill="1" applyBorder="1" applyAlignment="1" applyProtection="1">
      <alignment horizontal="left" vertical="center" indent="1"/>
    </xf>
    <xf numFmtId="3" fontId="3" fillId="6" borderId="21" xfId="3" applyNumberFormat="1" applyFont="1" applyFill="1" applyBorder="1" applyAlignment="1" applyProtection="1">
      <alignment horizontal="left" vertical="center"/>
    </xf>
    <xf numFmtId="3" fontId="3" fillId="6" borderId="21" xfId="3" applyNumberFormat="1" applyFont="1" applyFill="1" applyBorder="1" applyAlignment="1" applyProtection="1">
      <alignment vertical="center"/>
    </xf>
    <xf numFmtId="3" fontId="3" fillId="6" borderId="22" xfId="3" applyNumberFormat="1" applyFont="1" applyFill="1" applyBorder="1" applyAlignment="1" applyProtection="1">
      <alignment vertical="center"/>
    </xf>
    <xf numFmtId="3" fontId="3" fillId="0" borderId="0" xfId="3" applyNumberFormat="1" applyFont="1" applyFill="1" applyBorder="1" applyAlignment="1" applyProtection="1">
      <alignment horizontal="left" vertical="center" indent="1"/>
    </xf>
    <xf numFmtId="3" fontId="3" fillId="5" borderId="1" xfId="1" applyNumberFormat="1" applyFont="1" applyFill="1" applyBorder="1" applyAlignment="1">
      <alignment horizontal="right" vertical="center" wrapText="1"/>
    </xf>
    <xf numFmtId="3" fontId="3" fillId="5" borderId="19" xfId="1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/>
    <xf numFmtId="3" fontId="3" fillId="5" borderId="19" xfId="0" applyNumberFormat="1" applyFont="1" applyFill="1" applyBorder="1"/>
    <xf numFmtId="0" fontId="3" fillId="5" borderId="1" xfId="0" applyFont="1" applyFill="1" applyBorder="1" applyAlignment="1">
      <alignment vertical="center" wrapText="1"/>
    </xf>
    <xf numFmtId="3" fontId="5" fillId="5" borderId="1" xfId="3" applyNumberFormat="1" applyFont="1" applyFill="1" applyBorder="1" applyAlignment="1" applyProtection="1">
      <alignment vertical="center"/>
      <protection locked="0"/>
    </xf>
    <xf numFmtId="3" fontId="3" fillId="5" borderId="19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horizontal="left" vertical="center" indent="1"/>
    </xf>
    <xf numFmtId="3" fontId="3" fillId="0" borderId="0" xfId="3" applyNumberFormat="1" applyFont="1" applyFill="1" applyBorder="1" applyAlignment="1" applyProtection="1">
      <alignment vertical="center"/>
    </xf>
    <xf numFmtId="3" fontId="5" fillId="0" borderId="0" xfId="3" applyNumberFormat="1" applyFont="1" applyFill="1" applyBorder="1" applyAlignment="1" applyProtection="1">
      <alignment vertical="center"/>
      <protection locked="0"/>
    </xf>
    <xf numFmtId="3" fontId="5" fillId="0" borderId="0" xfId="3" applyNumberFormat="1" applyFont="1" applyFill="1" applyBorder="1" applyAlignment="1" applyProtection="1">
      <alignment vertical="center"/>
    </xf>
    <xf numFmtId="3" fontId="5" fillId="0" borderId="12" xfId="3" applyNumberFormat="1" applyFont="1" applyFill="1" applyBorder="1" applyAlignment="1" applyProtection="1">
      <alignment horizontal="left" vertical="center" indent="1"/>
    </xf>
    <xf numFmtId="3" fontId="3" fillId="0" borderId="13" xfId="3" applyNumberFormat="1" applyFont="1" applyFill="1" applyBorder="1" applyAlignment="1" applyProtection="1">
      <alignment horizontal="left" indent="1"/>
      <protection locked="0"/>
    </xf>
    <xf numFmtId="3" fontId="3" fillId="0" borderId="13" xfId="3" applyNumberFormat="1" applyFont="1" applyFill="1" applyBorder="1" applyAlignment="1" applyProtection="1"/>
    <xf numFmtId="3" fontId="3" fillId="0" borderId="14" xfId="3" applyNumberFormat="1" applyFont="1" applyFill="1" applyBorder="1" applyAlignment="1" applyProtection="1"/>
    <xf numFmtId="3" fontId="22" fillId="0" borderId="0" xfId="0" applyNumberFormat="1" applyFont="1" applyFill="1" applyAlignment="1">
      <alignment horizontal="right"/>
    </xf>
    <xf numFmtId="3" fontId="25" fillId="0" borderId="0" xfId="0" applyNumberFormat="1" applyFont="1" applyFill="1" applyAlignment="1">
      <alignment vertical="center"/>
    </xf>
    <xf numFmtId="3" fontId="25" fillId="0" borderId="0" xfId="0" applyNumberFormat="1" applyFont="1" applyFill="1" applyAlignment="1">
      <alignment horizontal="center" vertical="center"/>
    </xf>
    <xf numFmtId="3" fontId="23" fillId="0" borderId="57" xfId="0" applyNumberFormat="1" applyFont="1" applyFill="1" applyBorder="1" applyAlignment="1">
      <alignment horizontal="center" vertical="center"/>
    </xf>
    <xf numFmtId="3" fontId="23" fillId="0" borderId="56" xfId="0" applyNumberFormat="1" applyFont="1" applyFill="1" applyBorder="1" applyAlignment="1">
      <alignment horizontal="center" vertical="center" wrapText="1"/>
    </xf>
    <xf numFmtId="3" fontId="23" fillId="0" borderId="45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 wrapText="1"/>
    </xf>
    <xf numFmtId="3" fontId="24" fillId="0" borderId="48" xfId="0" applyNumberFormat="1" applyFont="1" applyFill="1" applyBorder="1" applyAlignment="1">
      <alignment horizontal="center" vertical="center" wrapText="1"/>
    </xf>
    <xf numFmtId="3" fontId="24" fillId="0" borderId="54" xfId="0" applyNumberFormat="1" applyFont="1" applyFill="1" applyBorder="1" applyAlignment="1">
      <alignment horizontal="center" vertical="center" wrapText="1"/>
    </xf>
    <xf numFmtId="3" fontId="24" fillId="0" borderId="36" xfId="0" applyNumberFormat="1" applyFont="1" applyFill="1" applyBorder="1" applyAlignment="1">
      <alignment horizontal="center" vertical="center" wrapText="1"/>
    </xf>
    <xf numFmtId="3" fontId="24" fillId="0" borderId="5" xfId="0" applyNumberFormat="1" applyFont="1" applyFill="1" applyBorder="1" applyAlignment="1">
      <alignment horizontal="center" vertical="center" wrapText="1"/>
    </xf>
    <xf numFmtId="3" fontId="24" fillId="0" borderId="35" xfId="0" applyNumberFormat="1" applyFont="1" applyFill="1" applyBorder="1" applyAlignment="1">
      <alignment horizontal="center" vertical="center" wrapText="1"/>
    </xf>
    <xf numFmtId="3" fontId="15" fillId="0" borderId="41" xfId="0" applyNumberFormat="1" applyFont="1" applyFill="1" applyBorder="1" applyAlignment="1">
      <alignment horizontal="center" vertical="center" wrapText="1"/>
    </xf>
    <xf numFmtId="3" fontId="15" fillId="0" borderId="28" xfId="0" applyNumberFormat="1" applyFont="1" applyFill="1" applyBorder="1" applyAlignment="1">
      <alignment horizontal="left" vertical="center" wrapText="1" indent="1"/>
    </xf>
    <xf numFmtId="3" fontId="15" fillId="0" borderId="41" xfId="0" applyNumberFormat="1" applyFont="1" applyFill="1" applyBorder="1" applyAlignment="1" applyProtection="1">
      <alignment horizontal="left" vertical="center" wrapText="1" indent="2"/>
    </xf>
    <xf numFmtId="3" fontId="15" fillId="0" borderId="41" xfId="0" applyNumberFormat="1" applyFont="1" applyFill="1" applyBorder="1" applyAlignment="1" applyProtection="1">
      <alignment vertical="center" wrapText="1"/>
    </xf>
    <xf numFmtId="3" fontId="15" fillId="0" borderId="8" xfId="0" applyNumberFormat="1" applyFont="1" applyFill="1" applyBorder="1" applyAlignment="1" applyProtection="1">
      <alignment vertical="center" wrapText="1"/>
    </xf>
    <xf numFmtId="3" fontId="15" fillId="0" borderId="1" xfId="0" applyNumberFormat="1" applyFont="1" applyFill="1" applyBorder="1" applyAlignment="1" applyProtection="1">
      <alignment vertical="center" wrapText="1"/>
    </xf>
    <xf numFmtId="3" fontId="15" fillId="0" borderId="3" xfId="0" applyNumberFormat="1" applyFont="1" applyFill="1" applyBorder="1" applyAlignment="1" applyProtection="1">
      <alignment vertical="center" wrapText="1"/>
    </xf>
    <xf numFmtId="3" fontId="15" fillId="0" borderId="41" xfId="0" applyNumberFormat="1" applyFont="1" applyFill="1" applyBorder="1" applyAlignment="1">
      <alignment vertical="center" wrapText="1"/>
    </xf>
    <xf numFmtId="3" fontId="17" fillId="0" borderId="0" xfId="0" applyNumberFormat="1" applyFont="1" applyFill="1" applyAlignment="1">
      <alignment vertical="center" wrapText="1"/>
    </xf>
    <xf numFmtId="3" fontId="26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7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26" fillId="0" borderId="41" xfId="0" applyNumberFormat="1" applyFont="1" applyFill="1" applyBorder="1" applyAlignment="1" applyProtection="1">
      <alignment vertical="center" wrapText="1"/>
      <protection locked="0"/>
    </xf>
    <xf numFmtId="3" fontId="26" fillId="0" borderId="8" xfId="0" applyNumberFormat="1" applyFont="1" applyFill="1" applyBorder="1" applyAlignment="1" applyProtection="1">
      <alignment vertical="center" wrapText="1"/>
      <protection locked="0"/>
    </xf>
    <xf numFmtId="3" fontId="26" fillId="0" borderId="1" xfId="0" applyNumberFormat="1" applyFont="1" applyFill="1" applyBorder="1" applyAlignment="1" applyProtection="1">
      <alignment vertical="center" wrapText="1"/>
      <protection locked="0"/>
    </xf>
    <xf numFmtId="3" fontId="26" fillId="0" borderId="3" xfId="0" applyNumberFormat="1" applyFont="1" applyFill="1" applyBorder="1" applyAlignment="1" applyProtection="1">
      <alignment vertical="center" wrapText="1"/>
      <protection locked="0"/>
    </xf>
    <xf numFmtId="3" fontId="0" fillId="0" borderId="28" xfId="0" applyNumberFormat="1" applyFill="1" applyBorder="1" applyAlignment="1">
      <alignment vertical="center" wrapText="1"/>
    </xf>
    <xf numFmtId="3" fontId="27" fillId="2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15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17" fillId="0" borderId="41" xfId="0" applyNumberFormat="1" applyFont="1" applyFill="1" applyBorder="1" applyAlignment="1" applyProtection="1">
      <alignment horizontal="left" vertical="center" wrapText="1" indent="2"/>
    </xf>
    <xf numFmtId="3" fontId="0" fillId="0" borderId="0" xfId="0" applyNumberFormat="1" applyFill="1" applyAlignment="1" applyProtection="1">
      <alignment vertical="center" wrapText="1"/>
      <protection locked="0"/>
    </xf>
    <xf numFmtId="3" fontId="2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3" fontId="20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28" fillId="0" borderId="41" xfId="0" applyNumberFormat="1" applyFont="1" applyFill="1" applyBorder="1" applyAlignment="1" applyProtection="1">
      <alignment vertical="center" wrapText="1"/>
      <protection locked="0"/>
    </xf>
    <xf numFmtId="3" fontId="28" fillId="0" borderId="8" xfId="0" applyNumberFormat="1" applyFont="1" applyFill="1" applyBorder="1" applyAlignment="1" applyProtection="1">
      <alignment vertical="center" wrapText="1"/>
      <protection locked="0"/>
    </xf>
    <xf numFmtId="3" fontId="28" fillId="0" borderId="1" xfId="0" applyNumberFormat="1" applyFont="1" applyFill="1" applyBorder="1" applyAlignment="1" applyProtection="1">
      <alignment vertical="center" wrapText="1"/>
      <protection locked="0"/>
    </xf>
    <xf numFmtId="3" fontId="28" fillId="0" borderId="3" xfId="0" applyNumberFormat="1" applyFont="1" applyFill="1" applyBorder="1" applyAlignment="1" applyProtection="1">
      <alignment vertical="center" wrapText="1"/>
      <protection locked="0"/>
    </xf>
    <xf numFmtId="3" fontId="15" fillId="0" borderId="28" xfId="0" applyNumberFormat="1" applyFont="1" applyFill="1" applyBorder="1" applyAlignment="1">
      <alignment vertical="center" wrapText="1"/>
    </xf>
    <xf numFmtId="3" fontId="15" fillId="0" borderId="41" xfId="0" applyNumberFormat="1" applyFont="1" applyFill="1" applyBorder="1" applyAlignment="1" applyProtection="1">
      <alignment vertical="center" wrapText="1"/>
      <protection locked="0"/>
    </xf>
    <xf numFmtId="3" fontId="0" fillId="0" borderId="41" xfId="0" applyNumberFormat="1" applyFont="1" applyFill="1" applyBorder="1" applyAlignment="1" applyProtection="1">
      <alignment horizontal="left" vertical="center" wrapText="1" indent="2"/>
      <protection locked="0"/>
    </xf>
    <xf numFmtId="3" fontId="10" fillId="0" borderId="41" xfId="0" applyNumberFormat="1" applyFont="1" applyFill="1" applyBorder="1" applyAlignment="1" applyProtection="1">
      <alignment vertical="center" wrapText="1"/>
      <protection locked="0"/>
    </xf>
    <xf numFmtId="3" fontId="10" fillId="0" borderId="8" xfId="0" applyNumberFormat="1" applyFont="1" applyFill="1" applyBorder="1" applyAlignment="1" applyProtection="1">
      <alignment vertical="center" wrapText="1"/>
      <protection locked="0"/>
    </xf>
    <xf numFmtId="3" fontId="10" fillId="0" borderId="3" xfId="0" applyNumberFormat="1" applyFont="1" applyFill="1" applyBorder="1" applyAlignment="1" applyProtection="1">
      <alignment vertical="center" wrapText="1"/>
      <protection locked="0"/>
    </xf>
    <xf numFmtId="3" fontId="29" fillId="0" borderId="0" xfId="0" applyNumberFormat="1" applyFont="1" applyFill="1" applyAlignment="1">
      <alignment vertical="center" wrapText="1"/>
    </xf>
    <xf numFmtId="3" fontId="15" fillId="0" borderId="51" xfId="0" applyNumberFormat="1" applyFont="1" applyFill="1" applyBorder="1" applyAlignment="1">
      <alignment horizontal="center" vertical="center" wrapText="1"/>
    </xf>
    <xf numFmtId="3" fontId="26" fillId="0" borderId="51" xfId="0" applyNumberFormat="1" applyFont="1" applyFill="1" applyBorder="1" applyAlignment="1" applyProtection="1">
      <alignment vertical="center" wrapText="1"/>
      <protection locked="0"/>
    </xf>
    <xf numFmtId="3" fontId="26" fillId="0" borderId="9" xfId="0" applyNumberFormat="1" applyFont="1" applyFill="1" applyBorder="1" applyAlignment="1" applyProtection="1">
      <alignment vertical="center" wrapText="1"/>
      <protection locked="0"/>
    </xf>
    <xf numFmtId="3" fontId="26" fillId="0" borderId="2" xfId="0" applyNumberFormat="1" applyFont="1" applyFill="1" applyBorder="1" applyAlignment="1" applyProtection="1">
      <alignment vertical="center" wrapText="1"/>
      <protection locked="0"/>
    </xf>
    <xf numFmtId="3" fontId="26" fillId="0" borderId="10" xfId="0" applyNumberFormat="1" applyFont="1" applyFill="1" applyBorder="1" applyAlignment="1" applyProtection="1">
      <alignment vertical="center" wrapText="1"/>
      <protection locked="0"/>
    </xf>
    <xf numFmtId="3" fontId="17" fillId="3" borderId="34" xfId="0" applyNumberFormat="1" applyFont="1" applyFill="1" applyBorder="1" applyAlignment="1" applyProtection="1">
      <alignment horizontal="left" vertical="center" wrapText="1" indent="2"/>
    </xf>
    <xf numFmtId="3" fontId="15" fillId="0" borderId="34" xfId="0" applyNumberFormat="1" applyFont="1" applyFill="1" applyBorder="1" applyAlignment="1" applyProtection="1">
      <alignment vertical="center" wrapText="1"/>
    </xf>
    <xf numFmtId="3" fontId="15" fillId="0" borderId="58" xfId="0" applyNumberFormat="1" applyFont="1" applyFill="1" applyBorder="1" applyAlignment="1" applyProtection="1">
      <alignment vertical="center" wrapText="1"/>
    </xf>
    <xf numFmtId="3" fontId="15" fillId="0" borderId="13" xfId="0" applyNumberFormat="1" applyFont="1" applyFill="1" applyBorder="1" applyAlignment="1" applyProtection="1">
      <alignment vertical="center" wrapText="1"/>
    </xf>
    <xf numFmtId="3" fontId="15" fillId="0" borderId="44" xfId="0" applyNumberFormat="1" applyFont="1" applyFill="1" applyBorder="1" applyAlignment="1" applyProtection="1">
      <alignment vertical="center" wrapText="1"/>
    </xf>
    <xf numFmtId="3" fontId="3" fillId="0" borderId="1" xfId="1" applyNumberFormat="1" applyFont="1" applyBorder="1" applyAlignment="1">
      <alignment horizontal="center" vertical="center" wrapText="1"/>
    </xf>
    <xf numFmtId="3" fontId="32" fillId="0" borderId="9" xfId="0" applyNumberFormat="1" applyFont="1" applyBorder="1"/>
    <xf numFmtId="0" fontId="7" fillId="0" borderId="0" xfId="0" applyFont="1" applyFill="1" applyAlignment="1">
      <alignment horizontal="center"/>
    </xf>
    <xf numFmtId="3" fontId="32" fillId="0" borderId="0" xfId="0" applyNumberFormat="1" applyFont="1" applyBorder="1" applyAlignment="1">
      <alignment horizontal="center" vertical="center" wrapText="1"/>
    </xf>
    <xf numFmtId="0" fontId="32" fillId="0" borderId="0" xfId="0" applyFont="1"/>
    <xf numFmtId="49" fontId="32" fillId="0" borderId="0" xfId="0" applyNumberFormat="1" applyFont="1"/>
    <xf numFmtId="49" fontId="32" fillId="0" borderId="1" xfId="0" applyNumberFormat="1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2" fillId="0" borderId="0" xfId="0" applyFont="1" applyAlignment="1">
      <alignment vertical="center"/>
    </xf>
    <xf numFmtId="49" fontId="32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/>
    </xf>
    <xf numFmtId="3" fontId="31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/>
    <xf numFmtId="3" fontId="3" fillId="0" borderId="21" xfId="1" applyNumberFormat="1" applyFont="1" applyBorder="1" applyAlignment="1">
      <alignment horizontal="center" vertical="center" wrapText="1"/>
    </xf>
    <xf numFmtId="0" fontId="4" fillId="0" borderId="26" xfId="1" applyFont="1" applyFill="1" applyBorder="1" applyAlignment="1">
      <alignment horizontal="left" vertical="center" wrapText="1"/>
    </xf>
    <xf numFmtId="164" fontId="4" fillId="0" borderId="26" xfId="1" applyNumberFormat="1" applyFont="1" applyFill="1" applyBorder="1" applyAlignment="1">
      <alignment horizontal="left" vertical="center" wrapText="1"/>
    </xf>
    <xf numFmtId="0" fontId="32" fillId="0" borderId="26" xfId="0" applyFont="1" applyBorder="1" applyAlignment="1">
      <alignment horizontal="left" wrapText="1"/>
    </xf>
    <xf numFmtId="3" fontId="32" fillId="0" borderId="1" xfId="0" applyNumberFormat="1" applyFont="1" applyBorder="1" applyAlignment="1">
      <alignment vertical="center" wrapText="1"/>
    </xf>
    <xf numFmtId="3" fontId="31" fillId="0" borderId="1" xfId="0" applyNumberFormat="1" applyFont="1" applyBorder="1" applyAlignment="1">
      <alignment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right" vertical="center"/>
    </xf>
    <xf numFmtId="3" fontId="32" fillId="0" borderId="2" xfId="0" applyNumberFormat="1" applyFont="1" applyBorder="1"/>
    <xf numFmtId="3" fontId="3" fillId="0" borderId="20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5" fillId="0" borderId="0" xfId="46" applyFont="1" applyAlignment="1">
      <alignment vertical="center"/>
    </xf>
    <xf numFmtId="0" fontId="3" fillId="0" borderId="0" xfId="46" applyFont="1" applyAlignment="1">
      <alignment vertical="center"/>
    </xf>
    <xf numFmtId="0" fontId="5" fillId="0" borderId="0" xfId="46" applyFont="1" applyAlignment="1">
      <alignment horizontal="center" vertical="center" wrapText="1"/>
    </xf>
    <xf numFmtId="0" fontId="5" fillId="0" borderId="6" xfId="46" applyFont="1" applyBorder="1" applyAlignment="1">
      <alignment vertical="center"/>
    </xf>
    <xf numFmtId="0" fontId="5" fillId="0" borderId="0" xfId="46" applyFont="1" applyBorder="1" applyAlignment="1">
      <alignment vertical="center"/>
    </xf>
    <xf numFmtId="0" fontId="5" fillId="0" borderId="0" xfId="46" applyFont="1" applyBorder="1" applyAlignment="1">
      <alignment horizontal="center" vertical="center"/>
    </xf>
    <xf numFmtId="0" fontId="5" fillId="0" borderId="0" xfId="46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74" xfId="0" applyFont="1" applyBorder="1" applyAlignment="1">
      <alignment vertical="center"/>
    </xf>
    <xf numFmtId="3" fontId="5" fillId="0" borderId="75" xfId="0" applyNumberFormat="1" applyFont="1" applyBorder="1" applyAlignment="1">
      <alignment horizontal="right" vertical="center" wrapText="1"/>
    </xf>
    <xf numFmtId="3" fontId="5" fillId="0" borderId="88" xfId="0" applyNumberFormat="1" applyFont="1" applyBorder="1" applyAlignment="1">
      <alignment horizontal="right" vertical="center" wrapText="1"/>
    </xf>
    <xf numFmtId="0" fontId="5" fillId="0" borderId="76" xfId="0" applyFont="1" applyBorder="1" applyAlignment="1">
      <alignment vertical="center"/>
    </xf>
    <xf numFmtId="3" fontId="5" fillId="0" borderId="77" xfId="0" applyNumberFormat="1" applyFont="1" applyBorder="1" applyAlignment="1">
      <alignment horizontal="right" vertical="center" wrapText="1"/>
    </xf>
    <xf numFmtId="3" fontId="5" fillId="0" borderId="89" xfId="0" applyNumberFormat="1" applyFont="1" applyBorder="1" applyAlignment="1">
      <alignment horizontal="right" vertical="center" wrapText="1"/>
    </xf>
    <xf numFmtId="0" fontId="5" fillId="0" borderId="78" xfId="0" applyFont="1" applyBorder="1" applyAlignment="1">
      <alignment vertical="center"/>
    </xf>
    <xf numFmtId="3" fontId="5" fillId="0" borderId="79" xfId="0" applyNumberFormat="1" applyFont="1" applyBorder="1" applyAlignment="1">
      <alignment horizontal="right" vertical="center" wrapText="1"/>
    </xf>
    <xf numFmtId="3" fontId="5" fillId="0" borderId="90" xfId="0" applyNumberFormat="1" applyFont="1" applyBorder="1" applyAlignment="1">
      <alignment horizontal="right" vertical="center" wrapText="1"/>
    </xf>
    <xf numFmtId="0" fontId="5" fillId="0" borderId="18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5" fillId="0" borderId="74" xfId="0" applyFont="1" applyFill="1" applyBorder="1" applyAlignment="1">
      <alignment vertical="center"/>
    </xf>
    <xf numFmtId="17" fontId="5" fillId="0" borderId="78" xfId="0" applyNumberFormat="1" applyFont="1" applyFill="1" applyBorder="1" applyAlignment="1">
      <alignment vertical="center"/>
    </xf>
    <xf numFmtId="0" fontId="5" fillId="0" borderId="80" xfId="0" applyFont="1" applyFill="1" applyBorder="1" applyAlignment="1">
      <alignment vertical="center"/>
    </xf>
    <xf numFmtId="3" fontId="5" fillId="0" borderId="81" xfId="0" applyNumberFormat="1" applyFont="1" applyBorder="1" applyAlignment="1">
      <alignment horizontal="right" vertical="center" wrapText="1"/>
    </xf>
    <xf numFmtId="3" fontId="5" fillId="0" borderId="91" xfId="0" applyNumberFormat="1" applyFont="1" applyBorder="1" applyAlignment="1">
      <alignment horizontal="right" vertical="center" wrapText="1"/>
    </xf>
    <xf numFmtId="0" fontId="5" fillId="0" borderId="73" xfId="0" applyFont="1" applyFill="1" applyBorder="1" applyAlignment="1">
      <alignment vertical="center"/>
    </xf>
    <xf numFmtId="3" fontId="5" fillId="0" borderId="82" xfId="0" applyNumberFormat="1" applyFont="1" applyBorder="1" applyAlignment="1">
      <alignment horizontal="right" vertical="center" wrapText="1"/>
    </xf>
    <xf numFmtId="3" fontId="5" fillId="0" borderId="92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0" fontId="5" fillId="0" borderId="74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0" fontId="36" fillId="0" borderId="10" xfId="0" applyFont="1" applyBorder="1" applyAlignment="1">
      <alignment horizontal="right" vertical="center"/>
    </xf>
    <xf numFmtId="0" fontId="38" fillId="0" borderId="9" xfId="0" applyFont="1" applyBorder="1"/>
    <xf numFmtId="0" fontId="38" fillId="0" borderId="10" xfId="0" applyFont="1" applyBorder="1"/>
    <xf numFmtId="0" fontId="5" fillId="0" borderId="76" xfId="0" applyFont="1" applyFill="1" applyBorder="1" applyAlignment="1">
      <alignment vertical="center"/>
    </xf>
    <xf numFmtId="3" fontId="5" fillId="0" borderId="77" xfId="0" applyNumberFormat="1" applyFont="1" applyFill="1" applyBorder="1" applyAlignment="1">
      <alignment horizontal="right" vertical="center" wrapText="1"/>
    </xf>
    <xf numFmtId="3" fontId="5" fillId="0" borderId="89" xfId="0" applyNumberFormat="1" applyFont="1" applyFill="1" applyBorder="1" applyAlignment="1">
      <alignment horizontal="right" vertical="center" wrapText="1"/>
    </xf>
    <xf numFmtId="0" fontId="5" fillId="0" borderId="0" xfId="46" applyFont="1" applyFill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165" fontId="3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3" fontId="32" fillId="0" borderId="2" xfId="0" applyNumberFormat="1" applyFont="1" applyFill="1" applyBorder="1" applyAlignment="1" applyProtection="1">
      <alignment vertical="center" wrapText="1"/>
      <protection locked="0"/>
    </xf>
    <xf numFmtId="3" fontId="32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2" xfId="0" applyNumberFormat="1" applyFont="1" applyFill="1" applyBorder="1" applyAlignment="1" applyProtection="1">
      <alignment horizontal="right" vertical="center" wrapText="1"/>
    </xf>
    <xf numFmtId="165" fontId="3" fillId="0" borderId="5" xfId="0" applyNumberFormat="1" applyFont="1" applyFill="1" applyBorder="1" applyAlignment="1" applyProtection="1">
      <alignment vertical="center" wrapText="1"/>
      <protection locked="0"/>
    </xf>
    <xf numFmtId="3" fontId="5" fillId="0" borderId="5" xfId="0" applyNumberFormat="1" applyFont="1" applyFill="1" applyBorder="1" applyAlignment="1" applyProtection="1">
      <alignment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" xfId="0" applyNumberFormat="1" applyFont="1" applyFill="1" applyBorder="1" applyAlignment="1" applyProtection="1">
      <alignment vertical="center" wrapText="1"/>
      <protection locked="0"/>
    </xf>
    <xf numFmtId="3" fontId="3" fillId="0" borderId="13" xfId="0" applyNumberFormat="1" applyFont="1" applyFill="1" applyBorder="1" applyAlignment="1" applyProtection="1">
      <alignment vertical="center" wrapText="1"/>
      <protection locked="0"/>
    </xf>
    <xf numFmtId="3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" xfId="0" applyNumberFormat="1" applyFont="1" applyFill="1" applyBorder="1" applyAlignment="1" applyProtection="1">
      <alignment horizontal="left" vertical="center" wrapText="1"/>
      <protection locked="0"/>
    </xf>
    <xf numFmtId="3" fontId="3" fillId="0" borderId="2" xfId="0" applyNumberFormat="1" applyFont="1" applyFill="1" applyBorder="1" applyAlignment="1" applyProtection="1">
      <alignment vertical="center" wrapText="1"/>
      <protection locked="0"/>
    </xf>
    <xf numFmtId="3" fontId="32" fillId="0" borderId="5" xfId="0" applyNumberFormat="1" applyFont="1" applyFill="1" applyBorder="1" applyAlignment="1" applyProtection="1">
      <alignment vertical="center" wrapText="1"/>
      <protection locked="0"/>
    </xf>
    <xf numFmtId="3" fontId="32" fillId="0" borderId="5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5" xfId="0" applyNumberFormat="1" applyFont="1" applyFill="1" applyBorder="1" applyAlignment="1" applyProtection="1">
      <alignment horizontal="right" vertical="center" wrapText="1"/>
    </xf>
    <xf numFmtId="3" fontId="5" fillId="0" borderId="13" xfId="0" applyNumberFormat="1" applyFont="1" applyFill="1" applyBorder="1" applyAlignment="1" applyProtection="1">
      <alignment vertical="center" wrapText="1"/>
      <protection locked="0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3" fontId="33" fillId="0" borderId="1" xfId="0" applyNumberFormat="1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3" fillId="0" borderId="2" xfId="0" applyFont="1" applyBorder="1" applyAlignment="1">
      <alignment vertical="center"/>
    </xf>
    <xf numFmtId="3" fontId="33" fillId="0" borderId="2" xfId="0" applyNumberFormat="1" applyFont="1" applyBorder="1" applyAlignment="1">
      <alignment vertical="center" wrapText="1"/>
    </xf>
    <xf numFmtId="3" fontId="31" fillId="0" borderId="13" xfId="0" applyNumberFormat="1" applyFont="1" applyBorder="1" applyAlignment="1">
      <alignment vertical="center" wrapText="1"/>
    </xf>
    <xf numFmtId="0" fontId="5" fillId="0" borderId="0" xfId="50" applyFont="1"/>
    <xf numFmtId="0" fontId="5" fillId="0" borderId="18" xfId="50" applyFont="1" applyBorder="1"/>
    <xf numFmtId="3" fontId="5" fillId="0" borderId="8" xfId="50" applyNumberFormat="1" applyFont="1" applyBorder="1"/>
    <xf numFmtId="3" fontId="5" fillId="0" borderId="1" xfId="50" applyNumberFormat="1" applyFont="1" applyBorder="1"/>
    <xf numFmtId="0" fontId="3" fillId="0" borderId="20" xfId="50" applyFont="1" applyBorder="1"/>
    <xf numFmtId="3" fontId="3" fillId="0" borderId="39" xfId="50" applyNumberFormat="1" applyFont="1" applyBorder="1"/>
    <xf numFmtId="3" fontId="3" fillId="0" borderId="21" xfId="50" applyNumberFormat="1" applyFont="1" applyBorder="1"/>
    <xf numFmtId="0" fontId="3" fillId="0" borderId="18" xfId="50" applyFont="1" applyBorder="1"/>
    <xf numFmtId="3" fontId="3" fillId="0" borderId="8" xfId="50" applyNumberFormat="1" applyFont="1" applyBorder="1"/>
    <xf numFmtId="3" fontId="3" fillId="0" borderId="1" xfId="50" applyNumberFormat="1" applyFont="1" applyBorder="1"/>
    <xf numFmtId="3" fontId="5" fillId="0" borderId="0" xfId="50" applyNumberFormat="1" applyFont="1"/>
    <xf numFmtId="0" fontId="66" fillId="0" borderId="0" xfId="0" applyFont="1" applyFill="1"/>
    <xf numFmtId="0" fontId="5" fillId="0" borderId="0" xfId="50" applyFont="1" applyAlignment="1">
      <alignment wrapText="1"/>
    </xf>
    <xf numFmtId="0" fontId="3" fillId="0" borderId="15" xfId="50" applyFont="1" applyBorder="1" applyAlignment="1">
      <alignment horizontal="center" vertical="center" wrapText="1"/>
    </xf>
    <xf numFmtId="0" fontId="4" fillId="0" borderId="46" xfId="1" applyFont="1" applyFill="1" applyBorder="1" applyAlignment="1">
      <alignment horizontal="right" vertical="center"/>
    </xf>
    <xf numFmtId="0" fontId="4" fillId="0" borderId="49" xfId="1" applyFont="1" applyFill="1" applyBorder="1" applyAlignment="1">
      <alignment horizontal="right" vertical="center"/>
    </xf>
    <xf numFmtId="0" fontId="2" fillId="0" borderId="49" xfId="1" applyFont="1" applyFill="1" applyBorder="1" applyAlignment="1">
      <alignment horizontal="right" vertical="center"/>
    </xf>
    <xf numFmtId="0" fontId="2" fillId="0" borderId="49" xfId="1" applyFont="1" applyFill="1" applyBorder="1" applyAlignment="1">
      <alignment horizontal="right" vertical="center" wrapText="1"/>
    </xf>
    <xf numFmtId="0" fontId="2" fillId="0" borderId="53" xfId="0" applyFont="1" applyFill="1" applyBorder="1" applyAlignment="1">
      <alignment horizontal="right" vertical="center" wrapText="1"/>
    </xf>
    <xf numFmtId="0" fontId="4" fillId="0" borderId="25" xfId="1" applyFont="1" applyFill="1" applyBorder="1" applyAlignment="1">
      <alignment horizontal="left" vertical="center" wrapText="1"/>
    </xf>
    <xf numFmtId="0" fontId="32" fillId="0" borderId="25" xfId="0" applyFont="1" applyBorder="1" applyAlignment="1">
      <alignment horizontal="left" wrapText="1"/>
    </xf>
    <xf numFmtId="3" fontId="31" fillId="0" borderId="31" xfId="98" applyNumberFormat="1" applyFont="1" applyBorder="1"/>
    <xf numFmtId="3" fontId="31" fillId="0" borderId="5" xfId="98" applyNumberFormat="1" applyFont="1" applyBorder="1"/>
    <xf numFmtId="3" fontId="31" fillId="0" borderId="30" xfId="98" applyNumberFormat="1" applyFont="1" applyBorder="1"/>
    <xf numFmtId="3" fontId="31" fillId="0" borderId="36" xfId="98" applyNumberFormat="1" applyFont="1" applyBorder="1"/>
    <xf numFmtId="3" fontId="31" fillId="0" borderId="35" xfId="98" applyNumberFormat="1" applyFont="1" applyBorder="1"/>
    <xf numFmtId="3" fontId="31" fillId="0" borderId="1" xfId="98" applyNumberFormat="1" applyFont="1" applyBorder="1"/>
    <xf numFmtId="3" fontId="31" fillId="0" borderId="18" xfId="98" applyNumberFormat="1" applyFont="1" applyBorder="1"/>
    <xf numFmtId="3" fontId="31" fillId="0" borderId="19" xfId="98" applyNumberFormat="1" applyFont="1" applyBorder="1"/>
    <xf numFmtId="3" fontId="31" fillId="0" borderId="8" xfId="98" applyNumberFormat="1" applyFont="1" applyBorder="1"/>
    <xf numFmtId="3" fontId="31" fillId="0" borderId="3" xfId="98" applyNumberFormat="1" applyFont="1" applyBorder="1"/>
    <xf numFmtId="3" fontId="31" fillId="0" borderId="25" xfId="98" applyNumberFormat="1" applyFont="1" applyBorder="1"/>
    <xf numFmtId="3" fontId="32" fillId="0" borderId="0" xfId="98" applyNumberFormat="1" applyFont="1" applyBorder="1"/>
    <xf numFmtId="3" fontId="32" fillId="0" borderId="25" xfId="98" applyNumberFormat="1" applyFont="1" applyBorder="1"/>
    <xf numFmtId="3" fontId="32" fillId="0" borderId="26" xfId="98" applyNumberFormat="1" applyFont="1" applyBorder="1"/>
    <xf numFmtId="3" fontId="32" fillId="0" borderId="1" xfId="98" applyNumberFormat="1" applyFont="1" applyBorder="1"/>
    <xf numFmtId="3" fontId="32" fillId="0" borderId="18" xfId="98" applyNumberFormat="1" applyFont="1" applyBorder="1"/>
    <xf numFmtId="3" fontId="32" fillId="0" borderId="19" xfId="98" applyNumberFormat="1" applyFont="1" applyBorder="1"/>
    <xf numFmtId="3" fontId="32" fillId="0" borderId="8" xfId="98" applyNumberFormat="1" applyFont="1" applyBorder="1"/>
    <xf numFmtId="3" fontId="32" fillId="0" borderId="3" xfId="98" applyNumberFormat="1" applyFont="1" applyBorder="1"/>
    <xf numFmtId="3" fontId="31" fillId="0" borderId="20" xfId="98" applyNumberFormat="1" applyFont="1" applyBorder="1"/>
    <xf numFmtId="3" fontId="31" fillId="0" borderId="21" xfId="98" applyNumberFormat="1" applyFont="1" applyBorder="1"/>
    <xf numFmtId="3" fontId="2" fillId="0" borderId="20" xfId="98" applyNumberFormat="1" applyFont="1" applyFill="1" applyBorder="1"/>
    <xf numFmtId="3" fontId="2" fillId="0" borderId="21" xfId="98" applyNumberFormat="1" applyFont="1" applyFill="1" applyBorder="1"/>
    <xf numFmtId="3" fontId="31" fillId="0" borderId="22" xfId="98" applyNumberFormat="1" applyFont="1" applyBorder="1"/>
    <xf numFmtId="3" fontId="31" fillId="0" borderId="39" xfId="98" applyNumberFormat="1" applyFont="1" applyBorder="1"/>
    <xf numFmtId="3" fontId="31" fillId="0" borderId="32" xfId="98" applyNumberFormat="1" applyFont="1" applyBorder="1"/>
    <xf numFmtId="3" fontId="3" fillId="0" borderId="33" xfId="98" applyNumberFormat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right" vertical="center" wrapText="1"/>
    </xf>
    <xf numFmtId="0" fontId="67" fillId="0" borderId="1" xfId="0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3" fontId="32" fillId="0" borderId="1" xfId="0" applyNumberFormat="1" applyFont="1" applyFill="1" applyBorder="1"/>
    <xf numFmtId="0" fontId="5" fillId="0" borderId="11" xfId="46" applyFont="1" applyBorder="1" applyAlignment="1">
      <alignment horizontal="center" vertical="center"/>
    </xf>
    <xf numFmtId="0" fontId="38" fillId="0" borderId="0" xfId="0" applyFont="1" applyBorder="1"/>
    <xf numFmtId="0" fontId="36" fillId="4" borderId="43" xfId="0" applyFont="1" applyFill="1" applyBorder="1" applyAlignment="1">
      <alignment horizontal="center" vertical="center" wrapText="1"/>
    </xf>
    <xf numFmtId="3" fontId="38" fillId="0" borderId="0" xfId="0" applyNumberFormat="1" applyFont="1" applyBorder="1"/>
    <xf numFmtId="0" fontId="36" fillId="0" borderId="60" xfId="0" applyFont="1" applyBorder="1" applyAlignment="1">
      <alignment horizontal="center" vertical="center"/>
    </xf>
    <xf numFmtId="0" fontId="36" fillId="4" borderId="61" xfId="0" applyFont="1" applyFill="1" applyBorder="1" applyAlignment="1">
      <alignment horizontal="center" vertical="center" wrapText="1"/>
    </xf>
    <xf numFmtId="0" fontId="36" fillId="0" borderId="50" xfId="0" applyFont="1" applyBorder="1" applyAlignment="1">
      <alignment vertical="center"/>
    </xf>
    <xf numFmtId="3" fontId="36" fillId="4" borderId="27" xfId="0" applyNumberFormat="1" applyFont="1" applyFill="1" applyBorder="1" applyAlignment="1">
      <alignment horizontal="center" vertical="center"/>
    </xf>
    <xf numFmtId="3" fontId="36" fillId="4" borderId="34" xfId="0" applyNumberFormat="1" applyFont="1" applyFill="1" applyBorder="1" applyAlignment="1">
      <alignment horizontal="center" vertical="center"/>
    </xf>
    <xf numFmtId="0" fontId="39" fillId="0" borderId="49" xfId="0" applyFont="1" applyBorder="1"/>
    <xf numFmtId="0" fontId="39" fillId="0" borderId="50" xfId="0" applyFont="1" applyBorder="1"/>
    <xf numFmtId="0" fontId="36" fillId="0" borderId="49" xfId="0" applyFont="1" applyBorder="1"/>
    <xf numFmtId="0" fontId="36" fillId="0" borderId="27" xfId="0" applyFont="1" applyBorder="1" applyAlignment="1">
      <alignment vertical="center"/>
    </xf>
    <xf numFmtId="0" fontId="36" fillId="0" borderId="27" xfId="0" applyFont="1" applyBorder="1" applyAlignment="1">
      <alignment horizontal="left" vertical="center"/>
    </xf>
    <xf numFmtId="0" fontId="38" fillId="4" borderId="50" xfId="0" applyFont="1" applyFill="1" applyBorder="1"/>
    <xf numFmtId="0" fontId="38" fillId="0" borderId="46" xfId="0" applyFont="1" applyBorder="1"/>
    <xf numFmtId="0" fontId="32" fillId="0" borderId="0" xfId="0" applyFont="1" applyAlignment="1">
      <alignment wrapText="1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 wrapText="1"/>
    </xf>
    <xf numFmtId="3" fontId="3" fillId="0" borderId="95" xfId="0" applyNumberFormat="1" applyFont="1" applyBorder="1" applyAlignment="1">
      <alignment horizontal="right" vertical="center"/>
    </xf>
    <xf numFmtId="3" fontId="3" fillId="0" borderId="87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3" fontId="3" fillId="0" borderId="34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5" fillId="0" borderId="23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5" fillId="0" borderId="83" xfId="0" applyFont="1" applyBorder="1" applyAlignment="1">
      <alignment vertical="center"/>
    </xf>
    <xf numFmtId="0" fontId="4" fillId="0" borderId="2" xfId="1" applyFont="1" applyFill="1" applyBorder="1" applyAlignment="1">
      <alignment horizontal="left" vertical="center" wrapText="1"/>
    </xf>
    <xf numFmtId="0" fontId="36" fillId="0" borderId="1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36" fillId="0" borderId="13" xfId="98" applyNumberFormat="1" applyFont="1" applyBorder="1" applyAlignment="1">
      <alignment horizontal="right" vertical="center"/>
    </xf>
    <xf numFmtId="3" fontId="36" fillId="0" borderId="14" xfId="98" applyNumberFormat="1" applyFont="1" applyBorder="1" applyAlignment="1">
      <alignment horizontal="right" vertical="center"/>
    </xf>
    <xf numFmtId="49" fontId="31" fillId="0" borderId="0" xfId="0" applyNumberFormat="1" applyFont="1" applyBorder="1" applyAlignment="1">
      <alignment horizontal="center" vertical="center"/>
    </xf>
    <xf numFmtId="3" fontId="31" fillId="0" borderId="0" xfId="0" applyNumberFormat="1" applyFont="1" applyBorder="1" applyAlignment="1">
      <alignment vertical="center"/>
    </xf>
    <xf numFmtId="49" fontId="32" fillId="0" borderId="0" xfId="0" applyNumberFormat="1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3" fontId="32" fillId="0" borderId="0" xfId="0" applyNumberFormat="1" applyFont="1" applyBorder="1" applyAlignment="1">
      <alignment vertical="center" wrapText="1"/>
    </xf>
    <xf numFmtId="49" fontId="32" fillId="0" borderId="1" xfId="0" applyNumberFormat="1" applyFont="1" applyBorder="1"/>
    <xf numFmtId="3" fontId="10" fillId="0" borderId="28" xfId="0" applyNumberFormat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vertical="center" wrapText="1"/>
    </xf>
    <xf numFmtId="0" fontId="33" fillId="0" borderId="0" xfId="0" applyFont="1" applyAlignment="1">
      <alignment vertical="center"/>
    </xf>
    <xf numFmtId="49" fontId="33" fillId="0" borderId="2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left" vertical="center" wrapText="1"/>
    </xf>
    <xf numFmtId="0" fontId="3" fillId="0" borderId="83" xfId="0" applyFont="1" applyFill="1" applyBorder="1" applyAlignment="1">
      <alignment vertical="center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center" wrapText="1"/>
    </xf>
    <xf numFmtId="3" fontId="3" fillId="0" borderId="75" xfId="0" applyNumberFormat="1" applyFont="1" applyBorder="1" applyAlignment="1">
      <alignment horizontal="right" vertical="center" wrapText="1"/>
    </xf>
    <xf numFmtId="0" fontId="3" fillId="0" borderId="18" xfId="0" applyFont="1" applyFill="1" applyBorder="1" applyAlignment="1">
      <alignment vertical="center" wrapText="1"/>
    </xf>
    <xf numFmtId="0" fontId="7" fillId="0" borderId="76" xfId="0" applyFont="1" applyBorder="1" applyAlignment="1">
      <alignment vertical="center" wrapText="1"/>
    </xf>
    <xf numFmtId="3" fontId="7" fillId="0" borderId="77" xfId="0" applyNumberFormat="1" applyFont="1" applyBorder="1" applyAlignment="1">
      <alignment horizontal="right" vertical="center" wrapText="1"/>
    </xf>
    <xf numFmtId="3" fontId="7" fillId="0" borderId="89" xfId="0" applyNumberFormat="1" applyFont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/>
    </xf>
    <xf numFmtId="0" fontId="5" fillId="0" borderId="37" xfId="50" applyFont="1" applyBorder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3" fontId="36" fillId="4" borderId="40" xfId="98" applyNumberFormat="1" applyFont="1" applyFill="1" applyBorder="1" applyAlignment="1">
      <alignment horizontal="center" vertical="center" wrapText="1"/>
    </xf>
    <xf numFmtId="3" fontId="36" fillId="4" borderId="41" xfId="98" applyNumberFormat="1" applyFont="1" applyFill="1" applyBorder="1" applyAlignment="1">
      <alignment horizontal="center" vertical="center" wrapText="1"/>
    </xf>
    <xf numFmtId="3" fontId="36" fillId="4" borderId="51" xfId="98" applyNumberFormat="1" applyFont="1" applyFill="1" applyBorder="1" applyAlignment="1">
      <alignment horizontal="center" vertical="center" wrapText="1"/>
    </xf>
    <xf numFmtId="3" fontId="38" fillId="0" borderId="41" xfId="0" applyNumberFormat="1" applyFont="1" applyBorder="1" applyAlignment="1">
      <alignment horizontal="center"/>
    </xf>
    <xf numFmtId="3" fontId="5" fillId="0" borderId="41" xfId="0" applyNumberFormat="1" applyFont="1" applyBorder="1" applyAlignment="1">
      <alignment horizontal="center"/>
    </xf>
    <xf numFmtId="3" fontId="39" fillId="0" borderId="41" xfId="0" applyNumberFormat="1" applyFont="1" applyBorder="1" applyAlignment="1">
      <alignment horizontal="center"/>
    </xf>
    <xf numFmtId="3" fontId="38" fillId="4" borderId="33" xfId="0" applyNumberFormat="1" applyFont="1" applyFill="1" applyBorder="1" applyAlignment="1">
      <alignment horizontal="center"/>
    </xf>
    <xf numFmtId="3" fontId="36" fillId="0" borderId="34" xfId="0" applyNumberFormat="1" applyFont="1" applyBorder="1" applyAlignment="1">
      <alignment horizontal="center" vertical="center"/>
    </xf>
    <xf numFmtId="3" fontId="36" fillId="4" borderId="34" xfId="98" applyNumberFormat="1" applyFont="1" applyFill="1" applyBorder="1" applyAlignment="1">
      <alignment horizontal="center" vertical="center" wrapText="1"/>
    </xf>
    <xf numFmtId="3" fontId="38" fillId="0" borderId="48" xfId="0" applyNumberFormat="1" applyFont="1" applyBorder="1" applyAlignment="1">
      <alignment horizontal="center"/>
    </xf>
    <xf numFmtId="3" fontId="38" fillId="0" borderId="41" xfId="0" applyNumberFormat="1" applyFont="1" applyBorder="1" applyAlignment="1">
      <alignment horizontal="center" wrapText="1"/>
    </xf>
    <xf numFmtId="3" fontId="38" fillId="4" borderId="51" xfId="0" applyNumberFormat="1" applyFont="1" applyFill="1" applyBorder="1" applyAlignment="1">
      <alignment horizontal="center"/>
    </xf>
    <xf numFmtId="3" fontId="5" fillId="0" borderId="1" xfId="98" applyNumberFormat="1" applyFont="1" applyFill="1" applyBorder="1" applyAlignment="1">
      <alignment horizontal="center" vertical="center"/>
    </xf>
    <xf numFmtId="3" fontId="5" fillId="0" borderId="1" xfId="98" quotePrefix="1" applyNumberFormat="1" applyFont="1" applyFill="1" applyBorder="1" applyAlignment="1">
      <alignment horizontal="center" vertical="center"/>
    </xf>
    <xf numFmtId="3" fontId="3" fillId="0" borderId="1" xfId="98" applyNumberFormat="1" applyFont="1" applyFill="1" applyBorder="1" applyAlignment="1">
      <alignment horizontal="center" vertical="center"/>
    </xf>
    <xf numFmtId="3" fontId="7" fillId="0" borderId="1" xfId="98" applyNumberFormat="1" applyFont="1" applyFill="1" applyBorder="1" applyAlignment="1">
      <alignment horizontal="center" vertical="center"/>
    </xf>
    <xf numFmtId="3" fontId="5" fillId="0" borderId="1" xfId="98" applyNumberFormat="1" applyFont="1" applyFill="1" applyBorder="1" applyAlignment="1">
      <alignment horizontal="center"/>
    </xf>
    <xf numFmtId="0" fontId="68" fillId="0" borderId="0" xfId="42" applyFont="1" applyAlignment="1">
      <alignment vertical="center"/>
    </xf>
    <xf numFmtId="0" fontId="5" fillId="0" borderId="18" xfId="42" applyFont="1" applyBorder="1" applyAlignment="1">
      <alignment vertical="center"/>
    </xf>
    <xf numFmtId="0" fontId="5" fillId="0" borderId="8" xfId="42" applyFont="1" applyBorder="1" applyAlignment="1">
      <alignment vertical="center"/>
    </xf>
    <xf numFmtId="0" fontId="5" fillId="0" borderId="1" xfId="42" applyFont="1" applyBorder="1" applyAlignment="1">
      <alignment vertical="center"/>
    </xf>
    <xf numFmtId="0" fontId="5" fillId="0" borderId="19" xfId="42" applyFont="1" applyBorder="1" applyAlignment="1">
      <alignment vertical="center"/>
    </xf>
    <xf numFmtId="0" fontId="3" fillId="0" borderId="18" xfId="42" applyFont="1" applyBorder="1" applyAlignment="1">
      <alignment horizontal="center" vertical="center" wrapText="1"/>
    </xf>
    <xf numFmtId="0" fontId="3" fillId="0" borderId="8" xfId="42" applyFont="1" applyBorder="1" applyAlignment="1">
      <alignment horizontal="center" vertical="center" wrapText="1"/>
    </xf>
    <xf numFmtId="0" fontId="3" fillId="0" borderId="1" xfId="42" applyFont="1" applyBorder="1" applyAlignment="1">
      <alignment horizontal="center" vertical="center" wrapText="1"/>
    </xf>
    <xf numFmtId="0" fontId="3" fillId="0" borderId="19" xfId="42" applyFont="1" applyBorder="1" applyAlignment="1">
      <alignment horizontal="center" vertical="center" wrapText="1"/>
    </xf>
    <xf numFmtId="0" fontId="68" fillId="0" borderId="0" xfId="42" applyFont="1" applyAlignment="1">
      <alignment vertical="center" wrapText="1"/>
    </xf>
    <xf numFmtId="0" fontId="5" fillId="0" borderId="23" xfId="42" applyFont="1" applyBorder="1" applyAlignment="1">
      <alignment vertical="center"/>
    </xf>
    <xf numFmtId="3" fontId="5" fillId="0" borderId="9" xfId="42" applyNumberFormat="1" applyFont="1" applyBorder="1" applyAlignment="1">
      <alignment vertical="center"/>
    </xf>
    <xf numFmtId="3" fontId="5" fillId="0" borderId="2" xfId="42" applyNumberFormat="1" applyFont="1" applyBorder="1" applyAlignment="1">
      <alignment vertical="center"/>
    </xf>
    <xf numFmtId="3" fontId="5" fillId="0" borderId="19" xfId="42" applyNumberFormat="1" applyFont="1" applyBorder="1" applyAlignment="1">
      <alignment vertical="center"/>
    </xf>
    <xf numFmtId="0" fontId="5" fillId="0" borderId="18" xfId="50" applyFont="1" applyBorder="1" applyAlignment="1">
      <alignment vertical="center"/>
    </xf>
    <xf numFmtId="3" fontId="5" fillId="0" borderId="8" xfId="50" applyNumberFormat="1" applyFont="1" applyBorder="1" applyAlignment="1">
      <alignment vertical="center"/>
    </xf>
    <xf numFmtId="3" fontId="5" fillId="0" borderId="24" xfId="42" applyNumberFormat="1" applyFont="1" applyBorder="1" applyAlignment="1">
      <alignment vertical="center"/>
    </xf>
    <xf numFmtId="0" fontId="3" fillId="0" borderId="20" xfId="42" applyFont="1" applyBorder="1" applyAlignment="1">
      <alignment vertical="center"/>
    </xf>
    <xf numFmtId="3" fontId="3" fillId="0" borderId="39" xfId="42" applyNumberFormat="1" applyFont="1" applyBorder="1" applyAlignment="1">
      <alignment vertical="center"/>
    </xf>
    <xf numFmtId="0" fontId="3" fillId="0" borderId="0" xfId="42" applyFont="1" applyBorder="1" applyAlignment="1">
      <alignment vertical="center"/>
    </xf>
    <xf numFmtId="3" fontId="3" fillId="0" borderId="0" xfId="42" applyNumberFormat="1" applyFont="1" applyBorder="1" applyAlignment="1">
      <alignment vertical="center"/>
    </xf>
    <xf numFmtId="0" fontId="5" fillId="0" borderId="0" xfId="42" applyFont="1" applyAlignment="1">
      <alignment vertical="center"/>
    </xf>
    <xf numFmtId="3" fontId="5" fillId="0" borderId="0" xfId="42" applyNumberFormat="1" applyFont="1" applyAlignment="1">
      <alignment vertical="center"/>
    </xf>
    <xf numFmtId="3" fontId="5" fillId="0" borderId="8" xfId="42" applyNumberFormat="1" applyFont="1" applyBorder="1" applyAlignment="1">
      <alignment vertical="center"/>
    </xf>
    <xf numFmtId="3" fontId="5" fillId="0" borderId="1" xfId="42" applyNumberFormat="1" applyFont="1" applyBorder="1" applyAlignment="1">
      <alignment vertical="center"/>
    </xf>
    <xf numFmtId="0" fontId="5" fillId="0" borderId="0" xfId="42" applyFont="1" applyBorder="1" applyAlignment="1">
      <alignment vertical="center"/>
    </xf>
    <xf numFmtId="3" fontId="5" fillId="0" borderId="0" xfId="42" applyNumberFormat="1" applyFont="1" applyBorder="1" applyAlignment="1">
      <alignment vertical="center"/>
    </xf>
    <xf numFmtId="0" fontId="3" fillId="0" borderId="46" xfId="42" applyFont="1" applyBorder="1" applyAlignment="1">
      <alignment horizontal="center" vertical="center"/>
    </xf>
    <xf numFmtId="0" fontId="3" fillId="0" borderId="6" xfId="42" applyFont="1" applyBorder="1" applyAlignment="1">
      <alignment horizontal="center" vertical="center"/>
    </xf>
    <xf numFmtId="0" fontId="3" fillId="0" borderId="54" xfId="42" applyFont="1" applyBorder="1" applyAlignment="1">
      <alignment horizontal="center" vertical="center"/>
    </xf>
    <xf numFmtId="3" fontId="5" fillId="0" borderId="8" xfId="42" applyNumberFormat="1" applyFont="1" applyBorder="1" applyAlignment="1">
      <alignment horizontal="right" vertical="center"/>
    </xf>
    <xf numFmtId="3" fontId="5" fillId="0" borderId="1" xfId="42" applyNumberFormat="1" applyFont="1" applyBorder="1" applyAlignment="1">
      <alignment horizontal="right" vertical="center"/>
    </xf>
    <xf numFmtId="3" fontId="3" fillId="0" borderId="39" xfId="42" applyNumberFormat="1" applyFont="1" applyBorder="1" applyAlignment="1">
      <alignment horizontal="right" vertical="center"/>
    </xf>
    <xf numFmtId="0" fontId="5" fillId="0" borderId="18" xfId="42" applyFont="1" applyBorder="1" applyAlignment="1">
      <alignment horizontal="left" vertical="center"/>
    </xf>
    <xf numFmtId="0" fontId="68" fillId="0" borderId="37" xfId="42" applyFont="1" applyBorder="1" applyAlignment="1">
      <alignment horizontal="right" vertical="center"/>
    </xf>
    <xf numFmtId="3" fontId="3" fillId="0" borderId="55" xfId="42" applyNumberFormat="1" applyFont="1" applyBorder="1" applyAlignment="1">
      <alignment vertical="center"/>
    </xf>
    <xf numFmtId="3" fontId="5" fillId="0" borderId="19" xfId="42" applyNumberFormat="1" applyFont="1" applyBorder="1" applyAlignment="1">
      <alignment horizontal="right" vertical="center"/>
    </xf>
    <xf numFmtId="3" fontId="3" fillId="0" borderId="55" xfId="42" applyNumberFormat="1" applyFont="1" applyBorder="1" applyAlignment="1">
      <alignment horizontal="right" vertical="center"/>
    </xf>
    <xf numFmtId="0" fontId="21" fillId="0" borderId="37" xfId="50" applyFont="1" applyBorder="1" applyAlignment="1">
      <alignment vertical="center" wrapText="1"/>
    </xf>
    <xf numFmtId="0" fontId="5" fillId="0" borderId="0" xfId="50" applyFont="1" applyAlignment="1">
      <alignment vertical="center"/>
    </xf>
    <xf numFmtId="0" fontId="3" fillId="0" borderId="63" xfId="50" applyFont="1" applyBorder="1" applyAlignment="1">
      <alignment horizontal="center" vertical="center" wrapText="1"/>
    </xf>
    <xf numFmtId="0" fontId="3" fillId="0" borderId="16" xfId="50" applyFont="1" applyBorder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3" fontId="5" fillId="0" borderId="1" xfId="50" applyNumberFormat="1" applyFont="1" applyFill="1" applyBorder="1" applyAlignment="1">
      <alignment vertical="center"/>
    </xf>
    <xf numFmtId="3" fontId="5" fillId="0" borderId="8" xfId="50" applyNumberFormat="1" applyFont="1" applyFill="1" applyBorder="1" applyAlignment="1">
      <alignment vertical="center"/>
    </xf>
    <xf numFmtId="3" fontId="5" fillId="0" borderId="1" xfId="50" applyNumberFormat="1" applyFont="1" applyBorder="1" applyAlignment="1">
      <alignment vertical="center"/>
    </xf>
    <xf numFmtId="0" fontId="5" fillId="0" borderId="8" xfId="50" applyFont="1" applyBorder="1" applyAlignment="1">
      <alignment vertical="center"/>
    </xf>
    <xf numFmtId="0" fontId="3" fillId="0" borderId="20" xfId="50" applyFont="1" applyBorder="1" applyAlignment="1">
      <alignment vertical="center"/>
    </xf>
    <xf numFmtId="3" fontId="3" fillId="0" borderId="39" xfId="50" applyNumberFormat="1" applyFont="1" applyBorder="1" applyAlignment="1">
      <alignment vertical="center"/>
    </xf>
    <xf numFmtId="3" fontId="3" fillId="0" borderId="21" xfId="50" applyNumberFormat="1" applyFont="1" applyBorder="1" applyAlignment="1">
      <alignment vertical="center"/>
    </xf>
    <xf numFmtId="0" fontId="5" fillId="0" borderId="23" xfId="50" applyFont="1" applyBorder="1" applyAlignment="1">
      <alignment vertical="center"/>
    </xf>
    <xf numFmtId="0" fontId="5" fillId="0" borderId="2" xfId="50" applyFont="1" applyBorder="1" applyAlignment="1">
      <alignment vertical="center"/>
    </xf>
    <xf numFmtId="0" fontId="3" fillId="0" borderId="17" xfId="50" applyFont="1" applyBorder="1" applyAlignment="1">
      <alignment horizontal="center" vertical="center" wrapText="1"/>
    </xf>
    <xf numFmtId="3" fontId="5" fillId="0" borderId="19" xfId="50" applyNumberFormat="1" applyFont="1" applyFill="1" applyBorder="1" applyAlignment="1">
      <alignment vertical="center"/>
    </xf>
    <xf numFmtId="0" fontId="5" fillId="0" borderId="0" xfId="50" applyFont="1" applyFill="1" applyBorder="1" applyAlignment="1">
      <alignment vertical="center"/>
    </xf>
    <xf numFmtId="3" fontId="5" fillId="0" borderId="19" xfId="50" applyNumberFormat="1" applyFont="1" applyBorder="1" applyAlignment="1">
      <alignment vertical="center"/>
    </xf>
    <xf numFmtId="3" fontId="3" fillId="0" borderId="22" xfId="50" applyNumberFormat="1" applyFont="1" applyBorder="1" applyAlignment="1">
      <alignment vertical="center"/>
    </xf>
    <xf numFmtId="0" fontId="5" fillId="0" borderId="15" xfId="50" applyFont="1" applyBorder="1" applyAlignment="1">
      <alignment vertical="center"/>
    </xf>
    <xf numFmtId="0" fontId="5" fillId="0" borderId="16" xfId="50" applyFont="1" applyBorder="1" applyAlignment="1">
      <alignment vertical="center"/>
    </xf>
    <xf numFmtId="3" fontId="5" fillId="0" borderId="17" xfId="50" applyNumberFormat="1" applyFont="1" applyBorder="1" applyAlignment="1">
      <alignment vertical="center"/>
    </xf>
    <xf numFmtId="3" fontId="5" fillId="0" borderId="24" xfId="50" applyNumberFormat="1" applyFont="1" applyBorder="1" applyAlignment="1">
      <alignment vertical="center"/>
    </xf>
    <xf numFmtId="3" fontId="5" fillId="0" borderId="63" xfId="50" applyNumberFormat="1" applyFont="1" applyBorder="1" applyAlignment="1">
      <alignment vertical="center"/>
    </xf>
    <xf numFmtId="3" fontId="5" fillId="0" borderId="9" xfId="50" applyNumberFormat="1" applyFont="1" applyBorder="1" applyAlignment="1">
      <alignment vertical="center"/>
    </xf>
    <xf numFmtId="3" fontId="5" fillId="0" borderId="19" xfId="50" applyNumberFormat="1" applyFont="1" applyBorder="1"/>
    <xf numFmtId="3" fontId="3" fillId="0" borderId="19" xfId="50" applyNumberFormat="1" applyFont="1" applyBorder="1"/>
    <xf numFmtId="3" fontId="3" fillId="0" borderId="22" xfId="50" applyNumberFormat="1" applyFont="1" applyBorder="1"/>
    <xf numFmtId="3" fontId="31" fillId="0" borderId="0" xfId="98" applyNumberFormat="1" applyFont="1" applyBorder="1"/>
    <xf numFmtId="3" fontId="32" fillId="0" borderId="1" xfId="0" applyNumberFormat="1" applyFont="1" applyBorder="1" applyAlignment="1">
      <alignment vertical="center"/>
    </xf>
    <xf numFmtId="3" fontId="31" fillId="0" borderId="14" xfId="0" applyNumberFormat="1" applyFont="1" applyBorder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167" fontId="31" fillId="0" borderId="2" xfId="98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167" fontId="31" fillId="0" borderId="1" xfId="98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5" fillId="0" borderId="0" xfId="43" applyFont="1"/>
    <xf numFmtId="0" fontId="5" fillId="0" borderId="0" xfId="43" applyFont="1" applyFill="1"/>
    <xf numFmtId="0" fontId="71" fillId="0" borderId="0" xfId="43" applyFont="1"/>
    <xf numFmtId="0" fontId="5" fillId="0" borderId="18" xfId="43" applyFont="1" applyFill="1" applyBorder="1" applyAlignment="1">
      <alignment vertical="center"/>
    </xf>
    <xf numFmtId="0" fontId="5" fillId="0" borderId="1" xfId="43" applyFont="1" applyFill="1" applyBorder="1" applyAlignment="1">
      <alignment horizontal="right" wrapText="1"/>
    </xf>
    <xf numFmtId="0" fontId="3" fillId="0" borderId="1" xfId="43" applyFont="1" applyFill="1" applyBorder="1" applyAlignment="1">
      <alignment horizontal="right" wrapText="1"/>
    </xf>
    <xf numFmtId="3" fontId="3" fillId="32" borderId="1" xfId="43" applyNumberFormat="1" applyFont="1" applyFill="1" applyBorder="1" applyAlignment="1">
      <alignment horizontal="right"/>
    </xf>
    <xf numFmtId="3" fontId="5" fillId="0" borderId="1" xfId="43" applyNumberFormat="1" applyFont="1" applyFill="1" applyBorder="1" applyAlignment="1">
      <alignment horizontal="right"/>
    </xf>
    <xf numFmtId="3" fontId="3" fillId="0" borderId="1" xfId="43" applyNumberFormat="1" applyFont="1" applyFill="1" applyBorder="1" applyAlignment="1">
      <alignment horizontal="right" wrapText="1"/>
    </xf>
    <xf numFmtId="3" fontId="5" fillId="0" borderId="1" xfId="43" applyNumberFormat="1" applyFont="1" applyFill="1" applyBorder="1" applyAlignment="1">
      <alignment horizontal="right" wrapText="1"/>
    </xf>
    <xf numFmtId="3" fontId="3" fillId="32" borderId="19" xfId="43" applyNumberFormat="1" applyFont="1" applyFill="1" applyBorder="1" applyAlignment="1">
      <alignment horizontal="right"/>
    </xf>
    <xf numFmtId="0" fontId="32" fillId="21" borderId="1" xfId="0" applyFont="1" applyFill="1" applyBorder="1" applyAlignment="1" applyProtection="1"/>
    <xf numFmtId="49" fontId="5" fillId="0" borderId="1" xfId="43" applyNumberFormat="1" applyFont="1" applyFill="1" applyBorder="1" applyAlignment="1">
      <alignment horizontal="right"/>
    </xf>
    <xf numFmtId="3" fontId="69" fillId="0" borderId="1" xfId="43" applyNumberFormat="1" applyFont="1" applyFill="1" applyBorder="1" applyAlignment="1">
      <alignment horizontal="right" wrapText="1"/>
    </xf>
    <xf numFmtId="49" fontId="5" fillId="0" borderId="1" xfId="43" applyNumberFormat="1" applyFont="1" applyFill="1" applyBorder="1" applyAlignment="1">
      <alignment horizontal="right" wrapText="1"/>
    </xf>
    <xf numFmtId="0" fontId="5" fillId="0" borderId="1" xfId="43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 wrapText="1"/>
    </xf>
    <xf numFmtId="3" fontId="69" fillId="0" borderId="1" xfId="43" applyNumberFormat="1" applyFont="1" applyBorder="1" applyAlignment="1">
      <alignment horizontal="right" wrapText="1"/>
    </xf>
    <xf numFmtId="3" fontId="71" fillId="0" borderId="1" xfId="43" applyNumberFormat="1" applyFont="1" applyBorder="1" applyAlignment="1">
      <alignment horizontal="right" wrapText="1"/>
    </xf>
    <xf numFmtId="3" fontId="3" fillId="0" borderId="1" xfId="43" applyNumberFormat="1" applyFont="1" applyBorder="1" applyAlignment="1">
      <alignment horizontal="right" wrapText="1"/>
    </xf>
    <xf numFmtId="0" fontId="32" fillId="21" borderId="1" xfId="0" applyFont="1" applyFill="1" applyBorder="1" applyAlignment="1" applyProtection="1">
      <alignment wrapText="1"/>
    </xf>
    <xf numFmtId="49" fontId="5" fillId="0" borderId="1" xfId="43" applyNumberFormat="1" applyFont="1" applyBorder="1" applyAlignment="1">
      <alignment horizontal="right" wrapText="1"/>
    </xf>
    <xf numFmtId="3" fontId="5" fillId="0" borderId="1" xfId="43" applyNumberFormat="1" applyFont="1" applyBorder="1" applyAlignment="1">
      <alignment horizontal="right"/>
    </xf>
    <xf numFmtId="49" fontId="5" fillId="0" borderId="1" xfId="43" applyNumberFormat="1" applyFont="1" applyBorder="1" applyAlignment="1">
      <alignment horizontal="right"/>
    </xf>
    <xf numFmtId="3" fontId="7" fillId="0" borderId="1" xfId="43" applyNumberFormat="1" applyFont="1" applyBorder="1" applyAlignment="1">
      <alignment horizontal="right"/>
    </xf>
    <xf numFmtId="3" fontId="3" fillId="0" borderId="1" xfId="43" applyNumberFormat="1" applyFont="1" applyBorder="1" applyAlignment="1">
      <alignment horizontal="right"/>
    </xf>
    <xf numFmtId="0" fontId="5" fillId="0" borderId="1" xfId="43" applyFont="1" applyBorder="1" applyAlignment="1">
      <alignment horizontal="right"/>
    </xf>
    <xf numFmtId="0" fontId="5" fillId="0" borderId="1" xfId="43" applyFont="1" applyFill="1" applyBorder="1" applyAlignment="1">
      <alignment horizontal="right"/>
    </xf>
    <xf numFmtId="0" fontId="3" fillId="0" borderId="20" xfId="43" applyFont="1" applyBorder="1"/>
    <xf numFmtId="0" fontId="3" fillId="0" borderId="21" xfId="43" applyFont="1" applyBorder="1"/>
    <xf numFmtId="0" fontId="3" fillId="0" borderId="21" xfId="43" applyFont="1" applyBorder="1" applyAlignment="1">
      <alignment horizontal="right"/>
    </xf>
    <xf numFmtId="3" fontId="3" fillId="32" borderId="21" xfId="43" applyNumberFormat="1" applyFont="1" applyFill="1" applyBorder="1" applyAlignment="1">
      <alignment horizontal="right"/>
    </xf>
    <xf numFmtId="3" fontId="3" fillId="0" borderId="21" xfId="43" applyNumberFormat="1" applyFont="1" applyFill="1" applyBorder="1" applyAlignment="1">
      <alignment horizontal="right"/>
    </xf>
    <xf numFmtId="3" fontId="3" fillId="32" borderId="22" xfId="43" applyNumberFormat="1" applyFont="1" applyFill="1" applyBorder="1" applyAlignment="1">
      <alignment horizontal="right"/>
    </xf>
    <xf numFmtId="0" fontId="3" fillId="0" borderId="0" xfId="43" applyFont="1"/>
    <xf numFmtId="0" fontId="5" fillId="0" borderId="0" xfId="43" applyFont="1" applyAlignment="1">
      <alignment horizontal="center" vertical="center"/>
    </xf>
    <xf numFmtId="0" fontId="71" fillId="0" borderId="1" xfId="43" applyFont="1" applyBorder="1" applyAlignment="1">
      <alignment horizontal="center" vertical="center"/>
    </xf>
    <xf numFmtId="0" fontId="5" fillId="0" borderId="18" xfId="43" applyFont="1" applyBorder="1"/>
    <xf numFmtId="0" fontId="5" fillId="0" borderId="1" xfId="43" applyFont="1" applyBorder="1"/>
    <xf numFmtId="3" fontId="5" fillId="0" borderId="1" xfId="43" applyNumberFormat="1" applyFont="1" applyBorder="1"/>
    <xf numFmtId="3" fontId="3" fillId="31" borderId="1" xfId="43" applyNumberFormat="1" applyFont="1" applyFill="1" applyBorder="1"/>
    <xf numFmtId="3" fontId="5" fillId="0" borderId="1" xfId="43" applyNumberFormat="1" applyFont="1" applyFill="1" applyBorder="1"/>
    <xf numFmtId="3" fontId="3" fillId="32" borderId="19" xfId="43" applyNumberFormat="1" applyFont="1" applyFill="1" applyBorder="1"/>
    <xf numFmtId="0" fontId="57" fillId="0" borderId="0" xfId="43"/>
    <xf numFmtId="0" fontId="57" fillId="0" borderId="37" xfId="43" applyBorder="1"/>
    <xf numFmtId="0" fontId="76" fillId="0" borderId="1" xfId="43" applyFont="1" applyBorder="1"/>
    <xf numFmtId="0" fontId="75" fillId="0" borderId="1" xfId="43" applyFont="1" applyBorder="1" applyAlignment="1">
      <alignment horizontal="center" wrapText="1"/>
    </xf>
    <xf numFmtId="0" fontId="75" fillId="0" borderId="1" xfId="43" applyFont="1" applyBorder="1" applyAlignment="1">
      <alignment horizontal="center"/>
    </xf>
    <xf numFmtId="0" fontId="75" fillId="31" borderId="1" xfId="43" applyFont="1" applyFill="1" applyBorder="1" applyAlignment="1">
      <alignment horizontal="center" wrapText="1"/>
    </xf>
    <xf numFmtId="0" fontId="75" fillId="31" borderId="19" xfId="43" applyFont="1" applyFill="1" applyBorder="1" applyAlignment="1">
      <alignment horizontal="center" wrapText="1"/>
    </xf>
    <xf numFmtId="3" fontId="57" fillId="0" borderId="1" xfId="43" applyNumberFormat="1" applyFont="1" applyBorder="1" applyAlignment="1">
      <alignment horizontal="right"/>
    </xf>
    <xf numFmtId="49" fontId="57" fillId="0" borderId="20" xfId="43" applyNumberFormat="1" applyBorder="1" applyAlignment="1">
      <alignment horizontal="center"/>
    </xf>
    <xf numFmtId="0" fontId="77" fillId="0" borderId="21" xfId="43" applyFont="1" applyBorder="1"/>
    <xf numFmtId="0" fontId="57" fillId="0" borderId="21" xfId="43" applyBorder="1"/>
    <xf numFmtId="3" fontId="77" fillId="0" borderId="21" xfId="43" applyNumberFormat="1" applyFont="1" applyBorder="1"/>
    <xf numFmtId="3" fontId="77" fillId="0" borderId="22" xfId="43" applyNumberFormat="1" applyFont="1" applyBorder="1"/>
    <xf numFmtId="3" fontId="77" fillId="0" borderId="39" xfId="43" applyNumberFormat="1" applyFont="1" applyBorder="1"/>
    <xf numFmtId="0" fontId="57" fillId="0" borderId="0" xfId="43" applyBorder="1"/>
    <xf numFmtId="3" fontId="78" fillId="33" borderId="0" xfId="0" applyNumberFormat="1" applyFont="1" applyFill="1" applyBorder="1" applyAlignment="1" applyProtection="1">
      <alignment horizontal="right" vertical="center" wrapText="1" shrinkToFit="1"/>
    </xf>
    <xf numFmtId="3" fontId="57" fillId="0" borderId="0" xfId="43" applyNumberFormat="1" applyBorder="1"/>
    <xf numFmtId="0" fontId="77" fillId="0" borderId="0" xfId="43" applyFont="1"/>
    <xf numFmtId="0" fontId="3" fillId="0" borderId="1" xfId="43" applyFont="1" applyBorder="1"/>
    <xf numFmtId="3" fontId="3" fillId="0" borderId="1" xfId="43" applyNumberFormat="1" applyFont="1" applyBorder="1"/>
    <xf numFmtId="3" fontId="3" fillId="0" borderId="1" xfId="43" applyNumberFormat="1" applyFont="1" applyFill="1" applyBorder="1"/>
    <xf numFmtId="3" fontId="3" fillId="0" borderId="19" xfId="43" applyNumberFormat="1" applyFont="1" applyFill="1" applyBorder="1"/>
    <xf numFmtId="0" fontId="5" fillId="0" borderId="19" xfId="43" applyFont="1" applyBorder="1"/>
    <xf numFmtId="3" fontId="3" fillId="0" borderId="19" xfId="43" applyNumberFormat="1" applyFont="1" applyBorder="1"/>
    <xf numFmtId="0" fontId="3" fillId="0" borderId="19" xfId="43" applyFont="1" applyBorder="1"/>
    <xf numFmtId="0" fontId="5" fillId="0" borderId="20" xfId="43" applyFont="1" applyBorder="1"/>
    <xf numFmtId="3" fontId="3" fillId="34" borderId="21" xfId="43" applyNumberFormat="1" applyFont="1" applyFill="1" applyBorder="1"/>
    <xf numFmtId="1" fontId="36" fillId="0" borderId="1" xfId="0" applyNumberFormat="1" applyFont="1" applyBorder="1"/>
    <xf numFmtId="0" fontId="38" fillId="0" borderId="3" xfId="0" applyFont="1" applyBorder="1" applyAlignment="1">
      <alignment horizontal="right" vertical="center"/>
    </xf>
    <xf numFmtId="0" fontId="39" fillId="0" borderId="3" xfId="0" applyFont="1" applyBorder="1" applyAlignment="1">
      <alignment horizontal="right" vertical="center"/>
    </xf>
    <xf numFmtId="0" fontId="39" fillId="0" borderId="4" xfId="0" applyFont="1" applyBorder="1" applyAlignment="1">
      <alignment horizontal="left" vertical="center" wrapText="1"/>
    </xf>
    <xf numFmtId="3" fontId="36" fillId="0" borderId="13" xfId="98" applyNumberFormat="1" applyFont="1" applyFill="1" applyBorder="1" applyAlignment="1">
      <alignment horizontal="right" vertical="center"/>
    </xf>
    <xf numFmtId="0" fontId="36" fillId="0" borderId="4" xfId="0" applyFont="1" applyBorder="1"/>
    <xf numFmtId="0" fontId="36" fillId="0" borderId="3" xfId="0" applyFont="1" applyBorder="1"/>
    <xf numFmtId="0" fontId="36" fillId="0" borderId="8" xfId="0" applyFont="1" applyBorder="1"/>
    <xf numFmtId="0" fontId="74" fillId="0" borderId="0" xfId="43" applyFont="1" applyAlignment="1">
      <alignment horizontal="center"/>
    </xf>
    <xf numFmtId="0" fontId="75" fillId="0" borderId="26" xfId="43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right"/>
    </xf>
    <xf numFmtId="3" fontId="3" fillId="34" borderId="22" xfId="43" applyNumberFormat="1" applyFont="1" applyFill="1" applyBorder="1"/>
    <xf numFmtId="0" fontId="71" fillId="0" borderId="1" xfId="43" applyFont="1" applyBorder="1" applyAlignment="1">
      <alignment horizontal="center" vertical="center" wrapText="1"/>
    </xf>
    <xf numFmtId="0" fontId="76" fillId="0" borderId="1" xfId="43" applyFont="1" applyBorder="1" applyAlignment="1">
      <alignment horizontal="center" vertical="center" wrapText="1"/>
    </xf>
    <xf numFmtId="0" fontId="75" fillId="0" borderId="16" xfId="43" applyFont="1" applyBorder="1" applyAlignment="1">
      <alignment horizontal="center" vertical="center"/>
    </xf>
    <xf numFmtId="0" fontId="39" fillId="0" borderId="1" xfId="0" applyFont="1" applyBorder="1"/>
    <xf numFmtId="0" fontId="7" fillId="0" borderId="1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vertical="center"/>
    </xf>
    <xf numFmtId="3" fontId="5" fillId="0" borderId="88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3" fontId="5" fillId="0" borderId="99" xfId="0" applyNumberFormat="1" applyFont="1" applyBorder="1" applyAlignment="1">
      <alignment horizontal="right" vertical="center" wrapText="1"/>
    </xf>
    <xf numFmtId="3" fontId="5" fillId="0" borderId="99" xfId="0" applyNumberFormat="1" applyFont="1" applyBorder="1" applyAlignment="1">
      <alignment horizontal="center" vertical="center" wrapText="1"/>
    </xf>
    <xf numFmtId="3" fontId="3" fillId="0" borderId="100" xfId="0" applyNumberFormat="1" applyFont="1" applyBorder="1" applyAlignment="1">
      <alignment horizontal="right" vertical="center"/>
    </xf>
    <xf numFmtId="0" fontId="5" fillId="0" borderId="1" xfId="43" applyFont="1" applyFill="1" applyBorder="1"/>
    <xf numFmtId="0" fontId="5" fillId="0" borderId="1" xfId="43" applyNumberFormat="1" applyFont="1" applyBorder="1" applyAlignment="1">
      <alignment horizontal="right"/>
    </xf>
    <xf numFmtId="0" fontId="31" fillId="21" borderId="21" xfId="0" applyFont="1" applyFill="1" applyBorder="1" applyAlignment="1" applyProtection="1"/>
    <xf numFmtId="0" fontId="5" fillId="0" borderId="21" xfId="43" applyFont="1" applyBorder="1"/>
    <xf numFmtId="3" fontId="3" fillId="0" borderId="21" xfId="43" applyNumberFormat="1" applyFont="1" applyBorder="1"/>
    <xf numFmtId="3" fontId="3" fillId="31" borderId="21" xfId="43" applyNumberFormat="1" applyFont="1" applyFill="1" applyBorder="1"/>
    <xf numFmtId="3" fontId="3" fillId="32" borderId="22" xfId="43" applyNumberFormat="1" applyFont="1" applyFill="1" applyBorder="1"/>
    <xf numFmtId="49" fontId="57" fillId="0" borderId="18" xfId="43" applyNumberFormat="1" applyFont="1" applyBorder="1" applyAlignment="1">
      <alignment horizontal="center"/>
    </xf>
    <xf numFmtId="0" fontId="57" fillId="0" borderId="1" xfId="43" applyFont="1" applyBorder="1" applyAlignment="1">
      <alignment horizontal="left"/>
    </xf>
    <xf numFmtId="0" fontId="57" fillId="0" borderId="1" xfId="43" applyBorder="1"/>
    <xf numFmtId="0" fontId="57" fillId="31" borderId="1" xfId="43" applyFont="1" applyFill="1" applyBorder="1" applyAlignment="1">
      <alignment horizontal="right" wrapText="1"/>
    </xf>
    <xf numFmtId="3" fontId="57" fillId="31" borderId="19" xfId="43" applyNumberFormat="1" applyFont="1" applyFill="1" applyBorder="1" applyAlignment="1">
      <alignment horizontal="right"/>
    </xf>
    <xf numFmtId="3" fontId="57" fillId="31" borderId="1" xfId="43" applyNumberFormat="1" applyFont="1" applyFill="1" applyBorder="1" applyAlignment="1">
      <alignment horizontal="right"/>
    </xf>
    <xf numFmtId="0" fontId="3" fillId="34" borderId="21" xfId="43" applyFont="1" applyFill="1" applyBorder="1"/>
    <xf numFmtId="3" fontId="31" fillId="0" borderId="13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9" fontId="17" fillId="0" borderId="18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center" vertical="center" wrapText="1"/>
    </xf>
    <xf numFmtId="3" fontId="5" fillId="0" borderId="41" xfId="0" applyNumberFormat="1" applyFont="1" applyBorder="1" applyAlignment="1">
      <alignment horizontal="center" vertical="center"/>
    </xf>
    <xf numFmtId="0" fontId="36" fillId="0" borderId="51" xfId="0" applyFont="1" applyBorder="1" applyAlignment="1">
      <alignment vertical="center"/>
    </xf>
    <xf numFmtId="3" fontId="36" fillId="0" borderId="51" xfId="0" applyNumberFormat="1" applyFont="1" applyBorder="1" applyAlignment="1">
      <alignment horizontal="center" vertical="center"/>
    </xf>
    <xf numFmtId="0" fontId="5" fillId="0" borderId="33" xfId="0" applyFont="1" applyFill="1" applyBorder="1" applyAlignment="1">
      <alignment vertical="center"/>
    </xf>
    <xf numFmtId="3" fontId="5" fillId="0" borderId="55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left" vertical="center"/>
    </xf>
    <xf numFmtId="167" fontId="31" fillId="0" borderId="1" xfId="98" applyNumberFormat="1" applyFont="1" applyBorder="1" applyAlignment="1">
      <alignment horizontal="right" vertical="center"/>
    </xf>
    <xf numFmtId="0" fontId="32" fillId="0" borderId="1" xfId="0" applyFont="1" applyBorder="1" applyAlignment="1">
      <alignment vertical="center"/>
    </xf>
    <xf numFmtId="167" fontId="31" fillId="0" borderId="1" xfId="98" applyNumberFormat="1" applyFont="1" applyFill="1" applyBorder="1" applyAlignment="1">
      <alignment horizontal="right" vertical="center"/>
    </xf>
    <xf numFmtId="167" fontId="31" fillId="0" borderId="1" xfId="0" applyNumberFormat="1" applyFont="1" applyBorder="1" applyAlignment="1">
      <alignment vertical="center"/>
    </xf>
    <xf numFmtId="167" fontId="31" fillId="0" borderId="2" xfId="98" applyNumberFormat="1" applyFont="1" applyBorder="1" applyAlignment="1">
      <alignment horizontal="right" vertical="center"/>
    </xf>
    <xf numFmtId="0" fontId="32" fillId="0" borderId="4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167" fontId="31" fillId="0" borderId="1" xfId="98" applyNumberFormat="1" applyFont="1" applyBorder="1" applyAlignment="1">
      <alignment vertical="center"/>
    </xf>
    <xf numFmtId="0" fontId="32" fillId="0" borderId="6" xfId="0" applyFont="1" applyBorder="1" applyAlignment="1">
      <alignment horizontal="left" vertical="center"/>
    </xf>
    <xf numFmtId="167" fontId="32" fillId="0" borderId="6" xfId="98" applyNumberFormat="1" applyFont="1" applyBorder="1" applyAlignment="1">
      <alignment vertical="center"/>
    </xf>
    <xf numFmtId="0" fontId="32" fillId="0" borderId="36" xfId="0" applyFont="1" applyBorder="1" applyAlignment="1">
      <alignment vertical="center"/>
    </xf>
    <xf numFmtId="167" fontId="32" fillId="0" borderId="5" xfId="98" applyNumberFormat="1" applyFont="1" applyBorder="1" applyAlignment="1">
      <alignment vertical="center"/>
    </xf>
    <xf numFmtId="167" fontId="32" fillId="0" borderId="1" xfId="0" applyNumberFormat="1" applyFont="1" applyBorder="1" applyAlignment="1">
      <alignment vertical="center"/>
    </xf>
    <xf numFmtId="167" fontId="32" fillId="0" borderId="1" xfId="98" applyNumberFormat="1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167" fontId="31" fillId="0" borderId="2" xfId="98" applyNumberFormat="1" applyFont="1" applyBorder="1" applyAlignment="1">
      <alignment vertical="center"/>
    </xf>
    <xf numFmtId="167" fontId="32" fillId="0" borderId="4" xfId="98" applyNumberFormat="1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167" fontId="32" fillId="0" borderId="11" xfId="98" applyNumberFormat="1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167" fontId="31" fillId="0" borderId="13" xfId="98" applyNumberFormat="1" applyFont="1" applyBorder="1" applyAlignment="1">
      <alignment vertical="center"/>
    </xf>
    <xf numFmtId="3" fontId="31" fillId="0" borderId="14" xfId="0" applyNumberFormat="1" applyFont="1" applyBorder="1" applyAlignment="1">
      <alignment vertical="center"/>
    </xf>
    <xf numFmtId="0" fontId="17" fillId="0" borderId="19" xfId="0" applyFont="1" applyFill="1" applyBorder="1" applyAlignment="1">
      <alignment horizontal="right"/>
    </xf>
    <xf numFmtId="0" fontId="17" fillId="0" borderId="21" xfId="0" applyFont="1" applyFill="1" applyBorder="1"/>
    <xf numFmtId="0" fontId="17" fillId="0" borderId="22" xfId="0" applyFont="1" applyFill="1" applyBorder="1" applyAlignment="1">
      <alignment horizontal="right"/>
    </xf>
    <xf numFmtId="3" fontId="15" fillId="0" borderId="49" xfId="0" applyNumberFormat="1" applyFont="1" applyFill="1" applyBorder="1" applyAlignment="1" applyProtection="1">
      <alignment vertical="center" wrapText="1"/>
      <protection locked="0"/>
    </xf>
    <xf numFmtId="3" fontId="15" fillId="0" borderId="28" xfId="0" applyNumberFormat="1" applyFont="1" applyFill="1" applyBorder="1" applyAlignment="1" applyProtection="1">
      <alignment vertical="center" wrapText="1"/>
      <protection locked="0"/>
    </xf>
    <xf numFmtId="3" fontId="15" fillId="0" borderId="1" xfId="0" applyNumberFormat="1" applyFont="1" applyFill="1" applyBorder="1" applyAlignment="1" applyProtection="1">
      <alignment vertical="center" wrapText="1"/>
      <protection locked="0"/>
    </xf>
    <xf numFmtId="3" fontId="32" fillId="0" borderId="8" xfId="0" applyNumberFormat="1" applyFont="1" applyFill="1" applyBorder="1" applyAlignment="1" applyProtection="1">
      <alignment vertical="center" wrapText="1"/>
      <protection locked="0"/>
    </xf>
    <xf numFmtId="165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3" xfId="0" applyNumberFormat="1" applyFont="1" applyFill="1" applyBorder="1" applyAlignment="1" applyProtection="1">
      <alignment horizontal="right" vertical="center" wrapText="1"/>
    </xf>
    <xf numFmtId="165" fontId="32" fillId="0" borderId="0" xfId="0" applyNumberFormat="1" applyFont="1" applyFill="1" applyBorder="1" applyAlignment="1">
      <alignment vertical="center" wrapText="1"/>
    </xf>
    <xf numFmtId="165" fontId="3" fillId="0" borderId="12" xfId="0" applyNumberFormat="1" applyFont="1" applyFill="1" applyBorder="1" applyAlignment="1">
      <alignment horizontal="center" vertical="center" wrapText="1"/>
    </xf>
    <xf numFmtId="165" fontId="3" fillId="0" borderId="13" xfId="0" applyNumberFormat="1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 applyProtection="1">
      <alignment vertical="center" wrapText="1"/>
    </xf>
    <xf numFmtId="3" fontId="3" fillId="0" borderId="14" xfId="0" applyNumberFormat="1" applyFont="1" applyFill="1" applyBorder="1" applyAlignment="1" applyProtection="1">
      <alignment vertical="center" wrapText="1"/>
    </xf>
    <xf numFmtId="0" fontId="34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/>
    </xf>
    <xf numFmtId="3" fontId="12" fillId="0" borderId="0" xfId="2" applyNumberFormat="1" applyFont="1" applyFill="1" applyBorder="1" applyAlignment="1" applyProtection="1">
      <alignment horizontal="left" vertical="center"/>
    </xf>
    <xf numFmtId="3" fontId="11" fillId="0" borderId="0" xfId="2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3" fontId="13" fillId="0" borderId="6" xfId="0" applyNumberFormat="1" applyFont="1" applyFill="1" applyBorder="1" applyAlignment="1" applyProtection="1">
      <alignment horizontal="right" vertical="center"/>
    </xf>
    <xf numFmtId="0" fontId="21" fillId="0" borderId="0" xfId="0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right"/>
    </xf>
    <xf numFmtId="0" fontId="3" fillId="0" borderId="15" xfId="42" applyFont="1" applyBorder="1" applyAlignment="1">
      <alignment horizontal="center" vertical="center"/>
    </xf>
    <xf numFmtId="0" fontId="3" fillId="0" borderId="63" xfId="42" applyFont="1" applyBorder="1" applyAlignment="1">
      <alignment horizontal="center" vertical="center"/>
    </xf>
    <xf numFmtId="0" fontId="3" fillId="0" borderId="16" xfId="42" applyFont="1" applyBorder="1" applyAlignment="1">
      <alignment horizontal="center" vertical="center"/>
    </xf>
    <xf numFmtId="0" fontId="3" fillId="0" borderId="17" xfId="42" applyFont="1" applyBorder="1" applyAlignment="1">
      <alignment horizontal="center" vertical="center"/>
    </xf>
    <xf numFmtId="0" fontId="3" fillId="0" borderId="60" xfId="42" applyFont="1" applyBorder="1" applyAlignment="1">
      <alignment horizontal="center" vertical="center"/>
    </xf>
    <xf numFmtId="0" fontId="3" fillId="0" borderId="52" xfId="42" applyFont="1" applyBorder="1" applyAlignment="1">
      <alignment horizontal="center" vertical="center"/>
    </xf>
    <xf numFmtId="0" fontId="3" fillId="0" borderId="61" xfId="42" applyFont="1" applyBorder="1" applyAlignment="1">
      <alignment horizontal="center" vertical="center"/>
    </xf>
    <xf numFmtId="0" fontId="5" fillId="0" borderId="37" xfId="50" applyFont="1" applyBorder="1" applyAlignment="1">
      <alignment horizontal="right" vertical="center" wrapText="1"/>
    </xf>
    <xf numFmtId="0" fontId="3" fillId="0" borderId="93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98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 wrapText="1"/>
    </xf>
    <xf numFmtId="0" fontId="2" fillId="0" borderId="19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9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left"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5" fillId="0" borderId="25" xfId="1" applyFont="1" applyFill="1" applyBorder="1" applyAlignment="1">
      <alignment horizontal="left" vertical="center" wrapText="1"/>
    </xf>
    <xf numFmtId="0" fontId="5" fillId="0" borderId="26" xfId="1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4" fillId="0" borderId="60" xfId="1" applyFont="1" applyFill="1" applyBorder="1" applyAlignment="1">
      <alignment horizontal="center" vertical="center" wrapText="1"/>
    </xf>
    <xf numFmtId="0" fontId="4" fillId="0" borderId="53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3" fontId="32" fillId="0" borderId="15" xfId="0" applyNumberFormat="1" applyFont="1" applyBorder="1" applyAlignment="1">
      <alignment horizontal="center" vertical="center" wrapText="1"/>
    </xf>
    <xf numFmtId="3" fontId="32" fillId="0" borderId="16" xfId="0" applyNumberFormat="1" applyFont="1" applyBorder="1" applyAlignment="1">
      <alignment horizontal="center" vertical="center" wrapText="1"/>
    </xf>
    <xf numFmtId="3" fontId="32" fillId="0" borderId="17" xfId="0" applyNumberFormat="1" applyFont="1" applyBorder="1" applyAlignment="1">
      <alignment horizontal="center" vertical="center" wrapText="1"/>
    </xf>
    <xf numFmtId="3" fontId="32" fillId="0" borderId="63" xfId="0" applyNumberFormat="1" applyFont="1" applyBorder="1" applyAlignment="1">
      <alignment horizontal="center" vertical="center" wrapText="1"/>
    </xf>
    <xf numFmtId="3" fontId="32" fillId="0" borderId="47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13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32" fillId="0" borderId="6" xfId="0" applyFont="1" applyBorder="1" applyAlignment="1">
      <alignment horizontal="right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2" fillId="0" borderId="6" xfId="0" applyFont="1" applyBorder="1" applyAlignment="1">
      <alignment horizontal="right"/>
    </xf>
    <xf numFmtId="0" fontId="3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49" fontId="32" fillId="0" borderId="3" xfId="0" applyNumberFormat="1" applyFont="1" applyFill="1" applyBorder="1" applyAlignment="1">
      <alignment horizontal="center" vertical="center" wrapText="1"/>
    </xf>
    <xf numFmtId="49" fontId="32" fillId="0" borderId="4" xfId="0" applyNumberFormat="1" applyFont="1" applyFill="1" applyBorder="1" applyAlignment="1">
      <alignment horizontal="center" vertical="center" wrapText="1"/>
    </xf>
    <xf numFmtId="49" fontId="32" fillId="0" borderId="8" xfId="0" applyNumberFormat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49" fontId="32" fillId="0" borderId="8" xfId="0" applyNumberFormat="1" applyFont="1" applyBorder="1" applyAlignment="1">
      <alignment horizontal="center" vertical="center" wrapText="1"/>
    </xf>
    <xf numFmtId="49" fontId="31" fillId="0" borderId="3" xfId="0" applyNumberFormat="1" applyFont="1" applyBorder="1" applyAlignment="1">
      <alignment horizontal="center" vertical="center"/>
    </xf>
    <xf numFmtId="49" fontId="31" fillId="0" borderId="8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/>
    </xf>
    <xf numFmtId="49" fontId="32" fillId="0" borderId="8" xfId="0" applyNumberFormat="1" applyFont="1" applyBorder="1" applyAlignment="1">
      <alignment horizontal="center" vertical="center"/>
    </xf>
    <xf numFmtId="49" fontId="32" fillId="0" borderId="1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49" fontId="31" fillId="0" borderId="27" xfId="0" applyNumberFormat="1" applyFont="1" applyBorder="1" applyAlignment="1">
      <alignment horizontal="center"/>
    </xf>
    <xf numFmtId="49" fontId="31" fillId="0" borderId="58" xfId="0" applyNumberFormat="1" applyFont="1" applyBorder="1" applyAlignment="1">
      <alignment horizontal="center"/>
    </xf>
    <xf numFmtId="0" fontId="32" fillId="0" borderId="3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49" fontId="32" fillId="0" borderId="3" xfId="0" applyNumberFormat="1" applyFont="1" applyBorder="1" applyAlignment="1">
      <alignment horizontal="left" vertical="center" wrapText="1"/>
    </xf>
    <xf numFmtId="49" fontId="32" fillId="0" borderId="8" xfId="0" applyNumberFormat="1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49" fontId="32" fillId="0" borderId="4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31" fillId="0" borderId="3" xfId="0" applyFont="1" applyBorder="1" applyAlignment="1"/>
    <xf numFmtId="0" fontId="31" fillId="0" borderId="8" xfId="0" applyFont="1" applyBorder="1" applyAlignment="1"/>
    <xf numFmtId="0" fontId="31" fillId="0" borderId="3" xfId="0" applyFont="1" applyBorder="1" applyAlignment="1">
      <alignment horizontal="left"/>
    </xf>
    <xf numFmtId="0" fontId="31" fillId="0" borderId="4" xfId="0" applyFont="1" applyBorder="1" applyAlignment="1">
      <alignment horizontal="left"/>
    </xf>
    <xf numFmtId="0" fontId="31" fillId="0" borderId="8" xfId="0" applyFont="1" applyBorder="1" applyAlignment="1">
      <alignment horizontal="left"/>
    </xf>
    <xf numFmtId="0" fontId="32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vertical="center" wrapText="1"/>
    </xf>
    <xf numFmtId="0" fontId="2" fillId="0" borderId="8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2" fillId="0" borderId="36" xfId="1" applyFont="1" applyFill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7" fillId="0" borderId="3" xfId="0" applyFont="1" applyFill="1" applyBorder="1" applyAlignment="1">
      <alignment horizontal="left" vertical="center" wrapText="1" indent="5"/>
    </xf>
    <xf numFmtId="0" fontId="7" fillId="0" borderId="8" xfId="0" applyFont="1" applyFill="1" applyBorder="1" applyAlignment="1">
      <alignment horizontal="left" vertical="center" wrapText="1" indent="5"/>
    </xf>
    <xf numFmtId="0" fontId="5" fillId="0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8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6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right" vertical="center"/>
    </xf>
    <xf numFmtId="0" fontId="36" fillId="0" borderId="44" xfId="0" applyFont="1" applyBorder="1" applyAlignment="1">
      <alignment horizontal="left" vertical="center" wrapText="1"/>
    </xf>
    <xf numFmtId="0" fontId="36" fillId="0" borderId="58" xfId="0" applyFont="1" applyBorder="1" applyAlignment="1">
      <alignment horizontal="left" vertical="center" wrapText="1"/>
    </xf>
    <xf numFmtId="0" fontId="38" fillId="0" borderId="6" xfId="0" applyFont="1" applyBorder="1" applyAlignment="1">
      <alignment horizontal="right"/>
    </xf>
    <xf numFmtId="0" fontId="38" fillId="0" borderId="3" xfId="0" applyFont="1" applyBorder="1" applyAlignment="1">
      <alignment horizontal="left" vertical="center" wrapText="1"/>
    </xf>
    <xf numFmtId="0" fontId="38" fillId="0" borderId="8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 wrapText="1"/>
    </xf>
    <xf numFmtId="0" fontId="36" fillId="0" borderId="35" xfId="0" applyFont="1" applyBorder="1" applyAlignment="1">
      <alignment horizontal="center" vertical="center" wrapText="1"/>
    </xf>
    <xf numFmtId="0" fontId="36" fillId="0" borderId="36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right"/>
    </xf>
    <xf numFmtId="0" fontId="32" fillId="0" borderId="37" xfId="0" applyFont="1" applyBorder="1" applyAlignment="1">
      <alignment horizontal="right"/>
    </xf>
    <xf numFmtId="49" fontId="17" fillId="0" borderId="15" xfId="0" applyNumberFormat="1" applyFont="1" applyFill="1" applyBorder="1" applyAlignment="1">
      <alignment horizontal="center" vertical="center"/>
    </xf>
    <xf numFmtId="49" fontId="17" fillId="0" borderId="18" xfId="0" applyNumberFormat="1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3" fontId="23" fillId="0" borderId="12" xfId="0" applyNumberFormat="1" applyFont="1" applyFill="1" applyBorder="1" applyAlignment="1">
      <alignment horizontal="center" vertical="center"/>
    </xf>
    <xf numFmtId="3" fontId="23" fillId="0" borderId="13" xfId="0" applyNumberFormat="1" applyFont="1" applyFill="1" applyBorder="1" applyAlignment="1">
      <alignment horizontal="center" vertical="center"/>
    </xf>
    <xf numFmtId="3" fontId="23" fillId="0" borderId="44" xfId="0" applyNumberFormat="1" applyFont="1" applyFill="1" applyBorder="1" applyAlignment="1">
      <alignment horizontal="center" vertical="center"/>
    </xf>
    <xf numFmtId="3" fontId="23" fillId="0" borderId="40" xfId="0" applyNumberFormat="1" applyFont="1" applyFill="1" applyBorder="1" applyAlignment="1">
      <alignment horizontal="center" vertical="center"/>
    </xf>
    <xf numFmtId="3" fontId="23" fillId="0" borderId="33" xfId="0" applyNumberFormat="1" applyFont="1" applyFill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left" vertical="center" wrapText="1" indent="2"/>
    </xf>
    <xf numFmtId="3" fontId="14" fillId="0" borderId="14" xfId="0" applyNumberFormat="1" applyFont="1" applyFill="1" applyBorder="1" applyAlignment="1">
      <alignment horizontal="left" vertical="center" wrapText="1" indent="2"/>
    </xf>
    <xf numFmtId="3" fontId="23" fillId="0" borderId="40" xfId="0" applyNumberFormat="1" applyFont="1" applyFill="1" applyBorder="1" applyAlignment="1">
      <alignment horizontal="center" vertical="center" wrapText="1"/>
    </xf>
    <xf numFmtId="3" fontId="23" fillId="0" borderId="33" xfId="0" applyNumberFormat="1" applyFont="1" applyFill="1" applyBorder="1" applyAlignment="1">
      <alignment horizontal="center" vertical="center" wrapText="1"/>
    </xf>
    <xf numFmtId="3" fontId="23" fillId="0" borderId="61" xfId="0" applyNumberFormat="1" applyFont="1" applyFill="1" applyBorder="1" applyAlignment="1">
      <alignment horizontal="center" vertical="center"/>
    </xf>
    <xf numFmtId="3" fontId="23" fillId="0" borderId="55" xfId="0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 applyProtection="1">
      <alignment horizontal="left" vertical="center" indent="1"/>
    </xf>
    <xf numFmtId="3" fontId="3" fillId="0" borderId="19" xfId="3" applyNumberFormat="1" applyFont="1" applyFill="1" applyBorder="1" applyAlignment="1" applyProtection="1">
      <alignment horizontal="left" vertical="center" indent="1"/>
    </xf>
    <xf numFmtId="3" fontId="3" fillId="0" borderId="0" xfId="3" applyNumberFormat="1" applyFont="1" applyFill="1" applyBorder="1" applyAlignment="1" applyProtection="1">
      <alignment horizontal="left" vertical="center" indent="1"/>
    </xf>
    <xf numFmtId="0" fontId="71" fillId="0" borderId="1" xfId="43" applyFont="1" applyBorder="1" applyAlignment="1">
      <alignment horizontal="center" vertical="center" wrapText="1"/>
    </xf>
    <xf numFmtId="0" fontId="38" fillId="0" borderId="37" xfId="0" applyFont="1" applyBorder="1" applyAlignment="1">
      <alignment horizontal="right"/>
    </xf>
    <xf numFmtId="0" fontId="5" fillId="0" borderId="15" xfId="43" applyFont="1" applyBorder="1" applyAlignment="1">
      <alignment vertical="center"/>
    </xf>
    <xf numFmtId="0" fontId="5" fillId="0" borderId="18" xfId="43" applyFont="1" applyBorder="1" applyAlignment="1">
      <alignment vertical="center"/>
    </xf>
    <xf numFmtId="0" fontId="69" fillId="0" borderId="16" xfId="43" applyFont="1" applyBorder="1" applyAlignment="1">
      <alignment horizontal="center" vertical="center" wrapText="1"/>
    </xf>
    <xf numFmtId="0" fontId="69" fillId="0" borderId="1" xfId="43" applyFont="1" applyBorder="1" applyAlignment="1">
      <alignment horizontal="center" vertical="center" wrapText="1"/>
    </xf>
    <xf numFmtId="0" fontId="69" fillId="0" borderId="16" xfId="43" applyFont="1" applyBorder="1" applyAlignment="1">
      <alignment horizontal="center" vertical="center"/>
    </xf>
    <xf numFmtId="0" fontId="70" fillId="0" borderId="16" xfId="0" applyFont="1" applyBorder="1" applyAlignment="1">
      <alignment horizontal="center" vertical="center"/>
    </xf>
    <xf numFmtId="0" fontId="69" fillId="31" borderId="16" xfId="43" applyFont="1" applyFill="1" applyBorder="1" applyAlignment="1">
      <alignment horizontal="center" vertical="center" wrapText="1"/>
    </xf>
    <xf numFmtId="0" fontId="69" fillId="31" borderId="1" xfId="43" applyFont="1" applyFill="1" applyBorder="1" applyAlignment="1">
      <alignment horizontal="center" vertical="center" wrapText="1"/>
    </xf>
    <xf numFmtId="0" fontId="69" fillId="31" borderId="17" xfId="43" applyFont="1" applyFill="1" applyBorder="1" applyAlignment="1">
      <alignment horizontal="center" vertical="center" wrapText="1"/>
    </xf>
    <xf numFmtId="0" fontId="69" fillId="31" borderId="19" xfId="43" applyFont="1" applyFill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71" fillId="0" borderId="1" xfId="43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9" fillId="32" borderId="17" xfId="43" applyFont="1" applyFill="1" applyBorder="1" applyAlignment="1">
      <alignment horizontal="center" vertical="center" wrapText="1"/>
    </xf>
    <xf numFmtId="0" fontId="69" fillId="32" borderId="19" xfId="43" applyFont="1" applyFill="1" applyBorder="1" applyAlignment="1">
      <alignment horizontal="center" vertical="center" wrapText="1"/>
    </xf>
    <xf numFmtId="0" fontId="71" fillId="0" borderId="1" xfId="44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5" fillId="0" borderId="96" xfId="43" applyFont="1" applyBorder="1" applyAlignment="1">
      <alignment horizontal="center" vertical="center" wrapText="1"/>
    </xf>
    <xf numFmtId="0" fontId="75" fillId="0" borderId="26" xfId="43" applyFont="1" applyBorder="1" applyAlignment="1">
      <alignment horizontal="center" vertical="center" wrapText="1"/>
    </xf>
    <xf numFmtId="0" fontId="75" fillId="0" borderId="97" xfId="43" applyFont="1" applyBorder="1" applyAlignment="1">
      <alignment horizontal="center" vertical="center" wrapText="1"/>
    </xf>
    <xf numFmtId="0" fontId="76" fillId="0" borderId="1" xfId="43" applyFont="1" applyBorder="1" applyAlignment="1">
      <alignment horizontal="center" vertical="center" wrapText="1"/>
    </xf>
    <xf numFmtId="0" fontId="16" fillId="0" borderId="1" xfId="44" applyBorder="1" applyAlignment="1">
      <alignment horizontal="center" vertical="center" wrapText="1"/>
    </xf>
    <xf numFmtId="0" fontId="76" fillId="0" borderId="1" xfId="43" applyFont="1" applyBorder="1" applyAlignment="1">
      <alignment vertical="center" wrapText="1"/>
    </xf>
    <xf numFmtId="0" fontId="57" fillId="0" borderId="15" xfId="43" applyFont="1" applyBorder="1" applyAlignment="1">
      <alignment vertical="center"/>
    </xf>
    <xf numFmtId="0" fontId="57" fillId="0" borderId="18" xfId="43" applyBorder="1" applyAlignment="1">
      <alignment vertical="center"/>
    </xf>
    <xf numFmtId="0" fontId="75" fillId="0" borderId="16" xfId="43" applyFont="1" applyBorder="1" applyAlignment="1">
      <alignment horizontal="center" vertical="center" wrapText="1"/>
    </xf>
    <xf numFmtId="0" fontId="75" fillId="0" borderId="1" xfId="43" applyFont="1" applyBorder="1" applyAlignment="1">
      <alignment horizontal="center" vertical="center" wrapText="1"/>
    </xf>
    <xf numFmtId="0" fontId="75" fillId="0" borderId="16" xfId="43" applyFont="1" applyBorder="1" applyAlignment="1">
      <alignment horizontal="center" vertical="center"/>
    </xf>
    <xf numFmtId="0" fontId="76" fillId="0" borderId="1" xfId="44" applyFont="1" applyBorder="1" applyAlignment="1">
      <alignment horizontal="center" vertical="center" wrapText="1"/>
    </xf>
    <xf numFmtId="0" fontId="75" fillId="31" borderId="16" xfId="43" applyFont="1" applyFill="1" applyBorder="1" applyAlignment="1">
      <alignment horizontal="center" vertical="center" wrapText="1"/>
    </xf>
    <xf numFmtId="0" fontId="75" fillId="31" borderId="1" xfId="43" applyFont="1" applyFill="1" applyBorder="1" applyAlignment="1">
      <alignment horizontal="center" vertical="center" wrapText="1"/>
    </xf>
    <xf numFmtId="0" fontId="75" fillId="31" borderId="17" xfId="43" applyFont="1" applyFill="1" applyBorder="1" applyAlignment="1">
      <alignment horizontal="center" vertical="center" wrapText="1"/>
    </xf>
    <xf numFmtId="0" fontId="75" fillId="31" borderId="19" xfId="43" applyFont="1" applyFill="1" applyBorder="1" applyAlignment="1">
      <alignment horizontal="center" vertical="center" wrapText="1"/>
    </xf>
    <xf numFmtId="0" fontId="18" fillId="0" borderId="1" xfId="44" applyFont="1" applyBorder="1" applyAlignment="1">
      <alignment horizontal="center" vertical="center" wrapText="1"/>
    </xf>
    <xf numFmtId="0" fontId="57" fillId="0" borderId="18" xfId="43" applyFont="1" applyBorder="1" applyAlignment="1">
      <alignment vertical="center"/>
    </xf>
    <xf numFmtId="0" fontId="69" fillId="0" borderId="16" xfId="43" applyFont="1" applyFill="1" applyBorder="1" applyAlignment="1">
      <alignment horizontal="center" vertical="center" wrapText="1"/>
    </xf>
    <xf numFmtId="0" fontId="69" fillId="0" borderId="1" xfId="43" applyFont="1" applyFill="1" applyBorder="1" applyAlignment="1">
      <alignment horizontal="center" vertical="center" wrapText="1"/>
    </xf>
    <xf numFmtId="0" fontId="5" fillId="0" borderId="16" xfId="44" applyFont="1" applyBorder="1" applyAlignment="1">
      <alignment horizontal="center" vertical="center"/>
    </xf>
    <xf numFmtId="0" fontId="69" fillId="0" borderId="17" xfId="43" applyFont="1" applyFill="1" applyBorder="1" applyAlignment="1">
      <alignment horizontal="center" vertical="center" wrapText="1"/>
    </xf>
    <xf numFmtId="0" fontId="69" fillId="0" borderId="19" xfId="43" applyFont="1" applyFill="1" applyBorder="1" applyAlignment="1">
      <alignment horizontal="center" vertical="center" wrapText="1"/>
    </xf>
    <xf numFmtId="0" fontId="71" fillId="0" borderId="1" xfId="43" applyFont="1" applyFill="1" applyBorder="1" applyAlignment="1">
      <alignment horizontal="center" vertical="center" wrapText="1"/>
    </xf>
  </cellXfs>
  <cellStyles count="99">
    <cellStyle name="20% - 1. jelölőszín 2" xfId="4"/>
    <cellStyle name="20% - 2. jelölőszín 2" xfId="5"/>
    <cellStyle name="20% - 3. jelölőszín 2" xfId="6"/>
    <cellStyle name="20% - 4. jelölőszín 2" xfId="7"/>
    <cellStyle name="20% - 5. jelölőszín 2" xfId="8"/>
    <cellStyle name="20% - 6. jelölőszín 2" xfId="9"/>
    <cellStyle name="20% - Accent1" xfId="57"/>
    <cellStyle name="20% - Accent2" xfId="58"/>
    <cellStyle name="20% - Accent3" xfId="59"/>
    <cellStyle name="20% - Accent4" xfId="60"/>
    <cellStyle name="20% - Accent5" xfId="61"/>
    <cellStyle name="20% - Accent6" xfId="62"/>
    <cellStyle name="40% - 1. jelölőszín 2" xfId="10"/>
    <cellStyle name="40% - 2. jelölőszín 2" xfId="11"/>
    <cellStyle name="40% - 3. jelölőszín 2" xfId="12"/>
    <cellStyle name="40% - 4. jelölőszín 2" xfId="13"/>
    <cellStyle name="40% - 5. jelölőszín 2" xfId="14"/>
    <cellStyle name="40% - 6. jelölőszín 2" xfId="15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60% - 1. jelölőszín 2" xfId="16"/>
    <cellStyle name="60% - 2. jelölőszín 2" xfId="17"/>
    <cellStyle name="60% - 3. jelölőszín 2" xfId="18"/>
    <cellStyle name="60% - 4. jelölőszín 2" xfId="19"/>
    <cellStyle name="60% - 5. jelölőszín 2" xfId="20"/>
    <cellStyle name="60% - 6. jelölőszín 2" xfId="21"/>
    <cellStyle name="60% - Accent1" xfId="69"/>
    <cellStyle name="60% - Accent2" xfId="70"/>
    <cellStyle name="60% - Accent3" xfId="71"/>
    <cellStyle name="60% - Accent4" xfId="72"/>
    <cellStyle name="60% - Accent5" xfId="73"/>
    <cellStyle name="60% - Accent6" xfId="74"/>
    <cellStyle name="Accent1" xfId="75"/>
    <cellStyle name="Accent2" xfId="76"/>
    <cellStyle name="Accent3" xfId="77"/>
    <cellStyle name="Accent4" xfId="78"/>
    <cellStyle name="Accent5" xfId="79"/>
    <cellStyle name="Accent6" xfId="80"/>
    <cellStyle name="Bad" xfId="81"/>
    <cellStyle name="Bevitel 2" xfId="22"/>
    <cellStyle name="Calculation" xfId="82"/>
    <cellStyle name="Check Cell" xfId="83"/>
    <cellStyle name="Cím 2" xfId="23"/>
    <cellStyle name="Címsor 1 2" xfId="24"/>
    <cellStyle name="Címsor 2 2" xfId="25"/>
    <cellStyle name="Címsor 3 2" xfId="26"/>
    <cellStyle name="Címsor 4 2" xfId="27"/>
    <cellStyle name="Ellenőrzőcella 2" xfId="28"/>
    <cellStyle name="Explanatory Text" xfId="84"/>
    <cellStyle name="Ezres" xfId="98" builtinId="3"/>
    <cellStyle name="Ezres 2" xfId="56"/>
    <cellStyle name="Figyelmeztetés 2" xfId="29"/>
    <cellStyle name="Good" xfId="85"/>
    <cellStyle name="Heading 1" xfId="86"/>
    <cellStyle name="Heading 2" xfId="87"/>
    <cellStyle name="Heading 3" xfId="88"/>
    <cellStyle name="Heading 4" xfId="89"/>
    <cellStyle name="Hivatkozott cella 2" xfId="30"/>
    <cellStyle name="Input" xfId="90"/>
    <cellStyle name="Jegyzet 2" xfId="31"/>
    <cellStyle name="Jelölőszín (1) 2" xfId="32"/>
    <cellStyle name="Jelölőszín (2) 2" xfId="33"/>
    <cellStyle name="Jelölőszín (3) 2" xfId="34"/>
    <cellStyle name="Jelölőszín (4) 2" xfId="35"/>
    <cellStyle name="Jelölőszín (5) 2" xfId="36"/>
    <cellStyle name="Jelölőszín (6) 2" xfId="37"/>
    <cellStyle name="Jó 2" xfId="38"/>
    <cellStyle name="Kimenet 2" xfId="39"/>
    <cellStyle name="Linked Cell" xfId="91"/>
    <cellStyle name="Magyarázó szöveg 2" xfId="40"/>
    <cellStyle name="Neutral" xfId="92"/>
    <cellStyle name="Normál" xfId="0" builtinId="0"/>
    <cellStyle name="Normál 2" xfId="1"/>
    <cellStyle name="Normál 2 2" xfId="41"/>
    <cellStyle name="Normál 2_TÁJÉKOZTATÓ _TÁBLÁK" xfId="42"/>
    <cellStyle name="Normál 3" xfId="43"/>
    <cellStyle name="Normál 4" xfId="44"/>
    <cellStyle name="Normál 4 2" xfId="45"/>
    <cellStyle name="Normál 5" xfId="46"/>
    <cellStyle name="Normál 5 2" xfId="47"/>
    <cellStyle name="Normál 5 3" xfId="48"/>
    <cellStyle name="Normal_KARSZJ3" xfId="49"/>
    <cellStyle name="Normál_KVRENMUNKA" xfId="2"/>
    <cellStyle name="Normál_SEGEDLETEK" xfId="3"/>
    <cellStyle name="Normál_TÁJÉKOZTATÓ _TÁBLÁK" xfId="50"/>
    <cellStyle name="Note" xfId="93"/>
    <cellStyle name="Output" xfId="94"/>
    <cellStyle name="Összesen 2" xfId="51"/>
    <cellStyle name="Rossz 2" xfId="52"/>
    <cellStyle name="Semleges 2" xfId="53"/>
    <cellStyle name="Számítás 2" xfId="54"/>
    <cellStyle name="Százalék 2" xfId="55"/>
    <cellStyle name="Title" xfId="95"/>
    <cellStyle name="Total" xfId="96"/>
    <cellStyle name="Warning Text" xfId="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4</xdr:col>
      <xdr:colOff>9525</xdr:colOff>
      <xdr:row>21</xdr:row>
      <xdr:rowOff>0</xdr:rowOff>
    </xdr:to>
    <xdr:sp macro="" textlink="">
      <xdr:nvSpPr>
        <xdr:cNvPr id="57349" name="Line 2"/>
        <xdr:cNvSpPr>
          <a:spLocks noChangeShapeType="1"/>
        </xdr:cNvSpPr>
      </xdr:nvSpPr>
      <xdr:spPr bwMode="auto">
        <a:xfrm flipV="1">
          <a:off x="1257300" y="4943475"/>
          <a:ext cx="4743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6/BMelfogadott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vasar\k&#246;z&#246;s\Users\cora\AppData\Local\Microsoft\Messenger\irodavezeto@rkt.hu\Sharing%20Folders\csermenyih@freemail.hu\Normat&#237;va\2008\Szent%20L&#225;szl&#243;%20V&#246;lgye%20T&#246;bbc&#233;l&#250;%20Kist&#233;rs&#233;gi%20T&#225;rsul&#225;s,700107,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46;bbc&#233;l&#250;Kist&#233;rs&#233;giT&#225;rsul&#225;s/Normat&#237;va_2007/normat&#237;vafelm&#233;r&#233;s200611h&#243;/4002_kit&#246;lt&#246;tt1204(V&#201;GLEGE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HAS~1/AppData/Local/Temp/2016.I.kv%20m&#243;dos&#237;t&#225;s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szakszolgálati adatok"/>
      <sheetName val="2.4. feladat-szoc. étkeztetés"/>
      <sheetName val="2.4. feladat"/>
      <sheetName val="2.5.-2.8. feladatok"/>
      <sheetName val="info"/>
    </sheetNames>
    <sheetDataSet>
      <sheetData sheetId="0" refreshError="1">
        <row r="34">
          <cell r="BT34" t="e">
            <v>#N/A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e">
            <v>#N/A</v>
          </cell>
        </row>
        <row r="44">
          <cell r="BT44" t="e">
            <v>#N/A</v>
          </cell>
        </row>
        <row r="45">
          <cell r="BT45" t="e">
            <v>#N/A</v>
          </cell>
        </row>
        <row r="46">
          <cell r="BT46" t="e">
            <v>#N/A</v>
          </cell>
        </row>
        <row r="47">
          <cell r="BT47" t="e">
            <v>#N/A</v>
          </cell>
        </row>
        <row r="48">
          <cell r="BT48" t="str">
            <v>Ács</v>
          </cell>
        </row>
        <row r="49">
          <cell r="BT49" t="e">
            <v>#N/A</v>
          </cell>
        </row>
        <row r="50">
          <cell r="BT50" t="str">
            <v>Acsád</v>
          </cell>
        </row>
        <row r="51">
          <cell r="BT51" t="e">
            <v>#N/A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e">
            <v>#N/A</v>
          </cell>
        </row>
        <row r="55">
          <cell r="BT55" t="e">
            <v>#N/A</v>
          </cell>
        </row>
        <row r="56">
          <cell r="BT56" t="str">
            <v>Adony</v>
          </cell>
        </row>
        <row r="57">
          <cell r="BT57" t="e">
            <v>#N/A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e">
            <v>#N/A</v>
          </cell>
        </row>
        <row r="61">
          <cell r="BT61" t="e">
            <v>#N/A</v>
          </cell>
        </row>
        <row r="62">
          <cell r="BT62" t="e">
            <v>#N/A</v>
          </cell>
        </row>
        <row r="63">
          <cell r="BT63" t="e">
            <v>#N/A</v>
          </cell>
        </row>
        <row r="64">
          <cell r="BT64" t="e">
            <v>#N/A</v>
          </cell>
        </row>
        <row r="65">
          <cell r="BT65" t="str">
            <v>Ajka</v>
          </cell>
        </row>
        <row r="66">
          <cell r="BT66" t="e">
            <v>#N/A</v>
          </cell>
        </row>
        <row r="67">
          <cell r="BT67" t="e">
            <v>#N/A</v>
          </cell>
        </row>
        <row r="68">
          <cell r="BT68" t="e">
            <v>#N/A</v>
          </cell>
        </row>
        <row r="69">
          <cell r="BT69" t="e">
            <v>#N/A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e">
            <v>#N/A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e">
            <v>#N/A</v>
          </cell>
        </row>
        <row r="81">
          <cell r="BT81" t="e">
            <v>#N/A</v>
          </cell>
        </row>
        <row r="82">
          <cell r="BT82" t="e">
            <v>#N/A</v>
          </cell>
        </row>
        <row r="83">
          <cell r="BT83" t="e">
            <v>#N/A</v>
          </cell>
        </row>
        <row r="84">
          <cell r="BT84" t="e">
            <v>#N/A</v>
          </cell>
        </row>
        <row r="85">
          <cell r="BT85" t="e">
            <v>#N/A</v>
          </cell>
        </row>
        <row r="86">
          <cell r="BT86" t="e">
            <v>#N/A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e">
            <v>#N/A</v>
          </cell>
        </row>
        <row r="90">
          <cell r="BT90" t="str">
            <v>Alsónyék</v>
          </cell>
        </row>
        <row r="91">
          <cell r="BT91" t="e">
            <v>#N/A</v>
          </cell>
        </row>
        <row r="92">
          <cell r="BT92" t="str">
            <v>Szücs Attila Gábor</v>
          </cell>
        </row>
        <row r="93">
          <cell r="BT93" t="str">
            <v>Alsópetény</v>
          </cell>
        </row>
        <row r="94">
          <cell r="BT94" t="str">
            <v>Szent István u. 8.</v>
          </cell>
        </row>
        <row r="95">
          <cell r="BT95" t="e">
            <v>#N/A</v>
          </cell>
        </row>
        <row r="96">
          <cell r="BT96" t="str">
            <v>500_1000</v>
          </cell>
        </row>
        <row r="97">
          <cell r="BT97" t="e">
            <v>#N/A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e">
            <v>#N/A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e">
            <v>#N/A</v>
          </cell>
        </row>
        <row r="108">
          <cell r="BT108" t="e">
            <v>#N/A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e">
            <v>#N/A</v>
          </cell>
        </row>
        <row r="113">
          <cell r="BT113" t="e">
            <v>#N/A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e">
            <v>#N/A</v>
          </cell>
        </row>
        <row r="117">
          <cell r="BT117" t="str">
            <v>Apátistvánfalva</v>
          </cell>
        </row>
        <row r="118">
          <cell r="BT118" t="e">
            <v>#N/A</v>
          </cell>
        </row>
        <row r="119">
          <cell r="BT119" t="str">
            <v>Apc</v>
          </cell>
        </row>
        <row r="120">
          <cell r="BT120" t="e">
            <v>#N/A</v>
          </cell>
        </row>
        <row r="121">
          <cell r="BT121" t="e">
            <v>#N/A</v>
          </cell>
        </row>
        <row r="122">
          <cell r="BT122" t="e">
            <v>#N/A</v>
          </cell>
        </row>
        <row r="123">
          <cell r="BT123" t="e">
            <v>#N/A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e">
            <v>#N/A</v>
          </cell>
        </row>
        <row r="128">
          <cell r="BT128" t="e">
            <v>#N/A</v>
          </cell>
        </row>
        <row r="129">
          <cell r="BT129" t="e">
            <v>#N/A</v>
          </cell>
        </row>
        <row r="130">
          <cell r="BT130" t="e">
            <v>#N/A</v>
          </cell>
        </row>
        <row r="131">
          <cell r="BT131" t="e">
            <v>#N/A</v>
          </cell>
        </row>
        <row r="132">
          <cell r="BT132" t="e">
            <v>#N/A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e">
            <v>#N/A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e">
            <v>#N/A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e">
            <v>#N/A</v>
          </cell>
        </row>
        <row r="148">
          <cell r="BT148" t="str">
            <v>Bácsalmás</v>
          </cell>
        </row>
        <row r="149">
          <cell r="BT149" t="e">
            <v>#N/A</v>
          </cell>
        </row>
        <row r="150">
          <cell r="BT150" t="e">
            <v>#N/A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e">
            <v>#N/A</v>
          </cell>
        </row>
        <row r="154">
          <cell r="BT154" t="e">
            <v>#N/A</v>
          </cell>
        </row>
        <row r="155">
          <cell r="BT155" t="e">
            <v>#N/A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e">
            <v>#N/A</v>
          </cell>
        </row>
        <row r="159">
          <cell r="BT159" t="e">
            <v>#N/A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e">
            <v>#N/A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e">
            <v>#N/A</v>
          </cell>
        </row>
        <row r="173">
          <cell r="BT173" t="e">
            <v>#N/A</v>
          </cell>
        </row>
        <row r="174">
          <cell r="BT174" t="e">
            <v>#N/A</v>
          </cell>
        </row>
        <row r="175">
          <cell r="BT175" t="e">
            <v>#N/A</v>
          </cell>
        </row>
        <row r="176">
          <cell r="BT176" t="e">
            <v>#N/A</v>
          </cell>
        </row>
        <row r="177">
          <cell r="BT177" t="e">
            <v>#N/A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e">
            <v>#N/A</v>
          </cell>
        </row>
        <row r="181">
          <cell r="BT181" t="e">
            <v>#N/A</v>
          </cell>
        </row>
        <row r="182">
          <cell r="BT182" t="str">
            <v>Bakonysárkány</v>
          </cell>
        </row>
        <row r="183">
          <cell r="BT183" t="e">
            <v>#N/A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e">
            <v>#N/A</v>
          </cell>
        </row>
        <row r="192">
          <cell r="BT192" t="e">
            <v>#N/A</v>
          </cell>
        </row>
        <row r="193">
          <cell r="BT193" t="str">
            <v>Baktüttös</v>
          </cell>
        </row>
        <row r="194">
          <cell r="BT194" t="e">
            <v>#N/A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e">
            <v>#N/A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e">
            <v>#N/A</v>
          </cell>
        </row>
        <row r="205">
          <cell r="BT205" t="e">
            <v>#N/A</v>
          </cell>
        </row>
        <row r="206">
          <cell r="BT206" t="str">
            <v>Balatonfőkajár</v>
          </cell>
        </row>
        <row r="207">
          <cell r="BT207" t="e">
            <v>#N/A</v>
          </cell>
        </row>
        <row r="208">
          <cell r="BT208" t="str">
            <v>Balatonfüred</v>
          </cell>
        </row>
        <row r="209">
          <cell r="BT209" t="e">
            <v>#N/A</v>
          </cell>
        </row>
        <row r="210">
          <cell r="BT210" t="e">
            <v>#N/A</v>
          </cell>
        </row>
        <row r="211">
          <cell r="BT211" t="e">
            <v>#N/A</v>
          </cell>
        </row>
        <row r="212">
          <cell r="BT212" t="e">
            <v>#N/A</v>
          </cell>
        </row>
        <row r="213">
          <cell r="BT213" t="str">
            <v>Balatonkeresztúr</v>
          </cell>
        </row>
        <row r="214">
          <cell r="BT214" t="e">
            <v>#N/A</v>
          </cell>
        </row>
        <row r="215">
          <cell r="BT215" t="e">
            <v>#N/A</v>
          </cell>
        </row>
        <row r="216">
          <cell r="BT216" t="e">
            <v>#N/A</v>
          </cell>
        </row>
        <row r="217">
          <cell r="BT217" t="e">
            <v>#N/A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e">
            <v>#N/A</v>
          </cell>
        </row>
        <row r="229">
          <cell r="BT229" t="e">
            <v>#N/A</v>
          </cell>
        </row>
        <row r="230">
          <cell r="BT230" t="e">
            <v>#N/A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e">
            <v>#N/A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e">
            <v>#N/A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e">
            <v>#N/A</v>
          </cell>
        </row>
        <row r="244">
          <cell r="BT244" t="e">
            <v>#N/A</v>
          </cell>
        </row>
        <row r="245">
          <cell r="BT245" t="e">
            <v>#N/A</v>
          </cell>
        </row>
        <row r="246">
          <cell r="BT246" t="e">
            <v>#N/A</v>
          </cell>
        </row>
        <row r="247">
          <cell r="BT247" t="str">
            <v>Báránd</v>
          </cell>
        </row>
        <row r="248">
          <cell r="BT248" t="e">
            <v>#N/A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e">
            <v>#N/A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e">
            <v>#N/A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e">
            <v>#N/A</v>
          </cell>
        </row>
        <row r="258">
          <cell r="BT258" t="str">
            <v>Basal</v>
          </cell>
        </row>
        <row r="259">
          <cell r="BT259" t="e">
            <v>#N/A</v>
          </cell>
        </row>
        <row r="260">
          <cell r="BT260" t="str">
            <v>Báta</v>
          </cell>
        </row>
        <row r="261">
          <cell r="BT261" t="e">
            <v>#N/A</v>
          </cell>
        </row>
        <row r="262">
          <cell r="BT262" t="e">
            <v>#N/A</v>
          </cell>
        </row>
        <row r="263">
          <cell r="BT263" t="e">
            <v>#N/A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e">
            <v>#N/A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e">
            <v>#N/A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e">
            <v>#N/A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e">
            <v>#N/A</v>
          </cell>
        </row>
        <row r="290">
          <cell r="BT290" t="e">
            <v>#N/A</v>
          </cell>
        </row>
        <row r="291">
          <cell r="BT291" t="e">
            <v>#N/A</v>
          </cell>
        </row>
        <row r="292">
          <cell r="BT292" t="e">
            <v>#N/A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e">
            <v>#N/A</v>
          </cell>
        </row>
        <row r="296">
          <cell r="BT296" t="str">
            <v>Belsősárd</v>
          </cell>
        </row>
        <row r="297">
          <cell r="BT297" t="e">
            <v>#N/A</v>
          </cell>
        </row>
        <row r="298">
          <cell r="BT298" t="e">
            <v>#N/A</v>
          </cell>
        </row>
        <row r="299">
          <cell r="BT299" t="e">
            <v>#N/A</v>
          </cell>
        </row>
        <row r="300">
          <cell r="BT300" t="e">
            <v>#N/A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e">
            <v>#N/A</v>
          </cell>
        </row>
        <row r="304">
          <cell r="BT304" t="e">
            <v>#N/A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e">
            <v>#N/A</v>
          </cell>
        </row>
        <row r="313">
          <cell r="BT313" t="str">
            <v>Berkesd</v>
          </cell>
        </row>
        <row r="314">
          <cell r="BT314" t="e">
            <v>#N/A</v>
          </cell>
        </row>
        <row r="315">
          <cell r="BT315" t="e">
            <v>#N/A</v>
          </cell>
        </row>
        <row r="316">
          <cell r="BT316" t="str">
            <v>Berzék</v>
          </cell>
        </row>
        <row r="317">
          <cell r="BT317" t="e">
            <v>#N/A</v>
          </cell>
        </row>
        <row r="318">
          <cell r="BT318" t="str">
            <v>Besence</v>
          </cell>
        </row>
        <row r="319">
          <cell r="BT319" t="e">
            <v>#N/A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e">
            <v>#N/A</v>
          </cell>
        </row>
        <row r="323">
          <cell r="BT323" t="e">
            <v>#N/A</v>
          </cell>
        </row>
        <row r="324">
          <cell r="BT324" t="e">
            <v>#N/A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e">
            <v>#N/A</v>
          </cell>
        </row>
        <row r="329">
          <cell r="BT329" t="str">
            <v>Bicsérd</v>
          </cell>
        </row>
        <row r="330">
          <cell r="BT330" t="e">
            <v>#N/A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e">
            <v>#N/A</v>
          </cell>
        </row>
        <row r="337">
          <cell r="BT337" t="str">
            <v>Bikal</v>
          </cell>
        </row>
        <row r="338">
          <cell r="BT338" t="e">
            <v>#N/A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e">
            <v>#N/A</v>
          </cell>
        </row>
        <row r="349">
          <cell r="BT349" t="e">
            <v>#N/A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e">
            <v>#N/A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e">
            <v>#N/A</v>
          </cell>
        </row>
        <row r="360">
          <cell r="BT360" t="str">
            <v>步渠灡扺湥⁩汥慳E⠀戲 湉浺滩楹琠狡畳⁳泡慴⁬汥潴瑴朠敹浲步步渠灡扺湥⁩汥慳ó؉䄀 ㄀　 　　　 昀儀渁氀 渀愀最礀漀戀戀 氀愀欀漀猀猀最猀稀洀切 渀欀漀爀洀渀礀稀愀琀 氀琀愀氀 渀氀氀愀渀 昀攀渀渀琀愀爀琀漀琀琀 瘀漀搀欀戀愀渀 愀稀 渀氀氀愀渀 攀氀椀渀搀琀漀琀琀 ㄀⸀ 渀攀瘀攀氀猀椀 瘀 渀攀洀 瘀攀最礀攀猀 挀猀漀瀀漀爀琀樀愀椀戀愀 樀爀 最礀攀爀洀攀欀攀欀 猀稀洀愀 ⠀愀 ㄀　 　　　 昀儀渁氀 渀愀最礀漀戀戀 氀愀欀漀猀猀最猀稀洀</v>
          </cell>
        </row>
        <row r="361">
          <cell r="BT361" t="e">
            <v>#N/A</v>
          </cell>
        </row>
        <row r="362">
          <cell r="BT362" t="str">
            <v>Bogács</v>
          </cell>
        </row>
        <row r="363">
          <cell r="BT363" t="e">
            <v>#N/A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e">
            <v>#N/A</v>
          </cell>
        </row>
        <row r="367">
          <cell r="BT367" t="str">
            <v>Bogyoszló</v>
          </cell>
        </row>
        <row r="368">
          <cell r="BT368" t="str">
            <v>Dr. Ferencz Márton</v>
          </cell>
        </row>
        <row r="369">
          <cell r="BT369" t="str">
            <v>Bókaháza</v>
          </cell>
        </row>
        <row r="370">
          <cell r="BT370" t="e">
            <v>#N/A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e">
            <v>#N/A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e">
            <v>#N/A</v>
          </cell>
        </row>
        <row r="377">
          <cell r="BT377" t="e">
            <v>#N/A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e">
            <v>#N/A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e">
            <v>#N/A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e">
            <v>#N/A</v>
          </cell>
        </row>
        <row r="399">
          <cell r="BT399" t="e">
            <v>#N/A</v>
          </cell>
        </row>
        <row r="400">
          <cell r="BT400" t="e">
            <v>#N/A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e">
            <v>#N/A</v>
          </cell>
        </row>
        <row r="404">
          <cell r="BT404" t="e">
            <v>#N/A</v>
          </cell>
        </row>
        <row r="405">
          <cell r="BT405" t="e">
            <v>#N/A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e">
            <v>#N/A</v>
          </cell>
        </row>
        <row r="412">
          <cell r="BT412" t="e">
            <v>#N/A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e">
            <v>#N/A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e">
            <v>#N/A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e">
            <v>#N/A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e">
            <v>#N/A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e">
            <v>#N/A</v>
          </cell>
        </row>
        <row r="433">
          <cell r="BT433" t="e">
            <v>#N/A</v>
          </cell>
        </row>
        <row r="434">
          <cell r="BT434" t="e">
            <v>#N/A</v>
          </cell>
        </row>
        <row r="435">
          <cell r="BT435" t="e">
            <v>#N/A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e">
            <v>#N/A</v>
          </cell>
        </row>
        <row r="440">
          <cell r="BT440" t="str">
            <v>Bükkszentmárton</v>
          </cell>
        </row>
        <row r="441">
          <cell r="BT441" t="e">
            <v>#N/A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e">
            <v>#N/A</v>
          </cell>
        </row>
        <row r="445">
          <cell r="BT445" t="e">
            <v>#N/A</v>
          </cell>
        </row>
        <row r="446">
          <cell r="BT446" t="str">
            <v>Cakóháza</v>
          </cell>
        </row>
        <row r="447">
          <cell r="BT447" t="e">
            <v>#N/A</v>
          </cell>
        </row>
        <row r="448">
          <cell r="BT448" t="e">
            <v>#N/A</v>
          </cell>
        </row>
        <row r="449">
          <cell r="BT449" t="e">
            <v>#N/A</v>
          </cell>
        </row>
        <row r="450">
          <cell r="BT450" t="str">
            <v>Dr. Jakab Róbert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e">
            <v>#N/A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e">
            <v>#N/A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e">
            <v>#N/A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e">
            <v>#N/A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e">
            <v>#N/A</v>
          </cell>
        </row>
        <row r="467">
          <cell r="BT467" t="e">
            <v>#N/A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e">
            <v>#N/A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e">
            <v>#N/A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e">
            <v>#N/A</v>
          </cell>
        </row>
        <row r="488">
          <cell r="BT488" t="str">
            <v>Csávoly</v>
          </cell>
        </row>
        <row r="489">
          <cell r="BT489" t="e">
            <v>#N/A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e">
            <v>#N/A</v>
          </cell>
        </row>
        <row r="494">
          <cell r="BT494" t="e">
            <v>#N/A</v>
          </cell>
        </row>
        <row r="495">
          <cell r="BT495" t="str">
            <v>Csém</v>
          </cell>
        </row>
        <row r="496">
          <cell r="BT496" t="str">
            <v>Kossuth  L. u. 28.</v>
          </cell>
        </row>
        <row r="497">
          <cell r="BT497" t="e">
            <v>#N/A</v>
          </cell>
        </row>
        <row r="498">
          <cell r="BT498" t="str">
            <v>Csengele</v>
          </cell>
        </row>
        <row r="499">
          <cell r="BT499" t="e">
            <v>#N/A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e">
            <v>#N/A</v>
          </cell>
        </row>
        <row r="504">
          <cell r="BT504" t="e">
            <v>#N/A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e">
            <v>#N/A</v>
          </cell>
        </row>
        <row r="509">
          <cell r="BT509" t="e">
            <v>#N/A</v>
          </cell>
        </row>
        <row r="510">
          <cell r="BT510" t="e">
            <v>#N/A</v>
          </cell>
        </row>
        <row r="511">
          <cell r="BT511" t="e">
            <v>#N/A</v>
          </cell>
        </row>
        <row r="512">
          <cell r="BT512" t="e">
            <v>#N/A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e">
            <v>#N/A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Bonyhádvarasd</v>
          </cell>
        </row>
        <row r="527">
          <cell r="BT527" t="e">
            <v>#N/A</v>
          </cell>
        </row>
        <row r="528">
          <cell r="BT528" t="e">
            <v>#N/A</v>
          </cell>
        </row>
        <row r="529">
          <cell r="BT529" t="e">
            <v>#N/A</v>
          </cell>
        </row>
        <row r="530">
          <cell r="BT530" t="e">
            <v>#N/A</v>
          </cell>
        </row>
        <row r="531">
          <cell r="BT531" t="e">
            <v>#N/A</v>
          </cell>
        </row>
        <row r="532">
          <cell r="BT532" t="e">
            <v>#N/A</v>
          </cell>
        </row>
        <row r="533">
          <cell r="BT533" t="str">
            <v>Csitár</v>
          </cell>
        </row>
        <row r="534">
          <cell r="BT534" t="e">
            <v>#N/A</v>
          </cell>
        </row>
        <row r="535">
          <cell r="BT535" t="e">
            <v>#N/A</v>
          </cell>
        </row>
        <row r="536">
          <cell r="BT536" t="e">
            <v>#N/A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e">
            <v>#N/A</v>
          </cell>
        </row>
        <row r="542">
          <cell r="BT542" t="str">
            <v>Csoma</v>
          </cell>
        </row>
        <row r="543">
          <cell r="BT543" t="e">
            <v>#N/A</v>
          </cell>
        </row>
        <row r="544">
          <cell r="BT544" t="e">
            <v>#N/A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Orbán Zsolt</v>
          </cell>
        </row>
        <row r="550">
          <cell r="BT550" t="e">
            <v>#N/A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e">
            <v>#N/A</v>
          </cell>
        </row>
        <row r="557">
          <cell r="BT557" t="e">
            <v>#N/A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e">
            <v>#N/A</v>
          </cell>
        </row>
        <row r="561">
          <cell r="BT561" t="str">
            <v>Csörnyeföld</v>
          </cell>
        </row>
        <row r="562">
          <cell r="BT562" t="e">
            <v>#N/A</v>
          </cell>
        </row>
        <row r="563">
          <cell r="BT563" t="e">
            <v>#N/A</v>
          </cell>
        </row>
        <row r="564">
          <cell r="BT564" t="str">
            <v>Vaszari Dezső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e">
            <v>#N/A</v>
          </cell>
        </row>
        <row r="568">
          <cell r="BT568" t="str">
            <v>Zalaszentlőrinc</v>
          </cell>
        </row>
        <row r="569">
          <cell r="BT569" t="e">
            <v>#N/A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e">
            <v>#N/A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e">
            <v>#N/A</v>
          </cell>
        </row>
        <row r="581">
          <cell r="BT581" t="e">
            <v>#N/A</v>
          </cell>
        </row>
        <row r="582">
          <cell r="BT582" t="str">
            <v>Darnó</v>
          </cell>
        </row>
        <row r="583">
          <cell r="BT583" t="e">
            <v>#N/A</v>
          </cell>
        </row>
        <row r="584">
          <cell r="BT584" t="e">
            <v>#N/A</v>
          </cell>
        </row>
        <row r="585">
          <cell r="BT585" t="str">
            <v>Darvas</v>
          </cell>
        </row>
        <row r="586">
          <cell r="BT586" t="e">
            <v>#N/A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e">
            <v>#N/A</v>
          </cell>
        </row>
        <row r="591">
          <cell r="BT591" t="str">
            <v>Dédestapolcsány</v>
          </cell>
        </row>
        <row r="592">
          <cell r="BT592" t="str">
            <v>Rákóczi u. 57.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Zalaújlak</v>
          </cell>
        </row>
        <row r="598">
          <cell r="BT598" t="e">
            <v>#N/A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e">
            <v>#N/A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e">
            <v>#N/A</v>
          </cell>
        </row>
        <row r="615">
          <cell r="BT615" t="e">
            <v>#N/A</v>
          </cell>
        </row>
        <row r="616">
          <cell r="BT616" t="e">
            <v>#N/A</v>
          </cell>
        </row>
        <row r="617">
          <cell r="BT617" t="str">
            <v>Domaháza</v>
          </cell>
        </row>
        <row r="618">
          <cell r="BT618" t="e">
            <v>#N/A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e">
            <v>#N/A</v>
          </cell>
        </row>
        <row r="629">
          <cell r="BT629" t="e">
            <v>#N/A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e">
            <v>#N/A</v>
          </cell>
        </row>
        <row r="634">
          <cell r="BT634" t="e">
            <v>#N/A</v>
          </cell>
        </row>
        <row r="635">
          <cell r="BT635" t="str">
            <v>Dömsöd</v>
          </cell>
        </row>
        <row r="636">
          <cell r="BT636" t="e">
            <v>#N/A</v>
          </cell>
        </row>
        <row r="637">
          <cell r="BT637" t="str">
            <v>Dörgicse</v>
          </cell>
        </row>
        <row r="638">
          <cell r="BT638" t="e">
            <v>#N/A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e">
            <v>#N/A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e">
            <v>#N/A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e">
            <v>#N/A</v>
          </cell>
        </row>
        <row r="654">
          <cell r="BT654" t="str">
            <v>Drégelypalánk</v>
          </cell>
        </row>
        <row r="655">
          <cell r="BT655" t="e">
            <v>#N/A</v>
          </cell>
        </row>
        <row r="656">
          <cell r="BT656" t="str">
            <v>Dudar</v>
          </cell>
        </row>
        <row r="657">
          <cell r="BT657" t="e">
            <v>#N/A</v>
          </cell>
        </row>
        <row r="658">
          <cell r="BT658" t="e">
            <v>#N/A</v>
          </cell>
        </row>
        <row r="659">
          <cell r="BT659" t="str">
            <v>Dunabogdány</v>
          </cell>
        </row>
        <row r="660">
          <cell r="BT660" t="e">
            <v>#N/A</v>
          </cell>
        </row>
        <row r="661">
          <cell r="BT661" t="e">
            <v>#N/A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e">
            <v>#N/A</v>
          </cell>
        </row>
        <row r="665">
          <cell r="BT665" t="e">
            <v>#N/A</v>
          </cell>
        </row>
        <row r="666">
          <cell r="BT666" t="e">
            <v>#N/A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e">
            <v>#N/A</v>
          </cell>
        </row>
        <row r="670">
          <cell r="BT670" t="e">
            <v>#N/A</v>
          </cell>
        </row>
        <row r="671">
          <cell r="BT671" t="str">
            <v>Dunaszentgyörgy</v>
          </cell>
        </row>
        <row r="672">
          <cell r="BT672" t="e">
            <v>#N/A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e">
            <v>#N/A</v>
          </cell>
        </row>
        <row r="676">
          <cell r="BT676" t="str">
            <v>Dunaújváros</v>
          </cell>
        </row>
        <row r="677">
          <cell r="BT677" t="str">
            <v>潨⁬瑬穯珡瘠湡਩_x0000_汁敭楤_x0011_䐀⹲䜠杲⁹慂獺_x0007_䘁儀 甀 㔀㠀Ѐ_x0000_灁橡	一癯毡倠泡_x000F_䠁攀最攀搀焀猁 䰀愀樀漀猀渀ࠀĀFő tér 2_x000F_䐀竳慳䜠⹹甠‮⸳_x000B_䄀獬瓳汥步獥_x000C_䈀摯⁲楔潢୲_x0000_敫甠‮㘳ਮ_x0000_汁慶穳_x000D_䬀獩⁳穳_x001F_䬀獩⁳穳䜠潲正⁩敖潲楮慫	䘁儀 切琀 㘀㌀⸀਀_x0000_汁獺汯慣_x000F_娀楳潲⁳摮牯_x0012_䬀獯畳桴䰠‮⹵ㄠ㠲Ю_x0000_牁慫_x000E_嘀牡湡楡䰠珡決ჳ_x0000_畈祮摡⁩瑵慣㈠⸹_x0004_䄀汲ෳ_x0000_獚杩慲⁹狁൤_x0000_獚杩慲⁩狁ཤ_x0000_摁⁹⹅瑵慣ㄠ㈶Ԯ_x0000_牁൴_x0000_潋敬歮⃳潢ၲĀPetőfi utca 120._x0006_䄀穳污ೳ_x0000_狁慶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e">
            <v>#N/A</v>
          </cell>
        </row>
        <row r="688">
          <cell r="BT688" t="e">
            <v>#N/A</v>
          </cell>
        </row>
        <row r="689">
          <cell r="BT689" t="e">
            <v>#N/A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e">
            <v>#N/A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e">
            <v>#N/A</v>
          </cell>
        </row>
        <row r="700">
          <cell r="BT700" t="e">
            <v>#N/A</v>
          </cell>
        </row>
        <row r="701">
          <cell r="BT701" t="e">
            <v>#N/A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e">
            <v>#N/A</v>
          </cell>
        </row>
        <row r="705">
          <cell r="BT705" t="e">
            <v>#N/A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Zsálek Ferenc Csaba</v>
          </cell>
        </row>
        <row r="711">
          <cell r="BT711" t="e">
            <v>#N/A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e">
            <v>#N/A</v>
          </cell>
        </row>
        <row r="721">
          <cell r="BT721" t="str">
            <v>Encs</v>
          </cell>
        </row>
        <row r="722">
          <cell r="BT722" t="e">
            <v>#N/A</v>
          </cell>
        </row>
        <row r="723">
          <cell r="BT723" t="str">
            <v>Lovászi, Kútfej u. 112.</v>
          </cell>
        </row>
        <row r="724">
          <cell r="BT724" t="e">
            <v>#N/A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e">
            <v>#N/A</v>
          </cell>
        </row>
        <row r="728">
          <cell r="BT728" t="e">
            <v>#N/A</v>
          </cell>
        </row>
        <row r="729">
          <cell r="BT729" t="str">
            <v>Eplény</v>
          </cell>
        </row>
        <row r="730">
          <cell r="BT730" t="e">
            <v>#N/A</v>
          </cell>
        </row>
        <row r="731">
          <cell r="BT731" t="e">
            <v>#N/A</v>
          </cell>
        </row>
        <row r="732">
          <cell r="BT732" t="e">
            <v>#N/A</v>
          </cell>
        </row>
        <row r="733">
          <cell r="BT733" t="e">
            <v>#N/A</v>
          </cell>
        </row>
        <row r="734">
          <cell r="BT734" t="e">
            <v>#N/A</v>
          </cell>
        </row>
        <row r="735">
          <cell r="BT735" t="e">
            <v>#N/A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e">
            <v>#N/A</v>
          </cell>
        </row>
        <row r="739">
          <cell r="BT739" t="str">
            <v>Erdősmecske</v>
          </cell>
        </row>
        <row r="740">
          <cell r="BT740" t="str">
            <v>Kiss u. 2.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Kanizsai u. 6.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Blatt Antal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e">
            <v>#N/A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e">
            <v>#N/A</v>
          </cell>
        </row>
        <row r="767">
          <cell r="BT767" t="e">
            <v>#N/A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e">
            <v>#N/A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e">
            <v>#N/A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e">
            <v>#N/A</v>
          </cell>
        </row>
        <row r="778">
          <cell r="BT778" t="str">
            <v>Felpéc</v>
          </cell>
        </row>
        <row r="779">
          <cell r="BT779" t="e">
            <v>#N/A</v>
          </cell>
        </row>
        <row r="780">
          <cell r="BT780" t="str">
            <v>Felsőcsatár</v>
          </cell>
        </row>
        <row r="781">
          <cell r="BT781" t="e">
            <v>#N/A</v>
          </cell>
        </row>
        <row r="782">
          <cell r="BT782" t="str">
            <v>Felsőegerszeg</v>
          </cell>
        </row>
        <row r="783">
          <cell r="BT783" t="e">
            <v>#N/A</v>
          </cell>
        </row>
        <row r="784">
          <cell r="BT784" t="str">
            <v>Felsőjánosfa</v>
          </cell>
        </row>
        <row r="785">
          <cell r="BT785" t="e">
            <v>#N/A</v>
          </cell>
        </row>
        <row r="786">
          <cell r="BT786" t="e">
            <v>#N/A</v>
          </cell>
        </row>
        <row r="787">
          <cell r="BT787" t="e">
            <v>#N/A</v>
          </cell>
        </row>
        <row r="788">
          <cell r="BT788" t="e">
            <v>#N/A</v>
          </cell>
        </row>
        <row r="789">
          <cell r="BT789" t="str">
            <v>Felsőnána</v>
          </cell>
        </row>
        <row r="790">
          <cell r="BT790" t="e">
            <v>#N/A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e">
            <v>#N/A</v>
          </cell>
        </row>
        <row r="795">
          <cell r="BT795" t="str">
            <v>Kossuth L. u. 112.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e">
            <v>#N/A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e">
            <v>#N/A</v>
          </cell>
        </row>
        <row r="806">
          <cell r="BT806" t="e">
            <v>#N/A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e">
            <v>#N/A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e">
            <v>#N/A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e">
            <v>#N/A</v>
          </cell>
        </row>
        <row r="818">
          <cell r="BT818" t="e">
            <v>#N/A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e">
            <v>#N/A</v>
          </cell>
        </row>
        <row r="823">
          <cell r="BT823" t="e">
            <v>#N/A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e">
            <v>#N/A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e">
            <v>#N/A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e">
            <v>#N/A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e">
            <v>#N/A</v>
          </cell>
        </row>
        <row r="869">
          <cell r="BT869" t="e">
            <v>#N/A</v>
          </cell>
        </row>
        <row r="870">
          <cell r="BT870" t="str">
            <v>Garabonc</v>
          </cell>
        </row>
        <row r="871">
          <cell r="BT871" t="e">
            <v>#N/A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e">
            <v>#N/A</v>
          </cell>
        </row>
        <row r="875">
          <cell r="BT875" t="str">
            <v>Gasztony</v>
          </cell>
        </row>
        <row r="876">
          <cell r="BT876" t="e">
            <v>#N/A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e">
            <v>#N/A</v>
          </cell>
        </row>
        <row r="881">
          <cell r="BT881" t="str">
            <v>Gégény</v>
          </cell>
        </row>
        <row r="882">
          <cell r="BT882" t="e">
            <v>#N/A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e">
            <v>#N/A</v>
          </cell>
        </row>
        <row r="891">
          <cell r="BT891" t="str">
            <v>Gerendás</v>
          </cell>
        </row>
        <row r="892">
          <cell r="BT892" t="e">
            <v>#N/A</v>
          </cell>
        </row>
        <row r="893">
          <cell r="BT893" t="e">
            <v>#N/A</v>
          </cell>
        </row>
        <row r="894">
          <cell r="BT894" t="e">
            <v>#N/A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e">
            <v>#N/A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e">
            <v>#N/A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e">
            <v>#N/A</v>
          </cell>
        </row>
        <row r="904">
          <cell r="BT904" t="e">
            <v>#N/A</v>
          </cell>
        </row>
        <row r="905">
          <cell r="BT905" t="str">
            <v>Gógánfa</v>
          </cell>
        </row>
        <row r="906">
          <cell r="BT906" t="e">
            <v>#N/A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e">
            <v>#N/A</v>
          </cell>
        </row>
        <row r="913">
          <cell r="BT913" t="e">
            <v>#N/A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e">
            <v>#N/A</v>
          </cell>
        </row>
        <row r="917">
          <cell r="BT917" t="e">
            <v>#N/A</v>
          </cell>
        </row>
        <row r="918">
          <cell r="BT918" t="e">
            <v>#N/A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e">
            <v>#N/A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e">
            <v>#N/A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e">
            <v>#N/A</v>
          </cell>
        </row>
        <row r="951">
          <cell r="BT951" t="e">
            <v>#N/A</v>
          </cell>
        </row>
        <row r="952">
          <cell r="BT952" t="str">
            <v>Győrasszonyfa</v>
          </cell>
        </row>
        <row r="953">
          <cell r="BT953" t="e">
            <v>#N/A</v>
          </cell>
        </row>
        <row r="954">
          <cell r="BT954" t="e">
            <v>#N/A</v>
          </cell>
        </row>
        <row r="955">
          <cell r="BT955" t="e">
            <v>#N/A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e">
            <v>#N/A</v>
          </cell>
        </row>
        <row r="969">
          <cell r="BT969" t="e">
            <v>#N/A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e">
            <v>#N/A</v>
          </cell>
        </row>
        <row r="973">
          <cell r="BT973" t="e">
            <v>#N/A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e">
            <v>#N/A</v>
          </cell>
        </row>
        <row r="980">
          <cell r="BT980" t="str">
            <v>Hajdúdorog</v>
          </cell>
        </row>
        <row r="981">
          <cell r="BT981" t="str">
            <v>Zalaszentmárton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e">
            <v>#N/A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e">
            <v>#N/A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e">
            <v>#N/A</v>
          </cell>
        </row>
        <row r="992">
          <cell r="BT992" t="e">
            <v>#N/A</v>
          </cell>
        </row>
        <row r="993">
          <cell r="BT993" t="e">
            <v>#N/A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e">
            <v>#N/A</v>
          </cell>
        </row>
        <row r="997">
          <cell r="BT997" t="e">
            <v>#N/A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e">
            <v>#N/A</v>
          </cell>
        </row>
        <row r="1001">
          <cell r="BT1001" t="str">
            <v>Harka</v>
          </cell>
        </row>
        <row r="1002">
          <cell r="BT1002" t="e">
            <v>#N/A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e">
            <v>#N/A</v>
          </cell>
        </row>
        <row r="1006">
          <cell r="BT1006" t="e">
            <v>#N/A</v>
          </cell>
        </row>
        <row r="1007">
          <cell r="BT1007" t="e">
            <v>#N/A</v>
          </cell>
        </row>
        <row r="1008">
          <cell r="BT1008" t="e">
            <v>#N/A</v>
          </cell>
        </row>
        <row r="1009">
          <cell r="BT1009" t="str">
            <v>Hásságy</v>
          </cell>
        </row>
        <row r="1010">
          <cell r="BT1010" t="e">
            <v>#N/A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e">
            <v>#N/A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e">
            <v>#N/A</v>
          </cell>
        </row>
        <row r="1021">
          <cell r="BT1021" t="e">
            <v>#N/A</v>
          </cell>
        </row>
        <row r="1022">
          <cell r="BT1022" t="str">
            <v>Hegykő</v>
          </cell>
        </row>
        <row r="1023">
          <cell r="BT1023" t="e">
            <v>#N/A</v>
          </cell>
        </row>
        <row r="1024">
          <cell r="BT1024" t="e">
            <v>#N/A</v>
          </cell>
        </row>
        <row r="1025">
          <cell r="BT1025" t="str">
            <v>Hegyszentmárton</v>
          </cell>
        </row>
        <row r="1026">
          <cell r="BT1026" t="e">
            <v>#N/A</v>
          </cell>
        </row>
        <row r="1027">
          <cell r="BT1027" t="e">
            <v>#N/A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Balmazújvárosi</v>
          </cell>
        </row>
        <row r="1034">
          <cell r="BT1034" t="e">
            <v>#N/A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e">
            <v>#N/A</v>
          </cell>
        </row>
        <row r="1038">
          <cell r="BT1038" t="e">
            <v>#N/A</v>
          </cell>
        </row>
        <row r="1039">
          <cell r="BT1039" t="e">
            <v>#N/A</v>
          </cell>
        </row>
        <row r="1040">
          <cell r="BT1040" t="e">
            <v>#N/A</v>
          </cell>
        </row>
        <row r="1041">
          <cell r="BT1041" t="e">
            <v>#N/A</v>
          </cell>
        </row>
        <row r="1042">
          <cell r="BT1042" t="e">
            <v>#N/A</v>
          </cell>
        </row>
        <row r="1043">
          <cell r="BT1043" t="e">
            <v>#N/A</v>
          </cell>
        </row>
        <row r="1044">
          <cell r="BT1044" t="e">
            <v>#N/A</v>
          </cell>
        </row>
        <row r="1045">
          <cell r="BT1045" t="e">
            <v>#N/A</v>
          </cell>
        </row>
        <row r="1046">
          <cell r="BT1046" t="str">
            <v>Hernád</v>
          </cell>
        </row>
        <row r="1047">
          <cell r="BT1047" t="e">
            <v>#N/A</v>
          </cell>
        </row>
        <row r="1048">
          <cell r="BT1048" t="e">
            <v>#N/A</v>
          </cell>
        </row>
        <row r="1049">
          <cell r="BT1049" t="e">
            <v>#N/A</v>
          </cell>
        </row>
        <row r="1050">
          <cell r="BT1050" t="e">
            <v>#N/A</v>
          </cell>
        </row>
        <row r="1051">
          <cell r="BT1051" t="e">
            <v>#N/A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e">
            <v>#N/A</v>
          </cell>
        </row>
        <row r="1060">
          <cell r="BT1060" t="str">
            <v>Hajdúhadházi Többcélú Kistérségi Társulás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e">
            <v>#N/A</v>
          </cell>
        </row>
        <row r="1073">
          <cell r="BT1073" t="str">
            <v>Himod</v>
          </cell>
        </row>
        <row r="1074">
          <cell r="BT1074" t="e">
            <v>#N/A</v>
          </cell>
        </row>
        <row r="1075">
          <cell r="BT1075" t="e">
            <v>#N/A</v>
          </cell>
        </row>
        <row r="1076">
          <cell r="BT1076" t="str">
            <v>Hodász</v>
          </cell>
        </row>
        <row r="1077">
          <cell r="BT1077" t="e">
            <v>#N/A</v>
          </cell>
        </row>
        <row r="1078">
          <cell r="BT1078" t="e">
            <v>#N/A</v>
          </cell>
        </row>
        <row r="1079">
          <cell r="BT1079" t="str">
            <v>Hollóháza</v>
          </cell>
        </row>
        <row r="1080">
          <cell r="BT1080" t="e">
            <v>#N/A</v>
          </cell>
        </row>
        <row r="1081">
          <cell r="BT1081" t="e">
            <v>#N/A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e">
            <v>#N/A</v>
          </cell>
        </row>
        <row r="1085">
          <cell r="BT1085" t="e">
            <v>#N/A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e">
            <v>#N/A</v>
          </cell>
        </row>
        <row r="1098">
          <cell r="BT1098" t="str">
            <v>Hosszúvölgy</v>
          </cell>
        </row>
        <row r="1099">
          <cell r="BT1099" t="e">
            <v>#N/A</v>
          </cell>
        </row>
        <row r="1100">
          <cell r="BT1100" t="str">
            <v>Hottó</v>
          </cell>
        </row>
        <row r="1101">
          <cell r="BT1101" t="e">
            <v>#N/A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e">
            <v>#N/A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e">
            <v>#N/A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e">
            <v>#N/A</v>
          </cell>
        </row>
        <row r="1133">
          <cell r="BT1133" t="str">
            <v>Ipolyvece</v>
          </cell>
        </row>
        <row r="1134">
          <cell r="BT1134" t="e">
            <v>#N/A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e">
            <v>#N/A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e">
            <v>#N/A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Baráth Béla</v>
          </cell>
        </row>
        <row r="1146">
          <cell r="BT1146" t="e">
            <v>#N/A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e">
            <v>#N/A</v>
          </cell>
        </row>
        <row r="1152">
          <cell r="BT1152" t="str">
            <v>Jágónak</v>
          </cell>
        </row>
        <row r="1153">
          <cell r="BT1153" t="e">
            <v>#N/A</v>
          </cell>
        </row>
        <row r="1154">
          <cell r="BT1154" t="str">
            <v>Jakabszállás</v>
          </cell>
        </row>
        <row r="1155">
          <cell r="BT1155" t="e">
            <v>#N/A</v>
          </cell>
        </row>
        <row r="1156">
          <cell r="BT1156" t="e">
            <v>#N/A</v>
          </cell>
        </row>
        <row r="1157">
          <cell r="BT1157" t="str">
            <v>Jákó</v>
          </cell>
        </row>
        <row r="1158">
          <cell r="BT1158" t="e">
            <v>#N/A</v>
          </cell>
        </row>
        <row r="1159">
          <cell r="BT1159" t="e">
            <v>#N/A</v>
          </cell>
        </row>
        <row r="1160">
          <cell r="BT1160" t="e">
            <v>#N/A</v>
          </cell>
        </row>
        <row r="1161">
          <cell r="BT1161" t="str">
            <v>Jánosháza</v>
          </cell>
        </row>
        <row r="1162">
          <cell r="BT1162" t="e">
            <v>#N/A</v>
          </cell>
        </row>
        <row r="1163">
          <cell r="BT1163" t="e">
            <v>#N/A</v>
          </cell>
        </row>
        <row r="1164">
          <cell r="BT1164" t="e">
            <v>#N/A</v>
          </cell>
        </row>
        <row r="1165">
          <cell r="BT1165" t="e">
            <v>#N/A</v>
          </cell>
        </row>
        <row r="1166">
          <cell r="BT1166" t="e">
            <v>#N/A</v>
          </cell>
        </row>
        <row r="1167">
          <cell r="BT1167" t="str">
            <v>Jászágó</v>
          </cell>
        </row>
        <row r="1168">
          <cell r="BT1168" t="e">
            <v>#N/A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k_x0000_a_x0000_r_x0000_a_x0000_j_x0000_e_x0000_n_x0000_Q_x0001__x0014__x0000__x0000_Dióskál, Béke tér 1._x0007__x0000__x0000_Egervár_x000C__x0000__x0001_G_x0000_y_x0000_Q_x0001_r_x0000_i_x0000_ _x0000_J_x0000_ó_x0000_z_x0000_s_x0000_e_x0000_f_x0000__x0008__x0000__x0000_Vár u. 2_x000E__x0000__x0000_Bátonyterenyei#_x0000__x0000_Pásztó Kistérség Többcélú Társulása_x0006__x0000__x0000_454052_x0011__x0000__x0000_Kölcsey F. u. 35._x0007__x0000__x0000_Pásztói_x0013__x0000__x0000_Szentgyörgyi József_x000D__x0000__x0000_Stoffán Antal
_x0000__x0000_Postaköz 1_x000B__x0000__x0000_Herceghalom	_x0000__x0001_F_x0000_Q_x0001_ _x0000_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e">
            <v>#N/A</v>
          </cell>
        </row>
        <row r="1185">
          <cell r="BT1185" t="str">
            <v>Jenő</v>
          </cell>
        </row>
        <row r="1186">
          <cell r="BT1186" t="e">
            <v>#N/A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e">
            <v>#N/A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Kadarkút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e">
            <v>#N/A</v>
          </cell>
        </row>
        <row r="1204">
          <cell r="BT1204" t="str">
            <v>Kálló</v>
          </cell>
        </row>
        <row r="1205">
          <cell r="BT1205" t="e">
            <v>#N/A</v>
          </cell>
        </row>
        <row r="1206">
          <cell r="BT1206" t="e">
            <v>#N/A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e">
            <v>#N/A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e">
            <v>#N/A</v>
          </cell>
        </row>
        <row r="1213">
          <cell r="BT1213" t="e">
            <v>#N/A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e">
            <v>#N/A</v>
          </cell>
        </row>
        <row r="1220">
          <cell r="BT1220" t="e">
            <v>#N/A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e">
            <v>#N/A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e">
            <v>#N/A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e">
            <v>#N/A</v>
          </cell>
        </row>
        <row r="1232">
          <cell r="BT1232" t="e">
            <v>#N/A</v>
          </cell>
        </row>
        <row r="1233">
          <cell r="BT1233" t="str">
            <v>Kaposvár</v>
          </cell>
        </row>
        <row r="1234">
          <cell r="BT1234" t="e">
            <v>#N/A</v>
          </cell>
        </row>
        <row r="1235">
          <cell r="BT1235" t="e">
            <v>#N/A</v>
          </cell>
        </row>
        <row r="1236">
          <cell r="BT1236" t="e">
            <v>#N/A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e">
            <v>#N/A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e">
            <v>#N/A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e">
            <v>#N/A</v>
          </cell>
        </row>
        <row r="1253">
          <cell r="BT1253" t="e">
            <v>#N/A</v>
          </cell>
        </row>
        <row r="1254">
          <cell r="BT1254" t="str">
            <v>Karos</v>
          </cell>
        </row>
        <row r="1255">
          <cell r="BT1255" t="str">
            <v>E_1.78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e">
            <v>#N/A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e">
            <v>#N/A</v>
          </cell>
        </row>
        <row r="1266">
          <cell r="BT1266" t="e">
            <v>#N/A</v>
          </cell>
        </row>
        <row r="1267">
          <cell r="BT1267" t="str">
            <v>Kazár</v>
          </cell>
        </row>
        <row r="1268">
          <cell r="BT1268" t="e">
            <v>#N/A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e">
            <v>#N/A</v>
          </cell>
        </row>
        <row r="1273">
          <cell r="BT1273" t="str">
            <v>Kecskemét</v>
          </cell>
        </row>
        <row r="1274">
          <cell r="BT1274" t="e">
            <v>#N/A</v>
          </cell>
        </row>
        <row r="1275">
          <cell r="BT1275" t="e">
            <v>#N/A</v>
          </cell>
        </row>
        <row r="1276">
          <cell r="BT1276" t="e">
            <v>#N/A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e">
            <v>#N/A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e">
            <v>#N/A</v>
          </cell>
        </row>
        <row r="1286">
          <cell r="BT1286" t="e">
            <v>#N/A</v>
          </cell>
        </row>
        <row r="1287">
          <cell r="BT1287" t="e">
            <v>#N/A</v>
          </cell>
        </row>
        <row r="1288">
          <cell r="BT1288" t="str">
            <v>Kemeneshőgyész</v>
          </cell>
        </row>
        <row r="1289">
          <cell r="BT1289" t="e">
            <v>#N/A</v>
          </cell>
        </row>
        <row r="1290">
          <cell r="BT1290" t="e">
            <v>#N/A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e">
            <v>#N/A</v>
          </cell>
        </row>
        <row r="1311">
          <cell r="BT1311" t="str">
            <v>Kereki</v>
          </cell>
        </row>
        <row r="1312">
          <cell r="BT1312" t="e">
            <v>#N/A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e">
            <v>#N/A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e">
            <v>#N/A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e">
            <v>#N/A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e">
            <v>#N/A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e">
            <v>#N/A</v>
          </cell>
        </row>
        <row r="1339">
          <cell r="BT1339" t="str">
            <v>Kilimán</v>
          </cell>
        </row>
        <row r="1340">
          <cell r="BT1340" t="e">
            <v>#N/A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e">
            <v>#N/A</v>
          </cell>
        </row>
        <row r="1344">
          <cell r="BT1344" t="e">
            <v>#N/A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e">
            <v>#N/A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e">
            <v>#N/A</v>
          </cell>
        </row>
        <row r="1352">
          <cell r="BT1352" t="str">
            <v>Kisbágyon</v>
          </cell>
        </row>
        <row r="1353">
          <cell r="BT1353" t="e">
            <v>#N/A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e">
            <v>#N/A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e">
            <v>#N/A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e">
            <v>#N/A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e">
            <v>#N/A</v>
          </cell>
        </row>
        <row r="1369">
          <cell r="BT1369" t="e">
            <v>#N/A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e">
            <v>#N/A</v>
          </cell>
        </row>
        <row r="1373">
          <cell r="BT1373" t="str">
            <v>Kisfüzes</v>
          </cell>
        </row>
        <row r="1374">
          <cell r="BT1374" t="e">
            <v>#N/A</v>
          </cell>
        </row>
        <row r="1375">
          <cell r="BT1375" t="str">
            <v>Kisgyalán</v>
          </cell>
        </row>
        <row r="1376">
          <cell r="BT1376" t="e">
            <v>#N/A</v>
          </cell>
        </row>
        <row r="1377">
          <cell r="BT1377" t="e">
            <v>#N/A</v>
          </cell>
        </row>
        <row r="1378">
          <cell r="BT1378" t="e">
            <v>#N/A</v>
          </cell>
        </row>
        <row r="1379">
          <cell r="BT1379" t="str">
            <v>zsgó_x0013__x0000__x0000_Ölbei Mihály Zoltán_x000C__x0000__x0000_Ölbei Mihály_x0010__x0000__x0000_Batthyány u. 15._x0005__x0000__x0000_T_8.1_x0005__x0000__x0000_K_8.1
_x0000__x0000_Nagybudmér_x000B__x0000__x0000_Tetz Ferenc_x000D__x0000__x0001_P_x0000_e_x0000_t_x0000_Q_x0001_f_x0000_i_x0000_ _x0000_ú_x0000_t_x0000_ _x0000_1_x0000_7_x0000_._x0000__x0005__x0000__x0000_T_8.2_x0005__x0000__x0000_K_8.2_x0010__x0000__x0000_Csizmadia Attila_x0004__x0000__x0000_Igal_x000E__x0000__x0000_Köteles László_x0010__x0000__x0000_Bajcsy-Zs. u. 6._x0005__x0000__x0000_Kondó_x000E__x0000__x0000_Lovas Bertalan_x0016__x0000__x0001_S_x0000_o_x0000_l_x0000_t_x0000_é_x0000_s_x0000_z_x0000_ _x0000_K</v>
          </cell>
        </row>
        <row r="1380">
          <cell r="BT1380" t="str">
            <v>Kisherend</v>
          </cell>
        </row>
        <row r="1381">
          <cell r="BT1381" t="e">
            <v>#N/A</v>
          </cell>
        </row>
        <row r="1382">
          <cell r="BT1382" t="e">
            <v>#N/A</v>
          </cell>
        </row>
        <row r="1383">
          <cell r="BT1383" t="e">
            <v>#N/A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e">
            <v>#N/A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e">
            <v>#N/A</v>
          </cell>
        </row>
        <row r="1390">
          <cell r="BT1390" t="e">
            <v>#N/A</v>
          </cell>
        </row>
        <row r="1391">
          <cell r="BT1391" t="e">
            <v>#N/A</v>
          </cell>
        </row>
        <row r="1392">
          <cell r="BT1392" t="str">
            <v>Kiskunlacháza</v>
          </cell>
        </row>
        <row r="1393">
          <cell r="BT1393" t="e">
            <v>#N/A</v>
          </cell>
        </row>
        <row r="1394">
          <cell r="BT1394" t="e">
            <v>#N/A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e">
            <v>#N/A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e">
            <v>#N/A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e">
            <v>#N/A</v>
          </cell>
        </row>
        <row r="1412">
          <cell r="BT1412" t="e">
            <v>#N/A</v>
          </cell>
        </row>
        <row r="1413">
          <cell r="BT1413" t="e">
            <v>#N/A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e">
            <v>#N/A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e">
            <v>#N/A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e">
            <v>#N/A</v>
          </cell>
        </row>
        <row r="1425">
          <cell r="BT1425" t="e">
            <v>#N/A</v>
          </cell>
        </row>
        <row r="1426">
          <cell r="BT1426" t="e">
            <v>#N/A</v>
          </cell>
        </row>
        <row r="1427">
          <cell r="BT1427" t="e">
            <v>#N/A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e">
            <v>#N/A</v>
          </cell>
        </row>
        <row r="1434">
          <cell r="BT1434" t="str">
            <v>Kisvaszar</v>
          </cell>
        </row>
        <row r="1435">
          <cell r="BT1435" t="e">
            <v>#N/A</v>
          </cell>
        </row>
        <row r="1436">
          <cell r="BT1436" t="e">
            <v>#N/A</v>
          </cell>
        </row>
        <row r="1437">
          <cell r="BT1437" t="str">
            <v>Kiszsidány</v>
          </cell>
        </row>
        <row r="1438">
          <cell r="BT1438" t="e">
            <v>#N/A</v>
          </cell>
        </row>
        <row r="1439">
          <cell r="BT1439" t="e">
            <v>#N/A</v>
          </cell>
        </row>
        <row r="1440">
          <cell r="BT1440" t="str">
            <v>Kocsér</v>
          </cell>
        </row>
        <row r="1441">
          <cell r="BT1441" t="e">
            <v>#N/A</v>
          </cell>
        </row>
        <row r="1442">
          <cell r="BT1442" t="e">
            <v>#N/A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e">
            <v>#N/A</v>
          </cell>
        </row>
        <row r="1449">
          <cell r="BT1449" t="e">
            <v>#N/A</v>
          </cell>
        </row>
        <row r="1450">
          <cell r="BT1450" t="e">
            <v>#N/A</v>
          </cell>
        </row>
        <row r="1451">
          <cell r="BT1451" t="str">
            <v>Komlósd</v>
          </cell>
        </row>
        <row r="1452">
          <cell r="BT1452" t="e">
            <v>#N/A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e">
            <v>#N/A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e">
            <v>#N/A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e">
            <v>#N/A</v>
          </cell>
        </row>
        <row r="1472">
          <cell r="BT1472" t="str">
            <v>Kozármisleny</v>
          </cell>
        </row>
        <row r="1473">
          <cell r="BT1473" t="e">
            <v>#N/A</v>
          </cell>
        </row>
        <row r="1474">
          <cell r="BT1474" t="e">
            <v>#N/A</v>
          </cell>
        </row>
        <row r="1475">
          <cell r="BT1475" t="str">
            <v>Köcsk</v>
          </cell>
        </row>
        <row r="1476">
          <cell r="BT1476" t="e">
            <v>#N/A</v>
          </cell>
        </row>
        <row r="1477">
          <cell r="BT1477" t="e">
            <v>#N/A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e">
            <v>#N/A</v>
          </cell>
        </row>
        <row r="1483">
          <cell r="BT1483" t="e">
            <v>#N/A</v>
          </cell>
        </row>
        <row r="1484">
          <cell r="BT1484" t="e">
            <v>#N/A</v>
          </cell>
        </row>
        <row r="1485">
          <cell r="BT1485" t="str">
            <v>Körmend</v>
          </cell>
        </row>
        <row r="1486">
          <cell r="BT1486" t="e">
            <v>#N/A</v>
          </cell>
        </row>
        <row r="1487">
          <cell r="BT1487" t="str">
            <v>Köröm</v>
          </cell>
        </row>
        <row r="1488">
          <cell r="BT1488" t="e">
            <v>#N/A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e">
            <v>#N/A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e">
            <v>#N/A</v>
          </cell>
        </row>
        <row r="1512">
          <cell r="BT1512" t="str">
            <v>Kunágota</v>
          </cell>
        </row>
        <row r="1513">
          <cell r="BT1513" t="e">
            <v>#N/A</v>
          </cell>
        </row>
        <row r="1514">
          <cell r="BT1514" t="e">
            <v>#N/A</v>
          </cell>
        </row>
        <row r="1515">
          <cell r="BT1515" t="str">
            <v>Kuncsorba</v>
          </cell>
        </row>
        <row r="1516">
          <cell r="BT1516" t="e">
            <v>#N/A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e">
            <v>#N/A</v>
          </cell>
        </row>
        <row r="1520">
          <cell r="BT1520" t="e">
            <v>#N/A</v>
          </cell>
        </row>
        <row r="1521">
          <cell r="BT1521" t="str">
            <v>Kunszentmárton</v>
          </cell>
        </row>
        <row r="1522">
          <cell r="BT1522" t="e">
            <v>#N/A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e">
            <v>#N/A</v>
          </cell>
        </row>
        <row r="1529">
          <cell r="BT1529" t="str">
            <v>Kutas</v>
          </cell>
        </row>
        <row r="1530">
          <cell r="BT1530" t="e">
            <v>#N/A</v>
          </cell>
        </row>
        <row r="1531">
          <cell r="BT1531" t="str">
            <v>Kübekháza</v>
          </cell>
        </row>
        <row r="1532">
          <cell r="BT1532" t="e">
            <v>#N/A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e">
            <v>#N/A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e">
            <v>#N/A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e">
            <v>#N/A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e">
            <v>#N/A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e">
            <v>#N/A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e">
            <v>#N/A</v>
          </cell>
        </row>
        <row r="1557">
          <cell r="BT1557" t="e">
            <v>#N/A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e">
            <v>#N/A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e">
            <v>#N/A</v>
          </cell>
        </row>
        <row r="1567">
          <cell r="BT1567" t="str">
            <v>Lesencefalu</v>
          </cell>
        </row>
        <row r="1568">
          <cell r="BT1568" t="e">
            <v>#N/A</v>
          </cell>
        </row>
        <row r="1569">
          <cell r="BT1569" t="e">
            <v>#N/A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e">
            <v>#N/A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e">
            <v>#N/A</v>
          </cell>
        </row>
        <row r="1577">
          <cell r="BT1577" t="e">
            <v>#N/A</v>
          </cell>
        </row>
        <row r="1578">
          <cell r="BT1578" t="str">
            <v>Ligetfalva</v>
          </cell>
        </row>
        <row r="1579">
          <cell r="BT1579" t="e">
            <v>#N/A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e">
            <v>#N/A</v>
          </cell>
        </row>
        <row r="1585">
          <cell r="BT1585" t="str">
            <v>Litka</v>
          </cell>
        </row>
        <row r="1586">
          <cell r="BT1586" t="e">
            <v>#N/A</v>
          </cell>
        </row>
        <row r="1587">
          <cell r="BT1587" t="str">
            <v>Lócs</v>
          </cell>
        </row>
        <row r="1588">
          <cell r="BT1588" t="e">
            <v>#N/A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e">
            <v>#N/A</v>
          </cell>
        </row>
        <row r="1593">
          <cell r="BT1593" t="e">
            <v>#N/A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e">
            <v>#N/A</v>
          </cell>
        </row>
        <row r="1597">
          <cell r="BT1597" t="str">
            <v>571553</v>
          </cell>
        </row>
        <row r="1598">
          <cell r="BT1598" t="e">
            <v>#N/A</v>
          </cell>
        </row>
        <row r="1599">
          <cell r="BT1599" t="e">
            <v>#N/A</v>
          </cell>
        </row>
        <row r="1600">
          <cell r="BT1600" t="str">
            <v>Lövőpetri</v>
          </cell>
        </row>
        <row r="1601">
          <cell r="BT1601" t="e">
            <v>#N/A</v>
          </cell>
        </row>
        <row r="1602">
          <cell r="BT1602" t="e">
            <v>#N/A</v>
          </cell>
        </row>
        <row r="1603">
          <cell r="BT1603" t="e">
            <v>#N/A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e">
            <v>#N/A</v>
          </cell>
        </row>
        <row r="1610">
          <cell r="BT1610" t="e">
            <v>#N/A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e">
            <v>#N/A</v>
          </cell>
        </row>
        <row r="1617">
          <cell r="BT1617" t="str">
            <v>Krachun Szilárd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e">
            <v>#N/A</v>
          </cell>
        </row>
        <row r="1623">
          <cell r="BT1623" t="str">
            <v>Magyarföld</v>
          </cell>
        </row>
        <row r="1624">
          <cell r="BT1624" t="e">
            <v>#N/A</v>
          </cell>
        </row>
        <row r="1625">
          <cell r="BT1625" t="e">
            <v>#N/A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e">
            <v>#N/A</v>
          </cell>
        </row>
        <row r="1629">
          <cell r="BT1629" t="e">
            <v>#N/A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e">
            <v>#N/A</v>
          </cell>
        </row>
        <row r="1635">
          <cell r="BT1635" t="e">
            <v>#N/A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e">
            <v>#N/A</v>
          </cell>
        </row>
        <row r="1641">
          <cell r="BT1641" t="e">
            <v>#N/A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e">
            <v>#N/A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e">
            <v>#N/A</v>
          </cell>
        </row>
        <row r="1654">
          <cell r="BT1654" t="str">
            <v>Mánfa</v>
          </cell>
        </row>
        <row r="1655">
          <cell r="BT1655" t="e">
            <v>#N/A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Salamon Gyula</v>
          </cell>
        </row>
        <row r="1661">
          <cell r="BT1661" t="str">
            <v>Máriahalom</v>
          </cell>
        </row>
        <row r="1662">
          <cell r="BT1662" t="e">
            <v>#N/A</v>
          </cell>
        </row>
        <row r="1663">
          <cell r="BT1663" t="e">
            <v>#N/A</v>
          </cell>
        </row>
        <row r="1664">
          <cell r="BT1664" t="str">
            <v>Márianosztra</v>
          </cell>
        </row>
        <row r="1665">
          <cell r="BT1665" t="e">
            <v>#N/A</v>
          </cell>
        </row>
        <row r="1666">
          <cell r="BT1666" t="str">
            <v>Markaz</v>
          </cell>
        </row>
        <row r="1667">
          <cell r="BT1667" t="e">
            <v>#N/A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e">
            <v>#N/A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汩慬_x000E_䬀獯畳桴甠‮㠵ਮ_x0000_穓浡獯穳来_x0011_伀⁨潮⁳楍汫珳
伀⁨潮๳_x0000_敂捲祮⁩⹵⸶_x0010_匀慺潭瑳瑡狡慦癬ཡ_x0000_潐歲汯拡䐠满敩ཬ_x0000_⁮牋獩瑺ᕮ_x0000_敦ⱪ删毡揳楺甠‮㠴മ_x0000_慂慬潴杮ᅫ_x0000_楋獳䰠珡決⃳楔潢ᅲ_x0000_潋獳瑵⁨⹌甠‮㤲༮_x0000_慂慬潴浮条慹੤_x0000_潲灳瑡歡_x000B_匀牡獯慰慴楫_x0006_䤀ㅟ㌮ص_x0000_彔⸱㔳_x0006_䬀ㅟ㌮ص_x0000_彅⸱㔳_x0005_䤀㍟㔮_x0006_䈀扡牡ౣ_x0000_獣⁩摮牯_x000B_䈀毩⁥⹵㐠⸱_x000F_匀瓡牯污慪櫺敨祬_x0010_匀瑡牯污慪橵敨祬٩_x0000_彉⸱㘳_x0006_吀ㅟ㌮ض_x0000_彋⸱㘳_x0006_䔀ㅟ㌮Զ_x0000_彉⸳ض_x0000_彉⸲㘱_x000C_䈁愀戀愀爀挀猀稀儀氁儀猁ഀ_x0000_畒灰牥⁴湁慴੬_x0000_浬满慺_x0016_一擡獡祳䄠摮⁳</v>
          </cell>
        </row>
        <row r="1674">
          <cell r="BT1674" t="str">
            <v>Márokföld</v>
          </cell>
        </row>
        <row r="1675">
          <cell r="BT1675" t="e">
            <v>#N/A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e">
            <v>#N/A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e">
            <v>#N/A</v>
          </cell>
        </row>
        <row r="1687">
          <cell r="BT1687" t="e">
            <v>#N/A</v>
          </cell>
        </row>
        <row r="1688">
          <cell r="BT1688" t="e">
            <v>#N/A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e">
            <v>#N/A</v>
          </cell>
        </row>
        <row r="1694">
          <cell r="BT1694" t="str">
            <v>Matty</v>
          </cell>
        </row>
        <row r="1695">
          <cell r="BT1695" t="e">
            <v>#N/A</v>
          </cell>
        </row>
        <row r="1696">
          <cell r="BT1696" t="str">
            <v>Máza</v>
          </cell>
        </row>
        <row r="1697">
          <cell r="BT1697" t="e">
            <v>#N/A</v>
          </cell>
        </row>
        <row r="1698">
          <cell r="BT1698" t="e">
            <v>#N/A</v>
          </cell>
        </row>
        <row r="1699">
          <cell r="BT1699" t="e">
            <v>#N/A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e">
            <v>#N/A</v>
          </cell>
        </row>
        <row r="1703">
          <cell r="BT1703" t="e">
            <v>#N/A</v>
          </cell>
        </row>
        <row r="1704">
          <cell r="BT1704" t="e">
            <v>#N/A</v>
          </cell>
        </row>
        <row r="1705">
          <cell r="BT1705" t="e">
            <v>#N/A</v>
          </cell>
        </row>
        <row r="1706">
          <cell r="BT1706" t="str">
            <v>Megyer</v>
          </cell>
        </row>
        <row r="1707">
          <cell r="BT1707" t="e">
            <v>#N/A</v>
          </cell>
        </row>
        <row r="1708">
          <cell r="BT1708" t="str">
            <v>Méhtelek</v>
          </cell>
        </row>
        <row r="1709">
          <cell r="BT1709" t="e">
            <v>#N/A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e">
            <v>#N/A</v>
          </cell>
        </row>
        <row r="1715">
          <cell r="BT1715" t="e">
            <v>#N/A</v>
          </cell>
        </row>
        <row r="1716">
          <cell r="BT1716" t="str">
            <v>Mérk</v>
          </cell>
        </row>
        <row r="1717">
          <cell r="BT1717" t="e">
            <v>#N/A</v>
          </cell>
        </row>
        <row r="1718">
          <cell r="BT1718" t="e">
            <v>#N/A</v>
          </cell>
        </row>
        <row r="1719">
          <cell r="BT1719" t="e">
            <v>#N/A</v>
          </cell>
        </row>
        <row r="1720">
          <cell r="BT1720" t="e">
            <v>#N/A</v>
          </cell>
        </row>
        <row r="1721">
          <cell r="BT1721" t="str">
            <v>Mesterszállás</v>
          </cell>
        </row>
        <row r="1722">
          <cell r="BT1722" t="e">
            <v>#N/A</v>
          </cell>
        </row>
        <row r="1723">
          <cell r="BT1723" t="e">
            <v>#N/A</v>
          </cell>
        </row>
        <row r="1724">
          <cell r="BT1724" t="e">
            <v>#N/A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e">
            <v>#N/A</v>
          </cell>
        </row>
        <row r="1728">
          <cell r="BT1728" t="e">
            <v>#N/A</v>
          </cell>
        </row>
        <row r="1729">
          <cell r="BT1729" t="e">
            <v>#N/A</v>
          </cell>
        </row>
        <row r="1730">
          <cell r="BT1730" t="str">
            <v>Mezőgyán</v>
          </cell>
        </row>
        <row r="1731">
          <cell r="BT1731" t="e">
            <v>#N/A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e">
            <v>#N/A</v>
          </cell>
        </row>
        <row r="1735">
          <cell r="BT1735" t="str">
            <v>Mezőkovácsháza</v>
          </cell>
        </row>
        <row r="1736">
          <cell r="BT1736" t="e">
            <v>#N/A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e">
            <v>#N/A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e">
            <v>#N/A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e">
            <v>#N/A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e">
            <v>#N/A</v>
          </cell>
        </row>
        <row r="1760">
          <cell r="BT1760" t="e">
            <v>#N/A</v>
          </cell>
        </row>
        <row r="1761">
          <cell r="BT1761" t="str">
            <v>Mikóháza</v>
          </cell>
        </row>
        <row r="1762">
          <cell r="BT1762" t="e">
            <v>#N/A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e">
            <v>#N/A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e">
            <v>#N/A</v>
          </cell>
        </row>
        <row r="1770">
          <cell r="BT1770" t="e">
            <v>#N/A</v>
          </cell>
        </row>
        <row r="1771">
          <cell r="BT1771" t="e">
            <v>#N/A</v>
          </cell>
        </row>
        <row r="1772">
          <cell r="BT1772" t="e">
            <v>#N/A</v>
          </cell>
        </row>
        <row r="1773">
          <cell r="BT1773" t="str">
            <v>Mogyoród</v>
          </cell>
        </row>
        <row r="1774">
          <cell r="BT1774" t="e">
            <v>#N/A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e">
            <v>#N/A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e">
            <v>#N/A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e">
            <v>#N/A</v>
          </cell>
        </row>
        <row r="1795">
          <cell r="BT1795" t="e">
            <v>#N/A</v>
          </cell>
        </row>
        <row r="1796">
          <cell r="BT1796" t="e">
            <v>#N/A</v>
          </cell>
        </row>
        <row r="1797">
          <cell r="BT1797" t="e">
            <v>#N/A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e">
            <v>#N/A</v>
          </cell>
        </row>
        <row r="1811">
          <cell r="BT1811" t="e">
            <v>#N/A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e">
            <v>#N/A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e">
            <v>#N/A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e">
            <v>#N/A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e">
            <v>#N/A</v>
          </cell>
        </row>
        <row r="1844">
          <cell r="BT1844" t="e">
            <v>#N/A</v>
          </cell>
        </row>
        <row r="1845">
          <cell r="BT1845" t="e">
            <v>#N/A</v>
          </cell>
        </row>
        <row r="1846">
          <cell r="BT1846" t="str">
            <v>Nagygörbő</v>
          </cell>
        </row>
        <row r="1847">
          <cell r="BT1847" t="e">
            <v>#N/A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e">
            <v>#N/A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e">
            <v>#N/A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e">
            <v>#N/A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e">
            <v>#N/A</v>
          </cell>
        </row>
        <row r="1869">
          <cell r="BT1869" t="str">
            <v>Nagykökényes</v>
          </cell>
        </row>
        <row r="1870">
          <cell r="BT1870" t="e">
            <v>#N/A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e">
            <v>#N/A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e">
            <v>#N/A</v>
          </cell>
        </row>
        <row r="1888">
          <cell r="BT1888" t="e">
            <v>#N/A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e">
            <v>#N/A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e">
            <v>#N/A</v>
          </cell>
        </row>
        <row r="1897">
          <cell r="BT1897" t="e">
            <v>#N/A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e">
            <v>#N/A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e">
            <v>#N/A</v>
          </cell>
        </row>
        <row r="1907">
          <cell r="BT1907" t="e">
            <v>#N/A</v>
          </cell>
        </row>
        <row r="1908">
          <cell r="BT1908" t="str">
            <v>Nagytótfalu</v>
          </cell>
        </row>
        <row r="1909">
          <cell r="BT1909" t="e">
            <v>#N/A</v>
          </cell>
        </row>
        <row r="1910">
          <cell r="BT1910" t="str">
            <v>Nagyút</v>
          </cell>
        </row>
        <row r="1911">
          <cell r="BT1911" t="e">
            <v>#N/A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e">
            <v>#N/A</v>
          </cell>
        </row>
        <row r="1920">
          <cell r="BT1920" t="str">
            <v>Nárai</v>
          </cell>
        </row>
        <row r="1921">
          <cell r="BT1921" t="e">
            <v>#N/A</v>
          </cell>
        </row>
        <row r="1922">
          <cell r="BT1922" t="e">
            <v>#N/A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e">
            <v>#N/A</v>
          </cell>
        </row>
        <row r="1928">
          <cell r="BT1928" t="str">
            <v>Nemesbőd</v>
          </cell>
        </row>
        <row r="1929">
          <cell r="BT1929" t="e">
            <v>#N/A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e">
            <v>#N/A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e">
            <v>#N/A</v>
          </cell>
        </row>
        <row r="1946">
          <cell r="BT1946" t="e">
            <v>#N/A</v>
          </cell>
        </row>
        <row r="1947">
          <cell r="BT1947" t="e">
            <v>#N/A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e">
            <v>#N/A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e">
            <v>#N/A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e">
            <v>#N/A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e">
            <v>#N/A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e">
            <v>#N/A</v>
          </cell>
        </row>
        <row r="1984">
          <cell r="BT1984" t="str">
            <v>Zvekán László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e">
            <v>#N/A</v>
          </cell>
        </row>
        <row r="1999">
          <cell r="BT1999" t="e">
            <v>#N/A</v>
          </cell>
        </row>
        <row r="2000">
          <cell r="BT2000" t="str">
            <v>Fiad</v>
          </cell>
        </row>
        <row r="2001">
          <cell r="BT2001" t="e">
            <v>#N/A</v>
          </cell>
        </row>
        <row r="2002">
          <cell r="BT2002" t="e">
            <v>#N/A</v>
          </cell>
        </row>
        <row r="2003">
          <cell r="BT2003" t="e">
            <v>#N/A</v>
          </cell>
        </row>
        <row r="2004">
          <cell r="BT2004" t="e">
            <v>#N/A</v>
          </cell>
        </row>
        <row r="2005">
          <cell r="BT2005" t="e">
            <v>#N/A</v>
          </cell>
        </row>
        <row r="2006">
          <cell r="BT2006" t="e">
            <v>#N/A</v>
          </cell>
        </row>
        <row r="2007">
          <cell r="BT2007" t="e">
            <v>#N/A</v>
          </cell>
        </row>
        <row r="2008">
          <cell r="BT2008" t="e">
            <v>#N/A</v>
          </cell>
        </row>
        <row r="2009">
          <cell r="BT2009" t="str">
            <v>Nyírmártonfalva</v>
          </cell>
        </row>
        <row r="2010">
          <cell r="BT2010" t="e">
            <v>#N/A</v>
          </cell>
        </row>
        <row r="2011">
          <cell r="BT2011" t="e">
            <v>#N/A</v>
          </cell>
        </row>
        <row r="2012">
          <cell r="BT2012" t="e">
            <v>#N/A</v>
          </cell>
        </row>
        <row r="2013">
          <cell r="BT2013" t="e">
            <v>#N/A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e">
            <v>#N/A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e">
            <v>#N/A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e">
            <v>#N/A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e">
            <v>#N/A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e">
            <v>#N/A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e">
            <v>#N/A</v>
          </cell>
        </row>
        <row r="2046">
          <cell r="BT2046" t="e">
            <v>#N/A</v>
          </cell>
        </row>
        <row r="2047">
          <cell r="BT2047" t="str">
            <v>Ópályi</v>
          </cell>
        </row>
        <row r="2048">
          <cell r="BT2048" t="e">
            <v>#N/A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e">
            <v>#N/A</v>
          </cell>
        </row>
        <row r="2055">
          <cell r="BT2055" t="e">
            <v>#N/A</v>
          </cell>
        </row>
        <row r="2056">
          <cell r="BT2056" t="str">
            <v>Ormándlak</v>
          </cell>
        </row>
        <row r="2057">
          <cell r="BT2057" t="e">
            <v>#N/A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e">
            <v>#N/A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e">
            <v>#N/A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e">
            <v>#N/A</v>
          </cell>
        </row>
        <row r="2068">
          <cell r="BT2068" t="e">
            <v>#N/A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e">
            <v>#N/A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e">
            <v>#N/A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e">
            <v>#N/A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e">
            <v>#N/A</v>
          </cell>
        </row>
        <row r="2097">
          <cell r="BT2097" t="str">
            <v>Ötvöskónyi</v>
          </cell>
        </row>
        <row r="2098">
          <cell r="BT2098" t="e">
            <v>#N/A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e">
            <v>#N/A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e">
            <v>#N/A</v>
          </cell>
        </row>
        <row r="2108">
          <cell r="BT2108" t="str">
            <v>Pálfa</v>
          </cell>
        </row>
        <row r="2109">
          <cell r="BT2109" t="e">
            <v>#N/A</v>
          </cell>
        </row>
        <row r="2110">
          <cell r="BT2110" t="e">
            <v>#N/A</v>
          </cell>
        </row>
        <row r="2111">
          <cell r="BT2111" t="e">
            <v>#N/A</v>
          </cell>
        </row>
        <row r="2112">
          <cell r="BT2112" t="e">
            <v>#N/A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e">
            <v>#N/A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e">
            <v>#N/A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e">
            <v>#N/A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e">
            <v>#N/A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e">
            <v>#N/A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e">
            <v>#N/A</v>
          </cell>
        </row>
        <row r="2160">
          <cell r="BT2160" t="e">
            <v>#N/A</v>
          </cell>
        </row>
        <row r="2161">
          <cell r="BT2161" t="str">
            <v>Pécsely</v>
          </cell>
        </row>
        <row r="2162">
          <cell r="BT2162" t="e">
            <v>#N/A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e">
            <v>#N/A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e">
            <v>#N/A</v>
          </cell>
        </row>
        <row r="2177">
          <cell r="BT2177" t="e">
            <v>#N/A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e">
            <v>#N/A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e">
            <v>#N/A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e">
            <v>#N/A</v>
          </cell>
        </row>
        <row r="2191">
          <cell r="BT2191" t="e">
            <v>#N/A</v>
          </cell>
        </row>
        <row r="2192">
          <cell r="BT2192" t="e">
            <v>#N/A</v>
          </cell>
        </row>
        <row r="2193">
          <cell r="BT2193" t="str">
            <v>Petrivente</v>
          </cell>
        </row>
        <row r="2194">
          <cell r="BT2194" t="e">
            <v>#N/A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e">
            <v>#N/A</v>
          </cell>
        </row>
        <row r="2200">
          <cell r="BT2200" t="str">
            <v>Pilisjászfalu</v>
          </cell>
        </row>
        <row r="2201">
          <cell r="BT2201" t="e">
            <v>#N/A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e">
            <v>#N/A</v>
          </cell>
        </row>
        <row r="2209">
          <cell r="BT2209" t="e">
            <v>#N/A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e">
            <v>#N/A</v>
          </cell>
        </row>
        <row r="2213">
          <cell r="BT2213" t="e">
            <v>#N/A</v>
          </cell>
        </row>
        <row r="2214">
          <cell r="BT2214" t="e">
            <v>#N/A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e">
            <v>#N/A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e">
            <v>#N/A</v>
          </cell>
        </row>
        <row r="2227">
          <cell r="BT2227" t="str">
            <v>Poroszló</v>
          </cell>
        </row>
        <row r="2228">
          <cell r="BT2228" t="e">
            <v>#N/A</v>
          </cell>
        </row>
        <row r="2229">
          <cell r="BT2229" t="e">
            <v>#N/A</v>
          </cell>
        </row>
        <row r="2230">
          <cell r="BT2230" t="e">
            <v>#N/A</v>
          </cell>
        </row>
        <row r="2231">
          <cell r="BT2231" t="e">
            <v>#N/A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e">
            <v>#N/A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e">
            <v>#N/A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_x0000_Rákóczibánya_x000C__x0000__x0001_B_x0000_e_x0000_n_x0000_c_x0000_s_x0000_i_x0000_k_x0000_ _x0000_E_x0000_r_x0000_n_x0000_Q_x0001__x0005__x0000__x0000_Abony_x001A__x0000__x0000_Romhányiné Dr. Balogh Edit_x0011__x0000__x0000_Dr. Gajdos István_x0004__x0000__x0000_Pest_x0004__x0000__x0000_Acsa_x000E__x0000__x0001_S_x0000_z_x0000_e_x0000_k_x0000_e_x0000_r_x0000_e_x0000_s_x0000_ _x0000_R_x0000_e_x0000_z_x0000_s_x0000_Q_x0001__x0006__x0000__x0000_Gerjen_x0006__x0000__x0000_Grábóc_x0013__x0000__x0000_Tüske László Károly_x000E__x0000__x0000_Rákóczi u. 84._x0005__x0000__x0000_Gyönk
_x0000__x0000_Katz Gyula_x0012__x0000__x0000_Ady E. u. 561-562._x0005__x0000__x0000_Györe_x000C__x0000__x0000_Cso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e">
            <v>#N/A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e">
            <v>#N/A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e">
            <v>#N/A</v>
          </cell>
        </row>
        <row r="2274">
          <cell r="BT2274" t="e">
            <v>#N/A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e">
            <v>#N/A</v>
          </cell>
        </row>
        <row r="2278">
          <cell r="BT2278" t="e">
            <v>#N/A</v>
          </cell>
        </row>
        <row r="2279">
          <cell r="BT2279" t="str">
            <v>Rábapaty</v>
          </cell>
        </row>
        <row r="2280">
          <cell r="BT2280" t="e">
            <v>#N/A</v>
          </cell>
        </row>
        <row r="2281">
          <cell r="BT2281" t="e">
            <v>#N/A</v>
          </cell>
        </row>
        <row r="2282">
          <cell r="BT2282" t="e">
            <v>#N/A</v>
          </cell>
        </row>
        <row r="2283">
          <cell r="BT2283" t="e">
            <v>#N/A</v>
          </cell>
        </row>
        <row r="2284">
          <cell r="BT2284" t="e">
            <v>#N/A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e">
            <v>#N/A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e">
            <v>#N/A</v>
          </cell>
        </row>
        <row r="2295">
          <cell r="BT2295" t="e">
            <v>#N/A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e">
            <v>#N/A</v>
          </cell>
        </row>
        <row r="2300">
          <cell r="BT2300" t="e">
            <v>#N/A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e">
            <v>#N/A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e">
            <v>#N/A</v>
          </cell>
        </row>
        <row r="2312">
          <cell r="BT2312" t="str">
            <v>Recsk</v>
          </cell>
        </row>
        <row r="2313">
          <cell r="BT2313" t="e">
            <v>#N/A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e">
            <v>#N/A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e">
            <v>#N/A</v>
          </cell>
        </row>
        <row r="2327">
          <cell r="BT2327" t="e">
            <v>#N/A</v>
          </cell>
        </row>
        <row r="2328">
          <cell r="BT2328" t="e">
            <v>#N/A</v>
          </cell>
        </row>
        <row r="2329">
          <cell r="BT2329" t="e">
            <v>#N/A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e">
            <v>#N/A</v>
          </cell>
        </row>
        <row r="2334">
          <cell r="BT2334" t="str">
            <v>I_1.23</v>
          </cell>
        </row>
        <row r="2335">
          <cell r="BT2335" t="str">
            <v>Rimóc</v>
          </cell>
        </row>
        <row r="2336">
          <cell r="BT2336" t="e">
            <v>#N/A</v>
          </cell>
        </row>
        <row r="2337">
          <cell r="BT2337" t="e">
            <v>#N/A</v>
          </cell>
        </row>
        <row r="2338">
          <cell r="BT2338" t="e">
            <v>#N/A</v>
          </cell>
        </row>
        <row r="2339">
          <cell r="BT2339" t="e">
            <v>#N/A</v>
          </cell>
        </row>
        <row r="2340">
          <cell r="BT2340" t="e">
            <v>#N/A</v>
          </cell>
        </row>
        <row r="2341">
          <cell r="BT2341" t="e">
            <v>#N/A</v>
          </cell>
        </row>
        <row r="2342">
          <cell r="BT2342" t="e">
            <v>#N/A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e">
            <v>#N/A</v>
          </cell>
        </row>
        <row r="2349">
          <cell r="BT2349" t="e">
            <v>#N/A</v>
          </cell>
        </row>
        <row r="2350">
          <cell r="BT2350" t="e">
            <v>#N/A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e">
            <v>#N/A</v>
          </cell>
        </row>
        <row r="2354">
          <cell r="BT2354" t="e">
            <v>#N/A</v>
          </cell>
        </row>
        <row r="2355">
          <cell r="BT2355" t="str">
            <v>Ságújfalu</v>
          </cell>
        </row>
        <row r="2356">
          <cell r="BT2356" t="e">
            <v>#N/A</v>
          </cell>
        </row>
        <row r="2357">
          <cell r="BT2357" t="e">
            <v>#N/A</v>
          </cell>
        </row>
        <row r="2358">
          <cell r="BT2358" t="e">
            <v>#N/A</v>
          </cell>
        </row>
        <row r="2359">
          <cell r="BT2359" t="e">
            <v>#N/A</v>
          </cell>
        </row>
        <row r="2360">
          <cell r="BT2360" t="e">
            <v>#N/A</v>
          </cell>
        </row>
        <row r="2361">
          <cell r="BT2361" t="e">
            <v>#N/A</v>
          </cell>
        </row>
        <row r="2362">
          <cell r="BT2362" t="e">
            <v>#N/A</v>
          </cell>
        </row>
        <row r="2363">
          <cell r="BT2363" t="e">
            <v>#N/A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e">
            <v>#N/A</v>
          </cell>
        </row>
        <row r="2369">
          <cell r="BT2369" t="e">
            <v>#N/A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e">
            <v>#N/A</v>
          </cell>
        </row>
        <row r="2376">
          <cell r="BT2376" t="e">
            <v>#N/A</v>
          </cell>
        </row>
        <row r="2377">
          <cell r="BT2377" t="e">
            <v>#N/A</v>
          </cell>
        </row>
        <row r="2378">
          <cell r="BT2378" t="e">
            <v>#N/A</v>
          </cell>
        </row>
        <row r="2379">
          <cell r="BT2379" t="str">
            <v>Salföld</v>
          </cell>
        </row>
        <row r="2380">
          <cell r="BT2380" t="e">
            <v>#N/A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e">
            <v>#N/A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e">
            <v>#N/A</v>
          </cell>
        </row>
        <row r="2388">
          <cell r="BT2388" t="e">
            <v>#N/A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e">
            <v>#N/A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e">
            <v>#N/A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e">
            <v>#N/A</v>
          </cell>
        </row>
        <row r="2412">
          <cell r="BT2412" t="str">
            <v>Sarud</v>
          </cell>
        </row>
        <row r="2413">
          <cell r="BT2413" t="e">
            <v>#N/A</v>
          </cell>
        </row>
        <row r="2414">
          <cell r="BT2414" t="e">
            <v>#N/A</v>
          </cell>
        </row>
        <row r="2415">
          <cell r="BT2415" t="str">
            <v>Sáska</v>
          </cell>
        </row>
        <row r="2416">
          <cell r="BT2416" t="e">
            <v>#N/A</v>
          </cell>
        </row>
        <row r="2417">
          <cell r="BT2417" t="str">
            <v>Sátoraljaújhely</v>
          </cell>
        </row>
        <row r="2418">
          <cell r="BT2418" t="str">
            <v>Gyömöre</v>
          </cell>
        </row>
        <row r="2419">
          <cell r="BT2419" t="str">
            <v>Sávoly</v>
          </cell>
        </row>
        <row r="2420">
          <cell r="BT2420" t="e">
            <v>#N/A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e">
            <v>#N/A</v>
          </cell>
        </row>
        <row r="2424">
          <cell r="BT2424" t="e">
            <v>#N/A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e">
            <v>#N/A</v>
          </cell>
        </row>
        <row r="2429">
          <cell r="BT2429" t="e">
            <v>#N/A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e">
            <v>#N/A</v>
          </cell>
        </row>
        <row r="2436">
          <cell r="BT2436" t="e">
            <v>#N/A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Dózsa Gy. u. 17-19.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e">
            <v>#N/A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祬_x000C_䨀桵珡⁺楔潢ི_x0000_楔楬杮牥䘠牥湥ལ_x0000_牄‮敤⁩獚汯൴_x0000_潴楳䘠牥湥ୣ_x0000_敫琠狩㜠ਮ_x0000_ﱓ敭灧慧_x000C_䠀橵敢⁲潮ٳ_x0000_穓烡狡_x000D_䈀泡湩⁴摮牯_x000C_䘀拡歩䘠牥湥ᙣ_x0000_穣⁩敆敲据甠‮⼱⹁_x000C_匀敺瑮湡慴晬ൡ_x0000_穓湥扴毩汬๡_x0000_癲狡⁩瑁楴慬_x000C_䌀潳扭⃳慌潪ࡳ_x0000_穓湥杴泡_x000D_嘀捥敳⁹敆敲据_x000E_䈀桩牡敫敲穳整๳_x0000_慂慲⁳敆敲据_x0013_䘀泼烶䴠桩泡⁹獉癴满_x0010_匀档湥楹甠‮㜵ฮ_x0000_楂慨湲条批橡浯_x000C_匀楺匠满潤ੲ_x0000_楂慨瑲牯慤_x0010_䐀⹲匠慺䨠竳敳๦_x0000_潋獳瑵⁨⹵㐠⸳_x000B_䈀捯歳楡敫瑲_x000E_匁稀儀氁氀儀猁 匀渀搀漀爀ༀ_x0000_汁潫浴满⁹瓺㠠ମĀFelsőregmec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e">
            <v>#N/A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e">
            <v>#N/A</v>
          </cell>
        </row>
        <row r="2463">
          <cell r="BT2463" t="e">
            <v>#N/A</v>
          </cell>
        </row>
        <row r="2464">
          <cell r="BT2464" t="e">
            <v>#N/A</v>
          </cell>
        </row>
        <row r="2465">
          <cell r="BT2465" t="e">
            <v>#N/A</v>
          </cell>
        </row>
        <row r="2466">
          <cell r="BT2466" t="e">
            <v>#N/A</v>
          </cell>
        </row>
        <row r="2467">
          <cell r="BT2467" t="e">
            <v>#N/A</v>
          </cell>
        </row>
        <row r="2468">
          <cell r="BT2468" t="e">
            <v>#N/A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e">
            <v>#N/A</v>
          </cell>
        </row>
        <row r="2472">
          <cell r="BT2472" t="e">
            <v>#N/A</v>
          </cell>
        </row>
        <row r="2473">
          <cell r="BT2473" t="e">
            <v>#N/A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e">
            <v>#N/A</v>
          </cell>
        </row>
        <row r="2480">
          <cell r="BT2480" t="e">
            <v>#N/A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e">
            <v>#N/A</v>
          </cell>
        </row>
        <row r="2493">
          <cell r="BT2493" t="e">
            <v>#N/A</v>
          </cell>
        </row>
        <row r="2494">
          <cell r="BT2494" t="str">
            <v>Sormás</v>
          </cell>
        </row>
        <row r="2495">
          <cell r="BT2495" t="e">
            <v>#N/A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Fonó</v>
          </cell>
        </row>
        <row r="2502">
          <cell r="BT2502" t="str">
            <v>Söpte</v>
          </cell>
        </row>
        <row r="2503">
          <cell r="BT2503" t="e">
            <v>#N/A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Nagykátai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Veresegyházi</v>
          </cell>
        </row>
        <row r="2512">
          <cell r="BT2512" t="e">
            <v>#N/A</v>
          </cell>
        </row>
        <row r="2513">
          <cell r="BT2513" t="str">
            <v>Süttő</v>
          </cell>
        </row>
        <row r="2514">
          <cell r="BT2514" t="e">
            <v>#N/A</v>
          </cell>
        </row>
        <row r="2515">
          <cell r="BT2515" t="e">
            <v>#N/A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e">
            <v>#N/A</v>
          </cell>
        </row>
        <row r="2523">
          <cell r="BT2523" t="e">
            <v>#N/A</v>
          </cell>
        </row>
        <row r="2524">
          <cell r="BT2524" t="e">
            <v>#N/A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e">
            <v>#N/A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e">
            <v>#N/A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e">
            <v>#N/A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e">
            <v>#N/A</v>
          </cell>
        </row>
        <row r="2551">
          <cell r="BT2551" t="e">
            <v>#N/A</v>
          </cell>
        </row>
        <row r="2552">
          <cell r="BT2552" t="e">
            <v>#N/A</v>
          </cell>
        </row>
        <row r="2553">
          <cell r="BT2553" t="e">
            <v>#N/A</v>
          </cell>
        </row>
        <row r="2554">
          <cell r="BT2554" t="e">
            <v>#N/A</v>
          </cell>
        </row>
        <row r="2555">
          <cell r="BT2555" t="e">
            <v>#N/A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e">
            <v>#N/A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e">
            <v>#N/A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6.12_x0006__x0000__x0000_E_6.12_x0005__x0000__x0000_Mánfa_x000E__x0000__x0000_Hohn Krisztina_x000E__x0000__x0000_Schmidt Zoltán_x000F__x0000__x0000_Fábián B. u. 58_x0006__x0000__x0000_T_6.13_x0006__x0000__x0000_K_6.13_x0006__x0000__x0000_E_6.13_x000B__x0000__x0000_Tisztaberek
_x0000__x0000_Kónya Géza_x0015__x0000__x0001_T_x0000_i_x0000_s_x0000_z_x0000_t_x0000_a_x0000_b_x0000_e_x0000_r_x0000_e_x0000_k_x0000_,_x0000_ _x0000_F_x0000_Q_x0001_ _x0000_u_x0000_._x0000_ _x0000_6_x0000_._x0000__x0007__x0000__x0000_Tivadar_x000F__x0000__x0000_ifj Danó Sándor_x0010__x0000__x0000_Ifj. Danó Sándor_x0016__x0000__x0001_T_x0000_i_x0000_v_x0000_a_x0000_d_x0000_a_x0000_r_x0000_,_x0000_ _x0000_P_x0000_e_x0000_t_x0000_Q_x0001_f_x0000_i_x0000_ _x0000_u</v>
          </cell>
        </row>
        <row r="2573">
          <cell r="BT2573" t="e">
            <v>#N/A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e">
            <v>#N/A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e">
            <v>#N/A</v>
          </cell>
        </row>
        <row r="2584">
          <cell r="BT2584" t="str">
            <v>Szécsényfelfalu</v>
          </cell>
        </row>
        <row r="2585">
          <cell r="BT2585" t="e">
            <v>#N/A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e">
            <v>#N/A</v>
          </cell>
        </row>
        <row r="2592">
          <cell r="BT2592" t="e">
            <v>#N/A</v>
          </cell>
        </row>
        <row r="2593">
          <cell r="BT2593" t="e">
            <v>#N/A</v>
          </cell>
        </row>
        <row r="2594">
          <cell r="BT2594" t="str">
            <v>Székely</v>
          </cell>
        </row>
        <row r="2595">
          <cell r="BT2595" t="e">
            <v>#N/A</v>
          </cell>
        </row>
        <row r="2596">
          <cell r="BT2596" t="e">
            <v>#N/A</v>
          </cell>
        </row>
        <row r="2597">
          <cell r="BT2597" t="e">
            <v>#N/A</v>
          </cell>
        </row>
        <row r="2598">
          <cell r="BT2598" t="str">
            <v>Szekszárd</v>
          </cell>
        </row>
        <row r="2599">
          <cell r="BT2599" t="e">
            <v>#N/A</v>
          </cell>
        </row>
        <row r="2600">
          <cell r="BT2600" t="e">
            <v>#N/A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e">
            <v>#N/A</v>
          </cell>
        </row>
        <row r="2604">
          <cell r="BT2604" t="e">
            <v>#N/A</v>
          </cell>
        </row>
        <row r="2605">
          <cell r="BT2605" t="str">
            <v>Szendehely</v>
          </cell>
        </row>
        <row r="2606">
          <cell r="BT2606" t="e">
            <v>#N/A</v>
          </cell>
        </row>
        <row r="2607">
          <cell r="BT2607" t="e">
            <v>#N/A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e">
            <v>#N/A</v>
          </cell>
        </row>
        <row r="2611">
          <cell r="BT2611" t="e">
            <v>#N/A</v>
          </cell>
        </row>
        <row r="2612">
          <cell r="BT2612" t="e">
            <v>#N/A</v>
          </cell>
        </row>
        <row r="2613">
          <cell r="BT2613" t="e">
            <v>#N/A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e">
            <v>#N/A</v>
          </cell>
        </row>
        <row r="2623">
          <cell r="BT2623" t="e">
            <v>#N/A</v>
          </cell>
        </row>
        <row r="2624">
          <cell r="BT2624" t="e">
            <v>#N/A</v>
          </cell>
        </row>
        <row r="2625">
          <cell r="BT2625" t="str">
            <v>Szentimrefalva</v>
          </cell>
        </row>
        <row r="2626">
          <cell r="BT2626" t="e">
            <v>#N/A</v>
          </cell>
        </row>
        <row r="2627">
          <cell r="BT2627" t="e">
            <v>#N/A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e">
            <v>#N/A</v>
          </cell>
        </row>
        <row r="2633">
          <cell r="BT2633" t="str">
            <v>Szentlászló</v>
          </cell>
        </row>
        <row r="2634">
          <cell r="BT2634" t="e">
            <v>#N/A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e">
            <v>#N/A</v>
          </cell>
        </row>
        <row r="2638">
          <cell r="BT2638" t="str">
            <v>Szentmártonkáta</v>
          </cell>
        </row>
        <row r="2639">
          <cell r="BT2639" t="e">
            <v>#N/A</v>
          </cell>
        </row>
        <row r="2640">
          <cell r="BT2640" t="e">
            <v>#N/A</v>
          </cell>
        </row>
        <row r="2641">
          <cell r="BT2641" t="str">
            <v>Szentpéterszeg</v>
          </cell>
        </row>
        <row r="2642">
          <cell r="BT2642" t="e">
            <v>#N/A</v>
          </cell>
        </row>
        <row r="2643">
          <cell r="BT2643" t="str">
            <v>Szenyér</v>
          </cell>
        </row>
        <row r="2644">
          <cell r="BT2644" t="e">
            <v>#N/A</v>
          </cell>
        </row>
        <row r="2645">
          <cell r="BT2645" t="e">
            <v>#N/A</v>
          </cell>
        </row>
        <row r="2646">
          <cell r="BT2646" t="e">
            <v>#N/A</v>
          </cell>
        </row>
        <row r="2647">
          <cell r="BT2647" t="e">
            <v>#N/A</v>
          </cell>
        </row>
        <row r="2648">
          <cell r="BT2648" t="str">
            <v>Szerep</v>
          </cell>
        </row>
        <row r="2649">
          <cell r="BT2649" t="e">
            <v>#N/A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e">
            <v>#N/A</v>
          </cell>
        </row>
        <row r="2661">
          <cell r="BT2661" t="str">
            <v>Szikszó</v>
          </cell>
        </row>
        <row r="2662">
          <cell r="BT2662" t="e">
            <v>#N/A</v>
          </cell>
        </row>
        <row r="2663">
          <cell r="BT2663" t="e">
            <v>#N/A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e">
            <v>#N/A</v>
          </cell>
        </row>
        <row r="2667">
          <cell r="BT2667" t="e">
            <v>#N/A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e">
            <v>#N/A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e">
            <v>#N/A</v>
          </cell>
        </row>
        <row r="2680">
          <cell r="BT2680" t="str">
            <v>Szomolya</v>
          </cell>
        </row>
        <row r="2681">
          <cell r="BT2681" t="e">
            <v>#N/A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e">
            <v>#N/A</v>
          </cell>
        </row>
        <row r="2688">
          <cell r="BT2688" t="str">
            <v>Szögliget</v>
          </cell>
        </row>
        <row r="2689">
          <cell r="BT2689" t="e">
            <v>#N/A</v>
          </cell>
        </row>
        <row r="2690">
          <cell r="BT2690" t="e">
            <v>#N/A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e">
            <v>#N/A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e">
            <v>#N/A</v>
          </cell>
        </row>
        <row r="2699">
          <cell r="BT2699" t="e">
            <v>#N/A</v>
          </cell>
        </row>
        <row r="2700">
          <cell r="BT2700" t="e">
            <v>#N/A</v>
          </cell>
        </row>
        <row r="2701">
          <cell r="BT2701" t="str">
            <v>Szulok</v>
          </cell>
        </row>
        <row r="2702">
          <cell r="BT2702" t="e">
            <v>#N/A</v>
          </cell>
        </row>
        <row r="2703">
          <cell r="BT2703" t="str">
            <v>Szűcsi</v>
          </cell>
        </row>
        <row r="2704">
          <cell r="BT2704" t="e">
            <v>#N/A</v>
          </cell>
        </row>
        <row r="2705">
          <cell r="BT2705" t="e">
            <v>#N/A</v>
          </cell>
        </row>
        <row r="2706">
          <cell r="BT2706" t="str">
            <v>Tab</v>
          </cell>
        </row>
        <row r="2707">
          <cell r="BT2707" t="e">
            <v>#N/A</v>
          </cell>
        </row>
        <row r="2708">
          <cell r="BT2708" t="e">
            <v>#N/A</v>
          </cell>
        </row>
        <row r="2709">
          <cell r="BT2709" t="str">
            <v>Táborfalva</v>
          </cell>
        </row>
        <row r="2710">
          <cell r="BT2710" t="e">
            <v>#N/A</v>
          </cell>
        </row>
        <row r="2711">
          <cell r="BT2711" t="str">
            <v>Tagyon</v>
          </cell>
        </row>
        <row r="2712">
          <cell r="BT2712" t="e">
            <v>#N/A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e">
            <v>#N/A</v>
          </cell>
        </row>
        <row r="2716">
          <cell r="BT2716" t="e">
            <v>#N/A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e">
            <v>#N/A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e">
            <v>#N/A</v>
          </cell>
        </row>
        <row r="2725">
          <cell r="BT2725" t="e">
            <v>#N/A</v>
          </cell>
        </row>
        <row r="2726">
          <cell r="BT2726" t="e">
            <v>#N/A</v>
          </cell>
        </row>
        <row r="2727">
          <cell r="BT2727" t="e">
            <v>#N/A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e">
            <v>#N/A</v>
          </cell>
        </row>
        <row r="2736">
          <cell r="BT2736" t="e">
            <v>#N/A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e">
            <v>#N/A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e">
            <v>#N/A</v>
          </cell>
        </row>
        <row r="2754">
          <cell r="BT2754" t="e">
            <v>#N/A</v>
          </cell>
        </row>
        <row r="2755">
          <cell r="BT2755" t="str">
            <v>Tarpa</v>
          </cell>
        </row>
        <row r="2756">
          <cell r="BT2756" t="e">
            <v>#N/A</v>
          </cell>
        </row>
        <row r="2757">
          <cell r="BT2757" t="str">
            <v>Táska</v>
          </cell>
        </row>
        <row r="2758">
          <cell r="BT2758" t="e">
            <v>#N/A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e">
            <v>#N/A</v>
          </cell>
        </row>
        <row r="2762">
          <cell r="BT2762" t="str">
            <v>Tatabánya</v>
          </cell>
        </row>
        <row r="2763">
          <cell r="BT2763" t="e">
            <v>#N/A</v>
          </cell>
        </row>
        <row r="2764">
          <cell r="BT2764" t="str">
            <v>Tatárszentgyörgy</v>
          </cell>
        </row>
        <row r="2765">
          <cell r="BT2765" t="e">
            <v>#N/A</v>
          </cell>
        </row>
        <row r="2766">
          <cell r="BT2766" t="str">
            <v>Téglás</v>
          </cell>
        </row>
        <row r="2767">
          <cell r="BT2767" t="e">
            <v>#N/A</v>
          </cell>
        </row>
        <row r="2768">
          <cell r="BT2768" t="e">
            <v>#N/A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e">
            <v>#N/A</v>
          </cell>
        </row>
        <row r="2776">
          <cell r="BT2776" t="e">
            <v>#N/A</v>
          </cell>
        </row>
        <row r="2777">
          <cell r="BT2777" t="str">
            <v>Tenk</v>
          </cell>
        </row>
        <row r="2778">
          <cell r="BT2778" t="e">
            <v>#N/A</v>
          </cell>
        </row>
        <row r="2779">
          <cell r="BT2779" t="e">
            <v>#N/A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e">
            <v>#N/A</v>
          </cell>
        </row>
        <row r="2786">
          <cell r="BT2786" t="str">
            <v>Tésa</v>
          </cell>
        </row>
        <row r="2787">
          <cell r="BT2787" t="e">
            <v>#N/A</v>
          </cell>
        </row>
        <row r="2788">
          <cell r="BT2788" t="e">
            <v>#N/A</v>
          </cell>
        </row>
        <row r="2789">
          <cell r="BT2789" t="e">
            <v>#N/A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e">
            <v>#N/A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e">
            <v>#N/A</v>
          </cell>
        </row>
        <row r="2807">
          <cell r="BT2807" t="e">
            <v>#N/A</v>
          </cell>
        </row>
        <row r="2808">
          <cell r="BT2808" t="e">
            <v>#N/A</v>
          </cell>
        </row>
        <row r="2809">
          <cell r="BT2809" t="e">
            <v>#N/A</v>
          </cell>
        </row>
        <row r="2810">
          <cell r="BT2810" t="str">
            <v>Tiszacsermely</v>
          </cell>
        </row>
        <row r="2811">
          <cell r="BT2811" t="e">
            <v>#N/A</v>
          </cell>
        </row>
        <row r="2812">
          <cell r="BT2812" t="e">
            <v>#N/A</v>
          </cell>
        </row>
        <row r="2813">
          <cell r="BT2813" t="e">
            <v>#N/A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e">
            <v>#N/A</v>
          </cell>
        </row>
        <row r="2817">
          <cell r="BT2817" t="str">
            <v>Tiszafüred</v>
          </cell>
        </row>
        <row r="2818">
          <cell r="BT2818" t="e">
            <v>#N/A</v>
          </cell>
        </row>
        <row r="2819">
          <cell r="BT2819" t="str">
            <v>Tiszagyulaháza</v>
          </cell>
        </row>
        <row r="2820">
          <cell r="BT2820" t="e">
            <v>#N/A</v>
          </cell>
        </row>
        <row r="2821">
          <cell r="BT2821" t="e">
            <v>#N/A</v>
          </cell>
        </row>
        <row r="2822">
          <cell r="BT2822" t="e">
            <v>#N/A</v>
          </cell>
        </row>
        <row r="2823">
          <cell r="BT2823" t="str">
            <v>Tiszakanyár</v>
          </cell>
        </row>
        <row r="2824">
          <cell r="BT2824" t="e">
            <v>#N/A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e">
            <v>#N/A</v>
          </cell>
        </row>
        <row r="2828">
          <cell r="BT2828" t="str">
            <v>Tiszakóród</v>
          </cell>
        </row>
        <row r="2829">
          <cell r="BT2829" t="e">
            <v>#N/A</v>
          </cell>
        </row>
        <row r="2830">
          <cell r="BT2830" t="e">
            <v>#N/A</v>
          </cell>
        </row>
        <row r="2831">
          <cell r="BT2831" t="str">
            <v>Tiszalök</v>
          </cell>
        </row>
        <row r="2832">
          <cell r="BT2832" t="e">
            <v>#N/A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e">
            <v>#N/A</v>
          </cell>
        </row>
        <row r="2837">
          <cell r="BT2837" t="e">
            <v>#N/A</v>
          </cell>
        </row>
        <row r="2838">
          <cell r="BT2838" t="e">
            <v>#N/A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e">
            <v>#N/A</v>
          </cell>
        </row>
        <row r="2848">
          <cell r="BT2848" t="e">
            <v>#N/A</v>
          </cell>
        </row>
        <row r="2849">
          <cell r="BT2849" t="e">
            <v>#N/A</v>
          </cell>
        </row>
        <row r="2850">
          <cell r="BT2850" t="str">
            <v>Tiszatelek</v>
          </cell>
        </row>
        <row r="2851">
          <cell r="BT2851" t="e">
            <v>#N/A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e">
            <v>#N/A</v>
          </cell>
        </row>
        <row r="2855">
          <cell r="BT2855" t="e">
            <v>#N/A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e">
            <v>#N/A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e">
            <v>#N/A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e">
            <v>#N/A</v>
          </cell>
        </row>
        <row r="2874">
          <cell r="BT2874" t="e">
            <v>#N/A</v>
          </cell>
        </row>
        <row r="2875">
          <cell r="BT2875" t="e">
            <v>#N/A</v>
          </cell>
        </row>
        <row r="2876">
          <cell r="BT2876" t="e">
            <v>#N/A</v>
          </cell>
        </row>
        <row r="2877">
          <cell r="BT2877" t="e">
            <v>#N/A</v>
          </cell>
        </row>
        <row r="2878">
          <cell r="BT2878" t="str">
            <v>Tormafölde</v>
          </cell>
        </row>
        <row r="2879">
          <cell r="BT2879" t="e">
            <v>#N/A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e">
            <v>#N/A</v>
          </cell>
        </row>
        <row r="2884">
          <cell r="BT2884" t="e">
            <v>#N/A</v>
          </cell>
        </row>
        <row r="2885">
          <cell r="BT2885" t="e">
            <v>#N/A</v>
          </cell>
        </row>
        <row r="2886">
          <cell r="BT2886" t="str">
            <v>Tornyiszentmiklós</v>
          </cell>
        </row>
        <row r="2887">
          <cell r="BT2887" t="e">
            <v>#N/A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e">
            <v>#N/A</v>
          </cell>
        </row>
        <row r="2892">
          <cell r="BT2892" t="str">
            <v>Tótkomlós</v>
          </cell>
        </row>
        <row r="2893">
          <cell r="BT2893" t="e">
            <v>#N/A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e">
            <v>#N/A</v>
          </cell>
        </row>
        <row r="2907">
          <cell r="BT2907" t="e">
            <v>#N/A</v>
          </cell>
        </row>
        <row r="2908">
          <cell r="BT2908" t="e">
            <v>#N/A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e">
            <v>#N/A</v>
          </cell>
        </row>
        <row r="2913">
          <cell r="BT2913" t="e">
            <v>#N/A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e">
            <v>#N/A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e">
            <v>#N/A</v>
          </cell>
        </row>
        <row r="2923">
          <cell r="BT2923" t="e">
            <v>#N/A</v>
          </cell>
        </row>
        <row r="2924">
          <cell r="BT2924" t="e">
            <v>#N/A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e">
            <v>#N/A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e">
            <v>#N/A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e">
            <v>#N/A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e">
            <v>#N/A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e">
            <v>#N/A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e">
            <v>#N/A</v>
          </cell>
        </row>
        <row r="2957">
          <cell r="BT2957" t="e">
            <v>#N/A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e">
            <v>#N/A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e">
            <v>#N/A</v>
          </cell>
        </row>
        <row r="2968">
          <cell r="BT2968" t="str">
            <v>Vácszentlászló</v>
          </cell>
        </row>
        <row r="2969">
          <cell r="BT2969" t="e">
            <v>#N/A</v>
          </cell>
        </row>
        <row r="2970">
          <cell r="BT2970" t="str">
            <v>Vadosfa</v>
          </cell>
        </row>
        <row r="2971">
          <cell r="BT2971" t="e">
            <v>#N/A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e">
            <v>#N/A</v>
          </cell>
        </row>
        <row r="2975">
          <cell r="BT2975" t="e">
            <v>#N/A</v>
          </cell>
        </row>
        <row r="2976">
          <cell r="BT2976" t="e">
            <v>#N/A</v>
          </cell>
        </row>
        <row r="2977">
          <cell r="BT2977" t="e">
            <v>#N/A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e">
            <v>#N/A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e">
            <v>#N/A</v>
          </cell>
        </row>
        <row r="2994">
          <cell r="BT2994" t="str">
            <v>Váralja</v>
          </cell>
        </row>
        <row r="2995">
          <cell r="BT2995" t="e">
            <v>#N/A</v>
          </cell>
        </row>
        <row r="2996">
          <cell r="BT2996" t="str">
            <v>Váraszó</v>
          </cell>
        </row>
        <row r="2997">
          <cell r="BT2997" t="e">
            <v>#N/A</v>
          </cell>
        </row>
        <row r="2998">
          <cell r="BT2998" t="e">
            <v>#N/A</v>
          </cell>
        </row>
        <row r="2999">
          <cell r="BT2999" t="e">
            <v>#N/A</v>
          </cell>
        </row>
        <row r="3000">
          <cell r="BT3000" t="e">
            <v>#N/A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e">
            <v>#N/A</v>
          </cell>
        </row>
        <row r="3004">
          <cell r="BT3004" t="str">
            <v>Várgesztes</v>
          </cell>
        </row>
        <row r="3005">
          <cell r="BT3005" t="e">
            <v>#N/A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e">
            <v>#N/A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e">
            <v>#N/A</v>
          </cell>
        </row>
        <row r="3016">
          <cell r="BT3016" t="e">
            <v>#N/A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e">
            <v>#N/A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e">
            <v>#N/A</v>
          </cell>
        </row>
        <row r="3029">
          <cell r="BT3029" t="e">
            <v>#N/A</v>
          </cell>
        </row>
        <row r="3030">
          <cell r="BT3030" t="e">
            <v>#N/A</v>
          </cell>
        </row>
        <row r="3031">
          <cell r="BT3031" t="e">
            <v>#N/A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e">
            <v>#N/A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e">
            <v>#N/A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e">
            <v>#N/A</v>
          </cell>
        </row>
        <row r="3041">
          <cell r="BT3041" t="e">
            <v>#N/A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e">
            <v>#N/A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e">
            <v>#N/A</v>
          </cell>
        </row>
        <row r="3054">
          <cell r="BT3054" t="str">
            <v>Verpelét</v>
          </cell>
        </row>
        <row r="3055">
          <cell r="BT3055" t="str">
            <v>穳揩敳祮_x000E_娀潳湬楡娠汯୮_x0000_慖獳楺癬柡๹_x0000_穣⁩⹵㈠⸵_x0008_䘁儀 甀⸀ ㌀㈀ఀĀFelsőberecki_x000D_䘀橥敪⁬獉癴满_x0011_䬀獯畳桴䰠‮⹵㔠⸹_x000B_䘁攀氀猀儀搁漀戀猀稀愀ᤀ_x0000_ﱆ⁰潚瑬满䈠湥⁥汋狡੡_x0000_楓⁫浉敲_x000F_䬀獯畳桴甠捴⁡⸶	䘁攀氀猀儀朁愀最礀ఀ_x0000_潂潧祬䨠满獯_x000E_刀毡揳楺蘒⁴㠷ฮĀFelsőkelecsény_x000B_䄀摮⃳_x0010_匀慺慢獤柡甠‮〲ମĀFelsőnyárád_x000D_䬀物汩⁡敆敲据_x0006_㌀㘷㤷സ_x0000_ﱐ灳毶慬祮⩩_x0000_慬晴污慶⁩楋瑳狩⁧扢𤋮吠狡畳慳_x0006_㌀㈸㐸ื_x0000_噉‮慬蘒⁴⸱_x000D_䈀泩灡瓡慦癬楡!䔀牧⁩楋瑳狩⁧</v>
          </cell>
        </row>
        <row r="3056">
          <cell r="BT3056" t="e">
            <v>#N/A</v>
          </cell>
        </row>
        <row r="3057">
          <cell r="BT3057" t="str">
            <v>Vértesacsa</v>
          </cell>
        </row>
        <row r="3058">
          <cell r="BT3058" t="e">
            <v>#N/A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e">
            <v>#N/A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e">
            <v>#N/A</v>
          </cell>
        </row>
        <row r="3067">
          <cell r="BT3067" t="e">
            <v>#N/A</v>
          </cell>
        </row>
        <row r="3068">
          <cell r="BT3068" t="str">
            <v>Veszprémvarsány</v>
          </cell>
        </row>
        <row r="3069">
          <cell r="BT3069" t="e">
            <v>#N/A</v>
          </cell>
        </row>
        <row r="3070">
          <cell r="BT3070" t="e">
            <v>#N/A</v>
          </cell>
        </row>
        <row r="3071">
          <cell r="BT3071" t="e">
            <v>#N/A</v>
          </cell>
        </row>
        <row r="3072">
          <cell r="BT3072" t="e">
            <v>#N/A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e">
            <v>#N/A</v>
          </cell>
        </row>
        <row r="3077">
          <cell r="BT3077" t="str">
            <v>Vilyvitány</v>
          </cell>
        </row>
        <row r="3078">
          <cell r="BT3078" t="e">
            <v>#N/A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e">
            <v>#N/A</v>
          </cell>
        </row>
        <row r="3083">
          <cell r="BT3083" t="e">
            <v>#N/A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e">
            <v>#N/A</v>
          </cell>
        </row>
        <row r="3087">
          <cell r="BT3087" t="str">
            <v>Viszák</v>
          </cell>
        </row>
        <row r="3088">
          <cell r="BT3088" t="e">
            <v>#N/A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e">
            <v>#N/A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e">
            <v>#N/A</v>
          </cell>
        </row>
        <row r="3097">
          <cell r="BT3097" t="str">
            <v>t Zsolt
_x0000__x0000_Gáva János_x000E__x0000__x0000_Kossuth u. 23._x0006__x0000__x0000_Nábrád_x000C__x0000__x0000_Varga Attila_x000C__x0000__x0000_Varga Károly_x000C__x0000__x0000_Árpád u. 40._x000C__x0000__x0000_Nemesborzova_x0013__x0000__x0000_Nagy Gábor Zsigmond_x000D__x0000__x0000_Balla Jánosné_x0010__x0000__x0000_Szabadság tér 7.-_x0000__x0000_Keszthely-Hévízi Kistérségi Többcélú Társulás_x0006__x0000__x0000_558808_x0010__x0000__x0001_K_x0000_e_x0000_s_x0000_z_x0000_t_x0000_h_x0000_e_x0000_l_x0000_y_x0000__x0013_ H_x0000_é_x0000_v_x0000_í_x0000_z_x0000_i_x0000_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e">
            <v>#N/A</v>
          </cell>
        </row>
        <row r="3101">
          <cell r="BT3101" t="e">
            <v>#N/A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e">
            <v>#N/A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e">
            <v>#N/A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e">
            <v>#N/A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e">
            <v>#N/A</v>
          </cell>
        </row>
        <row r="3143">
          <cell r="BT3143" t="e">
            <v>#N/A</v>
          </cell>
        </row>
        <row r="3144">
          <cell r="BT3144" t="e">
            <v>#N/A</v>
          </cell>
        </row>
        <row r="3145">
          <cell r="BT3145" t="e">
            <v>#N/A</v>
          </cell>
        </row>
        <row r="3146">
          <cell r="BT3146" t="str">
            <v>Zaláta</v>
          </cell>
        </row>
        <row r="3147">
          <cell r="BT3147" t="e">
            <v>#N/A</v>
          </cell>
        </row>
        <row r="3148">
          <cell r="BT3148" t="e">
            <v>#N/A</v>
          </cell>
        </row>
        <row r="3149">
          <cell r="BT3149" t="e">
            <v>#N/A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e">
            <v>#N/A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e">
            <v>#N/A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e">
            <v>#N/A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e">
            <v>#N/A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e">
            <v>#N/A</v>
          </cell>
        </row>
        <row r="3171">
          <cell r="BT3171" t="e">
            <v>#N/A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e">
            <v>#N/A</v>
          </cell>
        </row>
        <row r="3175">
          <cell r="BT3175" t="e">
            <v>#N/A</v>
          </cell>
        </row>
        <row r="3176">
          <cell r="BT3176" t="str">
            <v>Zselickisfalud</v>
          </cell>
        </row>
        <row r="3177">
          <cell r="BT3177" t="e">
            <v>#N/A</v>
          </cell>
        </row>
        <row r="3178">
          <cell r="BT3178" t="e">
            <v>#N/A</v>
          </cell>
        </row>
        <row r="3179">
          <cell r="BT3179" t="e">
            <v>#N/A</v>
          </cell>
        </row>
        <row r="3180">
          <cell r="BT3180" t="e">
            <v>#N/A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art."/>
      <sheetName val="1.mell. Mérleg"/>
      <sheetName val="2.mell. Mérleg"/>
      <sheetName val="3.mell. Bevétel"/>
      <sheetName val="3.a átvett pe."/>
      <sheetName val="3.b mell. Működési bevételek"/>
      <sheetName val="3.c. mell. Közhatalmi bevételek"/>
      <sheetName val="4.mell. Normatíva"/>
      <sheetName val="5. mell. Önk.össz kiadás"/>
      <sheetName val="5.a. mell. Jogalkotás"/>
      <sheetName val="5.b. mell. VF saját forrásból"/>
      <sheetName val="5.c. mell. VF Eu forrásból"/>
      <sheetName val="5.d. mell. Védőnő, EÜ"/>
      <sheetName val="5.e. mell. Szociális ellátások"/>
      <sheetName val="5.f. mell. Átadott pénzeszk."/>
      <sheetName val="5.g. mell. Egyéb tev."/>
      <sheetName val="6. mell. Int.összesen"/>
      <sheetName val="6.a. mell. PH"/>
      <sheetName val="6.b. mell. Óvoda"/>
      <sheetName val="6.c. mell. BBKP"/>
      <sheetName val="7.mell. Beruházás"/>
      <sheetName val="8.mell. Felújítás"/>
      <sheetName val="9.mell. Létszámok"/>
      <sheetName val="10. mell. Több éves kihat"/>
      <sheetName val="11.mell. Ei felhaszn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9">
          <cell r="D19">
            <v>99162</v>
          </cell>
          <cell r="E19">
            <v>-329</v>
          </cell>
          <cell r="F19">
            <v>98833</v>
          </cell>
        </row>
        <row r="23">
          <cell r="D23">
            <v>777</v>
          </cell>
          <cell r="E23">
            <v>0</v>
          </cell>
          <cell r="F23">
            <v>777</v>
          </cell>
        </row>
        <row r="26">
          <cell r="D26">
            <v>28438</v>
          </cell>
          <cell r="E26">
            <v>-88</v>
          </cell>
          <cell r="F26">
            <v>28350</v>
          </cell>
        </row>
        <row r="36">
          <cell r="D36">
            <v>1900</v>
          </cell>
          <cell r="E36">
            <v>40</v>
          </cell>
          <cell r="F36">
            <v>1940</v>
          </cell>
        </row>
        <row r="39">
          <cell r="D39">
            <v>2500</v>
          </cell>
          <cell r="E39">
            <v>0</v>
          </cell>
          <cell r="F39">
            <v>2500</v>
          </cell>
        </row>
        <row r="49">
          <cell r="D49">
            <v>6718</v>
          </cell>
          <cell r="E49">
            <v>1622</v>
          </cell>
          <cell r="F49">
            <v>8340</v>
          </cell>
        </row>
        <row r="52">
          <cell r="D52">
            <v>300</v>
          </cell>
          <cell r="E52">
            <v>50</v>
          </cell>
          <cell r="F52">
            <v>350</v>
          </cell>
        </row>
        <row r="58">
          <cell r="D58">
            <v>1800</v>
          </cell>
          <cell r="E58">
            <v>36</v>
          </cell>
          <cell r="F58">
            <v>1836</v>
          </cell>
        </row>
        <row r="61">
          <cell r="E61">
            <v>499</v>
          </cell>
          <cell r="F61">
            <v>499</v>
          </cell>
        </row>
        <row r="63">
          <cell r="D63">
            <v>8640</v>
          </cell>
          <cell r="E63">
            <v>6</v>
          </cell>
          <cell r="F63">
            <v>8646</v>
          </cell>
        </row>
        <row r="75">
          <cell r="D75">
            <v>2000</v>
          </cell>
          <cell r="E75">
            <v>1199</v>
          </cell>
          <cell r="F75">
            <v>3199</v>
          </cell>
        </row>
        <row r="81">
          <cell r="D81">
            <v>0</v>
          </cell>
          <cell r="E81">
            <v>0</v>
          </cell>
          <cell r="F81">
            <v>0</v>
          </cell>
        </row>
      </sheetData>
      <sheetData sheetId="18">
        <row r="19">
          <cell r="D19">
            <v>106097</v>
          </cell>
          <cell r="E19">
            <v>80</v>
          </cell>
          <cell r="F19">
            <v>106177</v>
          </cell>
        </row>
        <row r="23">
          <cell r="D23">
            <v>1995</v>
          </cell>
          <cell r="E23">
            <v>-190</v>
          </cell>
          <cell r="F23">
            <v>1805</v>
          </cell>
        </row>
        <row r="26">
          <cell r="D26">
            <v>30051</v>
          </cell>
          <cell r="E26">
            <v>236</v>
          </cell>
          <cell r="F26">
            <v>30287</v>
          </cell>
        </row>
        <row r="36">
          <cell r="D36">
            <v>1875</v>
          </cell>
          <cell r="E36">
            <v>82</v>
          </cell>
          <cell r="F36">
            <v>1957</v>
          </cell>
        </row>
        <row r="39">
          <cell r="D39">
            <v>250</v>
          </cell>
          <cell r="E39">
            <v>0</v>
          </cell>
          <cell r="F39">
            <v>250</v>
          </cell>
        </row>
        <row r="49">
          <cell r="D49">
            <v>16052</v>
          </cell>
          <cell r="E49">
            <v>200</v>
          </cell>
          <cell r="F49">
            <v>16252</v>
          </cell>
        </row>
        <row r="52">
          <cell r="D52">
            <v>50</v>
          </cell>
          <cell r="E52">
            <v>0</v>
          </cell>
          <cell r="F52">
            <v>50</v>
          </cell>
        </row>
        <row r="58">
          <cell r="D58">
            <v>4625</v>
          </cell>
          <cell r="E58">
            <v>25</v>
          </cell>
          <cell r="F58">
            <v>4650</v>
          </cell>
        </row>
        <row r="61">
          <cell r="E61">
            <v>95</v>
          </cell>
          <cell r="F61">
            <v>95</v>
          </cell>
        </row>
        <row r="63">
          <cell r="D63">
            <v>11115</v>
          </cell>
          <cell r="E63">
            <v>37</v>
          </cell>
          <cell r="F63">
            <v>11152</v>
          </cell>
        </row>
        <row r="76">
          <cell r="D76">
            <v>0</v>
          </cell>
          <cell r="E76">
            <v>17</v>
          </cell>
          <cell r="F76">
            <v>17</v>
          </cell>
        </row>
        <row r="82">
          <cell r="D82">
            <v>0</v>
          </cell>
          <cell r="E82">
            <v>0</v>
          </cell>
          <cell r="F82">
            <v>0</v>
          </cell>
        </row>
      </sheetData>
      <sheetData sheetId="19">
        <row r="19">
          <cell r="D19">
            <v>15262</v>
          </cell>
          <cell r="E19">
            <v>17</v>
          </cell>
          <cell r="F19">
            <v>15279</v>
          </cell>
        </row>
        <row r="23">
          <cell r="D23">
            <v>1600</v>
          </cell>
          <cell r="E23">
            <v>20</v>
          </cell>
          <cell r="F23">
            <v>1620</v>
          </cell>
        </row>
        <row r="26">
          <cell r="D26">
            <v>4494</v>
          </cell>
          <cell r="E26">
            <v>5</v>
          </cell>
          <cell r="F26">
            <v>4499</v>
          </cell>
        </row>
        <row r="37">
          <cell r="D37">
            <v>1895</v>
          </cell>
          <cell r="E37">
            <v>1160</v>
          </cell>
          <cell r="F37">
            <v>3055</v>
          </cell>
        </row>
        <row r="40">
          <cell r="D40">
            <v>540</v>
          </cell>
          <cell r="E40">
            <v>0</v>
          </cell>
          <cell r="F40">
            <v>540</v>
          </cell>
        </row>
        <row r="50">
          <cell r="D50">
            <v>5334</v>
          </cell>
          <cell r="E50">
            <v>868</v>
          </cell>
          <cell r="F50">
            <v>6202</v>
          </cell>
        </row>
        <row r="53">
          <cell r="D53">
            <v>925</v>
          </cell>
          <cell r="E53">
            <v>11</v>
          </cell>
          <cell r="F53">
            <v>936</v>
          </cell>
        </row>
        <row r="59">
          <cell r="D59">
            <v>2188</v>
          </cell>
          <cell r="E59">
            <v>474</v>
          </cell>
          <cell r="F59">
            <v>2662</v>
          </cell>
        </row>
        <row r="62">
          <cell r="E62">
            <v>584</v>
          </cell>
          <cell r="F62">
            <v>584</v>
          </cell>
        </row>
        <row r="64">
          <cell r="D64">
            <v>18343</v>
          </cell>
          <cell r="E64">
            <v>232</v>
          </cell>
          <cell r="F64">
            <v>18575</v>
          </cell>
        </row>
        <row r="77">
          <cell r="D77">
            <v>5060</v>
          </cell>
          <cell r="E77">
            <v>-1860</v>
          </cell>
          <cell r="F77">
            <v>3200</v>
          </cell>
        </row>
        <row r="83">
          <cell r="D83">
            <v>0</v>
          </cell>
          <cell r="E83">
            <v>0</v>
          </cell>
          <cell r="F8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B24" sqref="B24:C24"/>
    </sheetView>
  </sheetViews>
  <sheetFormatPr defaultRowHeight="14.4"/>
  <cols>
    <col min="1" max="1" width="14.5546875" customWidth="1"/>
    <col min="2" max="2" width="82" customWidth="1"/>
    <col min="3" max="3" width="47.6640625" customWidth="1"/>
  </cols>
  <sheetData>
    <row r="1" spans="1:2" ht="33.75" customHeight="1">
      <c r="A1" s="939" t="s">
        <v>739</v>
      </c>
      <c r="B1" s="939"/>
    </row>
    <row r="2" spans="1:2">
      <c r="A2" s="467"/>
      <c r="B2" s="625"/>
    </row>
    <row r="3" spans="1:2">
      <c r="A3" s="626" t="s">
        <v>637</v>
      </c>
      <c r="B3" s="627" t="s">
        <v>681</v>
      </c>
    </row>
    <row r="4" spans="1:2">
      <c r="A4" s="626" t="s">
        <v>638</v>
      </c>
      <c r="B4" s="627" t="s">
        <v>682</v>
      </c>
    </row>
    <row r="5" spans="1:2">
      <c r="A5" s="626" t="s">
        <v>639</v>
      </c>
      <c r="B5" s="627" t="s">
        <v>664</v>
      </c>
    </row>
    <row r="6" spans="1:2">
      <c r="A6" s="626" t="s">
        <v>661</v>
      </c>
      <c r="B6" s="627" t="s">
        <v>680</v>
      </c>
    </row>
    <row r="7" spans="1:2">
      <c r="A7" s="626" t="s">
        <v>662</v>
      </c>
      <c r="B7" s="627" t="s">
        <v>665</v>
      </c>
    </row>
    <row r="8" spans="1:2">
      <c r="A8" s="626" t="s">
        <v>663</v>
      </c>
      <c r="B8" s="627" t="s">
        <v>666</v>
      </c>
    </row>
    <row r="9" spans="1:2">
      <c r="A9" s="626" t="s">
        <v>640</v>
      </c>
      <c r="B9" s="627" t="s">
        <v>667</v>
      </c>
    </row>
    <row r="10" spans="1:2">
      <c r="A10" s="626" t="s">
        <v>641</v>
      </c>
      <c r="B10" s="627" t="s">
        <v>668</v>
      </c>
    </row>
    <row r="11" spans="1:2" ht="26.4">
      <c r="A11" s="626" t="s">
        <v>642</v>
      </c>
      <c r="B11" s="627" t="s">
        <v>669</v>
      </c>
    </row>
    <row r="12" spans="1:2" ht="26.4">
      <c r="A12" s="626" t="s">
        <v>643</v>
      </c>
      <c r="B12" s="627" t="s">
        <v>674</v>
      </c>
    </row>
    <row r="13" spans="1:2" ht="26.4">
      <c r="A13" s="626" t="s">
        <v>644</v>
      </c>
      <c r="B13" s="627" t="s">
        <v>673</v>
      </c>
    </row>
    <row r="14" spans="1:2">
      <c r="A14" s="626" t="s">
        <v>645</v>
      </c>
      <c r="B14" s="627" t="s">
        <v>672</v>
      </c>
    </row>
    <row r="15" spans="1:2">
      <c r="A15" s="626" t="s">
        <v>646</v>
      </c>
      <c r="B15" s="627" t="s">
        <v>670</v>
      </c>
    </row>
    <row r="16" spans="1:2">
      <c r="A16" s="626" t="s">
        <v>647</v>
      </c>
      <c r="B16" s="627" t="s">
        <v>671</v>
      </c>
    </row>
    <row r="17" spans="1:5">
      <c r="A17" s="626" t="s">
        <v>648</v>
      </c>
      <c r="B17" s="627" t="s">
        <v>679</v>
      </c>
    </row>
    <row r="18" spans="1:5">
      <c r="A18" s="626" t="s">
        <v>649</v>
      </c>
      <c r="B18" s="627" t="s">
        <v>650</v>
      </c>
    </row>
    <row r="19" spans="1:5">
      <c r="A19" s="626" t="s">
        <v>651</v>
      </c>
      <c r="B19" s="627" t="s">
        <v>675</v>
      </c>
    </row>
    <row r="20" spans="1:5">
      <c r="A20" s="626" t="s">
        <v>652</v>
      </c>
      <c r="B20" s="627" t="s">
        <v>676</v>
      </c>
    </row>
    <row r="21" spans="1:5">
      <c r="A21" s="626" t="s">
        <v>653</v>
      </c>
      <c r="B21" s="627" t="s">
        <v>677</v>
      </c>
    </row>
    <row r="22" spans="1:5">
      <c r="A22" s="626" t="s">
        <v>654</v>
      </c>
      <c r="B22" s="627" t="s">
        <v>655</v>
      </c>
    </row>
    <row r="23" spans="1:5">
      <c r="A23" s="626" t="s">
        <v>656</v>
      </c>
      <c r="B23" s="627" t="s">
        <v>657</v>
      </c>
    </row>
    <row r="24" spans="1:5" ht="17.25" customHeight="1">
      <c r="A24" s="626" t="s">
        <v>658</v>
      </c>
      <c r="B24" s="627" t="s">
        <v>636</v>
      </c>
    </row>
    <row r="25" spans="1:5" ht="17.25" customHeight="1">
      <c r="A25" s="626" t="s">
        <v>659</v>
      </c>
      <c r="B25" s="627" t="s">
        <v>495</v>
      </c>
    </row>
    <row r="26" spans="1:5">
      <c r="A26" s="626" t="s">
        <v>660</v>
      </c>
      <c r="B26" s="627" t="s">
        <v>678</v>
      </c>
    </row>
    <row r="27" spans="1:5">
      <c r="A27" s="79" t="s">
        <v>740</v>
      </c>
      <c r="B27" s="79" t="s">
        <v>741</v>
      </c>
    </row>
    <row r="28" spans="1:5">
      <c r="A28" s="79" t="s">
        <v>742</v>
      </c>
      <c r="B28" s="79" t="s">
        <v>743</v>
      </c>
      <c r="C28" s="627"/>
      <c r="D28" s="627"/>
      <c r="E28" s="627"/>
    </row>
    <row r="29" spans="1:5">
      <c r="A29" s="79" t="s">
        <v>744</v>
      </c>
      <c r="B29" s="79" t="s">
        <v>745</v>
      </c>
    </row>
    <row r="30" spans="1:5">
      <c r="A30" s="79" t="s">
        <v>746</v>
      </c>
      <c r="B30" s="79" t="s">
        <v>747</v>
      </c>
    </row>
    <row r="31" spans="1:5">
      <c r="A31" s="79" t="s">
        <v>748</v>
      </c>
      <c r="B31" s="79" t="s">
        <v>749</v>
      </c>
    </row>
  </sheetData>
  <mergeCells count="1">
    <mergeCell ref="A1:B1"/>
  </mergeCells>
  <pageMargins left="0.7" right="0.7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workbookViewId="0">
      <selection activeCell="B24" sqref="B24:C24"/>
    </sheetView>
  </sheetViews>
  <sheetFormatPr defaultColWidth="9.109375" defaultRowHeight="14.4"/>
  <cols>
    <col min="1" max="1" width="13" style="897" customWidth="1"/>
    <col min="2" max="3" width="13" style="898" customWidth="1"/>
    <col min="4" max="4" width="11" style="42" customWidth="1"/>
    <col min="5" max="5" width="11" style="766" customWidth="1"/>
    <col min="6" max="6" width="11" style="42" customWidth="1"/>
    <col min="7" max="16384" width="9.109375" style="882"/>
  </cols>
  <sheetData>
    <row r="1" spans="1:6" ht="15.75" customHeight="1">
      <c r="D1" s="1004" t="s">
        <v>411</v>
      </c>
      <c r="E1" s="1004"/>
      <c r="F1" s="1004"/>
    </row>
    <row r="2" spans="1:6" ht="24.75" customHeight="1">
      <c r="A2" s="997" t="s">
        <v>0</v>
      </c>
      <c r="B2" s="997" t="s">
        <v>183</v>
      </c>
      <c r="C2" s="997"/>
      <c r="D2" s="1005" t="s">
        <v>177</v>
      </c>
      <c r="E2" s="1006"/>
      <c r="F2" s="1007"/>
    </row>
    <row r="3" spans="1:6" s="2" customFormat="1">
      <c r="A3" s="997"/>
      <c r="B3" s="997"/>
      <c r="C3" s="997"/>
      <c r="D3" s="883" t="s">
        <v>178</v>
      </c>
      <c r="E3" s="883" t="s">
        <v>750</v>
      </c>
      <c r="F3" s="883" t="s">
        <v>752</v>
      </c>
    </row>
    <row r="4" spans="1:6" s="2" customFormat="1">
      <c r="A4" s="997"/>
      <c r="B4" s="997"/>
      <c r="C4" s="997"/>
      <c r="D4" s="1008" t="s">
        <v>190</v>
      </c>
      <c r="E4" s="1008"/>
      <c r="F4" s="1008"/>
    </row>
    <row r="5" spans="1:6" ht="12" customHeight="1">
      <c r="A5" s="6" t="s">
        <v>27</v>
      </c>
      <c r="B5" s="998" t="s">
        <v>175</v>
      </c>
      <c r="C5" s="998"/>
      <c r="D5" s="899"/>
      <c r="E5" s="886"/>
      <c r="F5" s="900"/>
    </row>
    <row r="6" spans="1:6" ht="12" customHeight="1">
      <c r="A6" s="6" t="s">
        <v>34</v>
      </c>
      <c r="B6" s="998" t="s">
        <v>174</v>
      </c>
      <c r="C6" s="998"/>
      <c r="D6" s="901">
        <v>17783</v>
      </c>
      <c r="E6" s="760"/>
      <c r="F6" s="902">
        <f>+D6+E6</f>
        <v>17783</v>
      </c>
    </row>
    <row r="7" spans="1:6" ht="12" customHeight="1">
      <c r="A7" s="7" t="s">
        <v>35</v>
      </c>
      <c r="B7" s="995" t="s">
        <v>173</v>
      </c>
      <c r="C7" s="995"/>
      <c r="D7" s="903">
        <f>SUM(D5:D6)</f>
        <v>17783</v>
      </c>
      <c r="E7" s="761">
        <f t="shared" ref="E7:F7" si="0">SUM(E5:E6)</f>
        <v>0</v>
      </c>
      <c r="F7" s="903">
        <f t="shared" si="0"/>
        <v>17783</v>
      </c>
    </row>
    <row r="8" spans="1:6" ht="12" customHeight="1">
      <c r="A8" s="8"/>
      <c r="B8" s="9"/>
      <c r="C8" s="9"/>
      <c r="D8" s="904"/>
      <c r="E8" s="762"/>
      <c r="F8" s="905"/>
    </row>
    <row r="9" spans="1:6" ht="12" customHeight="1">
      <c r="A9" s="6" t="s">
        <v>36</v>
      </c>
      <c r="B9" s="998" t="s">
        <v>172</v>
      </c>
      <c r="C9" s="998"/>
      <c r="D9" s="906">
        <v>4904</v>
      </c>
      <c r="E9" s="760"/>
      <c r="F9" s="902">
        <f>+D9+E9</f>
        <v>4904</v>
      </c>
    </row>
    <row r="10" spans="1:6" ht="12" customHeight="1">
      <c r="A10" s="203"/>
      <c r="B10" s="907"/>
      <c r="C10" s="12"/>
      <c r="D10" s="908"/>
      <c r="E10" s="885"/>
      <c r="F10" s="909"/>
    </row>
    <row r="11" spans="1:6" ht="12" customHeight="1">
      <c r="A11" s="13" t="s">
        <v>43</v>
      </c>
      <c r="B11" s="996" t="s">
        <v>42</v>
      </c>
      <c r="C11" s="996"/>
      <c r="D11" s="910"/>
      <c r="E11" s="763">
        <v>10</v>
      </c>
      <c r="F11" s="911">
        <f t="shared" ref="F11:F13" si="1">+D11+E11</f>
        <v>10</v>
      </c>
    </row>
    <row r="12" spans="1:6" ht="12" customHeight="1">
      <c r="A12" s="4" t="s">
        <v>45</v>
      </c>
      <c r="B12" s="999" t="s">
        <v>44</v>
      </c>
      <c r="C12" s="999"/>
      <c r="D12" s="912"/>
      <c r="E12" s="886">
        <f>90+150</f>
        <v>240</v>
      </c>
      <c r="F12" s="911">
        <f t="shared" si="1"/>
        <v>240</v>
      </c>
    </row>
    <row r="13" spans="1:6" ht="12" customHeight="1">
      <c r="A13" s="4" t="s">
        <v>47</v>
      </c>
      <c r="B13" s="999" t="s">
        <v>46</v>
      </c>
      <c r="C13" s="999"/>
      <c r="D13" s="912"/>
      <c r="E13" s="886"/>
      <c r="F13" s="911">
        <f t="shared" si="1"/>
        <v>0</v>
      </c>
    </row>
    <row r="14" spans="1:6" s="913" customFormat="1" ht="12" customHeight="1">
      <c r="A14" s="6" t="s">
        <v>48</v>
      </c>
      <c r="B14" s="998" t="s">
        <v>171</v>
      </c>
      <c r="C14" s="998"/>
      <c r="D14" s="906">
        <f>SUM(D11:D13)</f>
        <v>0</v>
      </c>
      <c r="E14" s="906">
        <f t="shared" ref="E14:F14" si="2">SUM(E11:E13)</f>
        <v>250</v>
      </c>
      <c r="F14" s="906">
        <f t="shared" si="2"/>
        <v>250</v>
      </c>
    </row>
    <row r="15" spans="1:6" ht="12" customHeight="1">
      <c r="A15" s="4" t="s">
        <v>50</v>
      </c>
      <c r="B15" s="999" t="s">
        <v>49</v>
      </c>
      <c r="C15" s="999"/>
      <c r="D15" s="912"/>
      <c r="E15" s="886">
        <f>1980+78+10+620</f>
        <v>2688</v>
      </c>
      <c r="F15" s="911">
        <f>+D15+E15</f>
        <v>2688</v>
      </c>
    </row>
    <row r="16" spans="1:6" ht="12" customHeight="1">
      <c r="A16" s="4" t="s">
        <v>52</v>
      </c>
      <c r="B16" s="999" t="s">
        <v>51</v>
      </c>
      <c r="C16" s="999"/>
      <c r="D16" s="912">
        <v>600</v>
      </c>
      <c r="E16" s="886"/>
      <c r="F16" s="911">
        <f>+D16+E16</f>
        <v>600</v>
      </c>
    </row>
    <row r="17" spans="1:6" s="913" customFormat="1" ht="12" customHeight="1">
      <c r="A17" s="6" t="s">
        <v>53</v>
      </c>
      <c r="B17" s="998" t="s">
        <v>170</v>
      </c>
      <c r="C17" s="998"/>
      <c r="D17" s="906">
        <f>SUM(D15:D16)</f>
        <v>600</v>
      </c>
      <c r="E17" s="764">
        <f t="shared" ref="E17:F17" si="3">SUM(E15:E16)</f>
        <v>2688</v>
      </c>
      <c r="F17" s="906">
        <f t="shared" si="3"/>
        <v>3288</v>
      </c>
    </row>
    <row r="18" spans="1:6" ht="12" customHeight="1">
      <c r="A18" s="4" t="s">
        <v>55</v>
      </c>
      <c r="B18" s="999" t="s">
        <v>54</v>
      </c>
      <c r="C18" s="999"/>
      <c r="D18" s="912"/>
      <c r="E18" s="886"/>
      <c r="F18" s="911">
        <f t="shared" ref="F18:F22" si="4">+D18+E18</f>
        <v>0</v>
      </c>
    </row>
    <row r="19" spans="1:6" ht="12" customHeight="1">
      <c r="A19" s="4" t="s">
        <v>57</v>
      </c>
      <c r="B19" s="999" t="s">
        <v>56</v>
      </c>
      <c r="C19" s="999"/>
      <c r="D19" s="912"/>
      <c r="E19" s="886"/>
      <c r="F19" s="911">
        <f t="shared" si="4"/>
        <v>0</v>
      </c>
    </row>
    <row r="20" spans="1:6" ht="12" customHeight="1">
      <c r="A20" s="4" t="s">
        <v>58</v>
      </c>
      <c r="B20" s="999" t="s">
        <v>168</v>
      </c>
      <c r="C20" s="999"/>
      <c r="D20" s="912"/>
      <c r="E20" s="886">
        <v>118</v>
      </c>
      <c r="F20" s="911">
        <f t="shared" si="4"/>
        <v>118</v>
      </c>
    </row>
    <row r="21" spans="1:6" ht="12" customHeight="1">
      <c r="A21" s="4" t="s">
        <v>60</v>
      </c>
      <c r="B21" s="999" t="s">
        <v>59</v>
      </c>
      <c r="C21" s="999"/>
      <c r="D21" s="912"/>
      <c r="E21" s="886"/>
      <c r="F21" s="911">
        <f t="shared" si="4"/>
        <v>0</v>
      </c>
    </row>
    <row r="22" spans="1:6" ht="12" customHeight="1">
      <c r="A22" s="4" t="s">
        <v>61</v>
      </c>
      <c r="B22" s="999" t="s">
        <v>167</v>
      </c>
      <c r="C22" s="999"/>
      <c r="D22" s="912"/>
      <c r="E22" s="886"/>
      <c r="F22" s="911">
        <f t="shared" si="4"/>
        <v>0</v>
      </c>
    </row>
    <row r="23" spans="1:6" ht="12" customHeight="1">
      <c r="A23" s="4" t="s">
        <v>64</v>
      </c>
      <c r="B23" s="999" t="s">
        <v>63</v>
      </c>
      <c r="C23" s="999"/>
      <c r="D23" s="910">
        <v>1000</v>
      </c>
      <c r="E23" s="886">
        <f>110+952</f>
        <v>1062</v>
      </c>
      <c r="F23" s="911">
        <f>+D23+E23</f>
        <v>2062</v>
      </c>
    </row>
    <row r="24" spans="1:6" ht="12" customHeight="1">
      <c r="A24" s="4" t="s">
        <v>66</v>
      </c>
      <c r="B24" s="999" t="s">
        <v>65</v>
      </c>
      <c r="C24" s="999"/>
      <c r="D24" s="912">
        <v>4700</v>
      </c>
      <c r="E24" s="886">
        <f>-222+200</f>
        <v>-22</v>
      </c>
      <c r="F24" s="911">
        <f>+D24+E24</f>
        <v>4678</v>
      </c>
    </row>
    <row r="25" spans="1:6" s="913" customFormat="1" ht="12" customHeight="1">
      <c r="A25" s="6" t="s">
        <v>67</v>
      </c>
      <c r="B25" s="998" t="s">
        <v>157</v>
      </c>
      <c r="C25" s="998"/>
      <c r="D25" s="906">
        <f>+D24+D23+D22+D21+D20+D19+D18</f>
        <v>5700</v>
      </c>
      <c r="E25" s="764">
        <f t="shared" ref="E25:F25" si="5">+E24+E23+E22+E21+E20+E19+E18</f>
        <v>1158</v>
      </c>
      <c r="F25" s="906">
        <f t="shared" si="5"/>
        <v>6858</v>
      </c>
    </row>
    <row r="26" spans="1:6" ht="12" customHeight="1">
      <c r="A26" s="4" t="s">
        <v>69</v>
      </c>
      <c r="B26" s="999" t="s">
        <v>68</v>
      </c>
      <c r="C26" s="999"/>
      <c r="D26" s="912">
        <v>1500</v>
      </c>
      <c r="E26" s="886">
        <v>-150</v>
      </c>
      <c r="F26" s="911">
        <f>+D26+E26</f>
        <v>1350</v>
      </c>
    </row>
    <row r="27" spans="1:6" ht="12" customHeight="1">
      <c r="A27" s="4" t="s">
        <v>71</v>
      </c>
      <c r="B27" s="999" t="s">
        <v>70</v>
      </c>
      <c r="C27" s="999"/>
      <c r="D27" s="912"/>
      <c r="E27" s="886"/>
      <c r="F27" s="900"/>
    </row>
    <row r="28" spans="1:6" ht="12" customHeight="1">
      <c r="A28" s="6" t="s">
        <v>72</v>
      </c>
      <c r="B28" s="998" t="s">
        <v>156</v>
      </c>
      <c r="C28" s="998"/>
      <c r="D28" s="906">
        <f>SUM(D26:D27)</f>
        <v>1500</v>
      </c>
      <c r="E28" s="764">
        <f t="shared" ref="E28:F28" si="6">SUM(E26:E27)</f>
        <v>-150</v>
      </c>
      <c r="F28" s="906">
        <f t="shared" si="6"/>
        <v>1350</v>
      </c>
    </row>
    <row r="29" spans="1:6" ht="12" customHeight="1">
      <c r="A29" s="4" t="s">
        <v>74</v>
      </c>
      <c r="B29" s="999" t="s">
        <v>73</v>
      </c>
      <c r="C29" s="999"/>
      <c r="D29" s="912">
        <v>650</v>
      </c>
      <c r="E29" s="886">
        <f>30+21+24+3+32+167</f>
        <v>277</v>
      </c>
      <c r="F29" s="911">
        <f>+D29+E29</f>
        <v>927</v>
      </c>
    </row>
    <row r="30" spans="1:6" ht="12" customHeight="1">
      <c r="A30" s="4" t="s">
        <v>76</v>
      </c>
      <c r="B30" s="999" t="s">
        <v>75</v>
      </c>
      <c r="C30" s="999"/>
      <c r="D30" s="912"/>
      <c r="E30" s="886"/>
      <c r="F30" s="900"/>
    </row>
    <row r="31" spans="1:6" ht="12" customHeight="1">
      <c r="A31" s="4" t="s">
        <v>77</v>
      </c>
      <c r="B31" s="999" t="s">
        <v>155</v>
      </c>
      <c r="C31" s="999"/>
      <c r="D31" s="912"/>
      <c r="E31" s="886"/>
      <c r="F31" s="900"/>
    </row>
    <row r="32" spans="1:6" ht="12" customHeight="1">
      <c r="A32" s="4" t="s">
        <v>78</v>
      </c>
      <c r="B32" s="999" t="s">
        <v>154</v>
      </c>
      <c r="C32" s="999"/>
      <c r="D32" s="912"/>
      <c r="E32" s="886"/>
      <c r="F32" s="900"/>
    </row>
    <row r="33" spans="1:6" ht="12" customHeight="1">
      <c r="A33" s="4" t="s">
        <v>80</v>
      </c>
      <c r="B33" s="999" t="s">
        <v>79</v>
      </c>
      <c r="C33" s="999"/>
      <c r="D33" s="912">
        <v>100</v>
      </c>
      <c r="E33" s="886">
        <f>7+10205+5+449+222+127</f>
        <v>11015</v>
      </c>
      <c r="F33" s="911">
        <f>+D33+E33</f>
        <v>11115</v>
      </c>
    </row>
    <row r="34" spans="1:6" ht="12" customHeight="1">
      <c r="A34" s="6" t="s">
        <v>81</v>
      </c>
      <c r="B34" s="998" t="s">
        <v>153</v>
      </c>
      <c r="C34" s="998"/>
      <c r="D34" s="906">
        <f>SUM(D29:D33)</f>
        <v>750</v>
      </c>
      <c r="E34" s="764">
        <f t="shared" ref="E34:F34" si="7">SUM(E29:E33)</f>
        <v>11292</v>
      </c>
      <c r="F34" s="906">
        <f t="shared" si="7"/>
        <v>12042</v>
      </c>
    </row>
    <row r="35" spans="1:6" ht="12" customHeight="1">
      <c r="A35" s="7" t="s">
        <v>82</v>
      </c>
      <c r="B35" s="995" t="s">
        <v>152</v>
      </c>
      <c r="C35" s="995"/>
      <c r="D35" s="914">
        <f>+D34+D28+D25+D17+D14</f>
        <v>8550</v>
      </c>
      <c r="E35" s="761">
        <f t="shared" ref="E35:F35" si="8">+E34+E28+E25+E17+E14</f>
        <v>15238</v>
      </c>
      <c r="F35" s="914">
        <f t="shared" si="8"/>
        <v>23788</v>
      </c>
    </row>
    <row r="36" spans="1:6" ht="12" customHeight="1">
      <c r="A36" s="8"/>
      <c r="B36" s="9"/>
      <c r="C36" s="9"/>
      <c r="D36" s="915"/>
      <c r="E36" s="762"/>
      <c r="F36" s="905"/>
    </row>
    <row r="37" spans="1:6" ht="12" hidden="1" customHeight="1">
      <c r="A37" s="4" t="s">
        <v>97</v>
      </c>
      <c r="B37" s="994" t="s">
        <v>96</v>
      </c>
      <c r="C37" s="994"/>
      <c r="D37" s="912"/>
      <c r="E37" s="886"/>
      <c r="F37" s="900"/>
    </row>
    <row r="38" spans="1:6" ht="12" hidden="1" customHeight="1">
      <c r="A38" s="4" t="s">
        <v>99</v>
      </c>
      <c r="B38" s="994" t="s">
        <v>185</v>
      </c>
      <c r="C38" s="994"/>
      <c r="D38" s="912"/>
      <c r="E38" s="886"/>
      <c r="F38" s="900"/>
    </row>
    <row r="39" spans="1:6" ht="12" hidden="1" customHeight="1">
      <c r="A39" s="4" t="s">
        <v>102</v>
      </c>
      <c r="B39" s="994" t="s">
        <v>166</v>
      </c>
      <c r="C39" s="994"/>
      <c r="D39" s="912"/>
      <c r="E39" s="886"/>
      <c r="F39" s="900"/>
    </row>
    <row r="40" spans="1:6" ht="12" hidden="1" customHeight="1">
      <c r="A40" s="4" t="s">
        <v>104</v>
      </c>
      <c r="B40" s="994" t="s">
        <v>184</v>
      </c>
      <c r="C40" s="994"/>
      <c r="D40" s="912"/>
      <c r="E40" s="886"/>
      <c r="F40" s="900"/>
    </row>
    <row r="41" spans="1:6" ht="12" hidden="1" customHeight="1">
      <c r="A41" s="4" t="s">
        <v>108</v>
      </c>
      <c r="B41" s="994" t="s">
        <v>165</v>
      </c>
      <c r="C41" s="994"/>
      <c r="D41" s="912"/>
      <c r="E41" s="886"/>
      <c r="F41" s="900"/>
    </row>
    <row r="42" spans="1:6" ht="12" hidden="1" customHeight="1">
      <c r="A42" s="4" t="s">
        <v>716</v>
      </c>
      <c r="B42" s="999" t="s">
        <v>107</v>
      </c>
      <c r="C42" s="999"/>
      <c r="D42" s="912"/>
      <c r="E42" s="886"/>
      <c r="F42" s="900"/>
    </row>
    <row r="43" spans="1:6" ht="12" customHeight="1">
      <c r="A43" s="7" t="s">
        <v>109</v>
      </c>
      <c r="B43" s="995" t="s">
        <v>164</v>
      </c>
      <c r="C43" s="995"/>
      <c r="D43" s="914">
        <f>+D42+D41+D40+D39+D38+D37</f>
        <v>0</v>
      </c>
      <c r="E43" s="765"/>
      <c r="F43" s="916"/>
    </row>
    <row r="44" spans="1:6" ht="12" customHeight="1">
      <c r="A44" s="8"/>
      <c r="B44" s="9"/>
      <c r="C44" s="9"/>
      <c r="D44" s="915"/>
      <c r="E44" s="762"/>
      <c r="F44" s="905"/>
    </row>
    <row r="45" spans="1:6" ht="12" hidden="1" customHeight="1">
      <c r="A45" s="13" t="s">
        <v>111</v>
      </c>
      <c r="B45" s="996" t="s">
        <v>110</v>
      </c>
      <c r="C45" s="996"/>
      <c r="D45" s="910"/>
      <c r="E45" s="763"/>
      <c r="F45" s="917"/>
    </row>
    <row r="46" spans="1:6" ht="12" hidden="1" customHeight="1">
      <c r="A46" s="4" t="s">
        <v>112</v>
      </c>
      <c r="B46" s="999" t="s">
        <v>163</v>
      </c>
      <c r="C46" s="999"/>
      <c r="D46" s="912"/>
      <c r="E46" s="886"/>
      <c r="F46" s="900"/>
    </row>
    <row r="47" spans="1:6" ht="12" hidden="1" customHeight="1">
      <c r="A47" s="4" t="s">
        <v>115</v>
      </c>
      <c r="B47" s="999" t="s">
        <v>114</v>
      </c>
      <c r="C47" s="999"/>
      <c r="D47" s="912"/>
      <c r="E47" s="886"/>
      <c r="F47" s="900"/>
    </row>
    <row r="48" spans="1:6" ht="12" hidden="1" customHeight="1">
      <c r="A48" s="4" t="s">
        <v>117</v>
      </c>
      <c r="B48" s="999" t="s">
        <v>116</v>
      </c>
      <c r="C48" s="999"/>
      <c r="D48" s="912"/>
      <c r="E48" s="886"/>
      <c r="F48" s="900"/>
    </row>
    <row r="49" spans="1:6" ht="12" hidden="1" customHeight="1">
      <c r="A49" s="4" t="s">
        <v>119</v>
      </c>
      <c r="B49" s="999" t="s">
        <v>118</v>
      </c>
      <c r="C49" s="999"/>
      <c r="D49" s="912"/>
      <c r="E49" s="886"/>
      <c r="F49" s="900"/>
    </row>
    <row r="50" spans="1:6" ht="12" hidden="1" customHeight="1">
      <c r="A50" s="4" t="s">
        <v>121</v>
      </c>
      <c r="B50" s="999" t="s">
        <v>120</v>
      </c>
      <c r="C50" s="999"/>
      <c r="D50" s="912"/>
      <c r="E50" s="886"/>
      <c r="F50" s="900"/>
    </row>
    <row r="51" spans="1:6" ht="12" hidden="1" customHeight="1">
      <c r="A51" s="4" t="s">
        <v>123</v>
      </c>
      <c r="B51" s="999" t="s">
        <v>122</v>
      </c>
      <c r="C51" s="999"/>
      <c r="D51" s="912"/>
      <c r="E51" s="886"/>
      <c r="F51" s="900"/>
    </row>
    <row r="52" spans="1:6" ht="12" customHeight="1">
      <c r="A52" s="7" t="s">
        <v>124</v>
      </c>
      <c r="B52" s="995" t="s">
        <v>162</v>
      </c>
      <c r="C52" s="995"/>
      <c r="D52" s="914">
        <f>+D51+D50+D49+D48+D47+D46+D45</f>
        <v>0</v>
      </c>
      <c r="E52" s="765">
        <f>+E51+E50+E49+E48+E47+E46+E45</f>
        <v>0</v>
      </c>
      <c r="F52" s="916">
        <f>+F51+F50+F49+F48+F47+F46+F45</f>
        <v>0</v>
      </c>
    </row>
    <row r="53" spans="1:6" ht="12" customHeight="1">
      <c r="A53" s="8"/>
      <c r="B53" s="9"/>
      <c r="C53" s="9"/>
      <c r="D53" s="915"/>
      <c r="E53" s="762"/>
      <c r="F53" s="905"/>
    </row>
    <row r="54" spans="1:6" ht="12" hidden="1" customHeight="1">
      <c r="A54" s="13" t="s">
        <v>126</v>
      </c>
      <c r="B54" s="996" t="s">
        <v>125</v>
      </c>
      <c r="C54" s="996"/>
      <c r="D54" s="910"/>
      <c r="E54" s="763"/>
      <c r="F54" s="917"/>
    </row>
    <row r="55" spans="1:6" ht="12" hidden="1" customHeight="1">
      <c r="A55" s="4" t="s">
        <v>128</v>
      </c>
      <c r="B55" s="999" t="s">
        <v>127</v>
      </c>
      <c r="C55" s="999"/>
      <c r="D55" s="912"/>
      <c r="E55" s="886"/>
      <c r="F55" s="900"/>
    </row>
    <row r="56" spans="1:6" ht="12" hidden="1" customHeight="1">
      <c r="A56" s="4" t="s">
        <v>130</v>
      </c>
      <c r="B56" s="999" t="s">
        <v>129</v>
      </c>
      <c r="C56" s="999"/>
      <c r="D56" s="912"/>
      <c r="E56" s="886"/>
      <c r="F56" s="900"/>
    </row>
    <row r="57" spans="1:6" ht="12" hidden="1" customHeight="1">
      <c r="A57" s="4" t="s">
        <v>132</v>
      </c>
      <c r="B57" s="999" t="s">
        <v>131</v>
      </c>
      <c r="C57" s="999"/>
      <c r="D57" s="912"/>
      <c r="E57" s="886"/>
      <c r="F57" s="900"/>
    </row>
    <row r="58" spans="1:6" ht="12" customHeight="1">
      <c r="A58" s="6" t="s">
        <v>133</v>
      </c>
      <c r="B58" s="998" t="s">
        <v>161</v>
      </c>
      <c r="C58" s="998"/>
      <c r="D58" s="912"/>
      <c r="E58" s="886"/>
      <c r="F58" s="900"/>
    </row>
    <row r="59" spans="1:6" ht="12" customHeight="1">
      <c r="A59" s="8"/>
      <c r="B59" s="17"/>
      <c r="C59" s="17"/>
      <c r="D59" s="915"/>
      <c r="E59" s="762"/>
      <c r="F59" s="905"/>
    </row>
    <row r="60" spans="1:6" ht="12" hidden="1" customHeight="1">
      <c r="A60" s="203" t="s">
        <v>396</v>
      </c>
      <c r="B60" s="996" t="s">
        <v>397</v>
      </c>
      <c r="C60" s="996"/>
      <c r="D60" s="912"/>
      <c r="E60" s="886"/>
      <c r="F60" s="900"/>
    </row>
    <row r="61" spans="1:6" ht="12" hidden="1" customHeight="1">
      <c r="A61" s="203" t="s">
        <v>412</v>
      </c>
      <c r="B61" s="1002" t="s">
        <v>413</v>
      </c>
      <c r="C61" s="1003"/>
      <c r="D61" s="910"/>
      <c r="E61" s="763"/>
      <c r="F61" s="917"/>
    </row>
    <row r="62" spans="1:6" ht="12" hidden="1" customHeight="1">
      <c r="A62" s="13" t="s">
        <v>717</v>
      </c>
      <c r="B62" s="996" t="s">
        <v>160</v>
      </c>
      <c r="C62" s="996"/>
      <c r="D62" s="910"/>
      <c r="E62" s="763"/>
      <c r="F62" s="917"/>
    </row>
    <row r="63" spans="1:6" ht="12" customHeight="1">
      <c r="A63" s="16" t="s">
        <v>135</v>
      </c>
      <c r="B63" s="1000" t="s">
        <v>159</v>
      </c>
      <c r="C63" s="1000"/>
      <c r="D63" s="906">
        <f>+D62+D60</f>
        <v>0</v>
      </c>
      <c r="E63" s="760"/>
      <c r="F63" s="918"/>
    </row>
    <row r="64" spans="1:6" ht="12" customHeight="1" thickBot="1">
      <c r="A64" s="52"/>
      <c r="B64" s="53"/>
      <c r="C64" s="53"/>
      <c r="D64" s="919"/>
      <c r="E64" s="884"/>
      <c r="F64" s="920"/>
    </row>
    <row r="65" spans="1:6" ht="12" customHeight="1" thickBot="1">
      <c r="A65" s="55" t="s">
        <v>136</v>
      </c>
      <c r="B65" s="1001" t="s">
        <v>158</v>
      </c>
      <c r="C65" s="1001"/>
      <c r="D65" s="921">
        <f>+D63+D58+D52+D43+D35+D9+D7</f>
        <v>31237</v>
      </c>
      <c r="E65" s="881">
        <f t="shared" ref="E65:F65" si="9">+E63+E58+E52+E43+E35+E9+E7</f>
        <v>15238</v>
      </c>
      <c r="F65" s="922">
        <f t="shared" si="9"/>
        <v>46475</v>
      </c>
    </row>
  </sheetData>
  <mergeCells count="59">
    <mergeCell ref="B48:C48"/>
    <mergeCell ref="D1:F1"/>
    <mergeCell ref="B15:C15"/>
    <mergeCell ref="B16:C16"/>
    <mergeCell ref="B11:C11"/>
    <mergeCell ref="B12:C12"/>
    <mergeCell ref="B7:C7"/>
    <mergeCell ref="B9:C9"/>
    <mergeCell ref="B14:C14"/>
    <mergeCell ref="B13:C13"/>
    <mergeCell ref="B5:C5"/>
    <mergeCell ref="D2:F2"/>
    <mergeCell ref="D4:F4"/>
    <mergeCell ref="B20:C20"/>
    <mergeCell ref="B24:C24"/>
    <mergeCell ref="B39:C39"/>
    <mergeCell ref="A2:A4"/>
    <mergeCell ref="B63:C63"/>
    <mergeCell ref="B65:C65"/>
    <mergeCell ref="B62:C62"/>
    <mergeCell ref="B56:C56"/>
    <mergeCell ref="B57:C57"/>
    <mergeCell ref="B58:C58"/>
    <mergeCell ref="B60:C60"/>
    <mergeCell ref="B61:C61"/>
    <mergeCell ref="B54:C54"/>
    <mergeCell ref="B55:C55"/>
    <mergeCell ref="B49:C49"/>
    <mergeCell ref="B50:C50"/>
    <mergeCell ref="B47:C47"/>
    <mergeCell ref="B23:C23"/>
    <mergeCell ref="B51:C51"/>
    <mergeCell ref="B52:C52"/>
    <mergeCell ref="B41:C41"/>
    <mergeCell ref="B6:C6"/>
    <mergeCell ref="B35:C35"/>
    <mergeCell ref="B33:C33"/>
    <mergeCell ref="B31:C31"/>
    <mergeCell ref="B32:C32"/>
    <mergeCell ref="B25:C25"/>
    <mergeCell ref="B26:C26"/>
    <mergeCell ref="B21:C21"/>
    <mergeCell ref="B22:C22"/>
    <mergeCell ref="B17:C17"/>
    <mergeCell ref="B18:C18"/>
    <mergeCell ref="B19:C19"/>
    <mergeCell ref="B42:C42"/>
    <mergeCell ref="B46:C46"/>
    <mergeCell ref="B38:C38"/>
    <mergeCell ref="B43:C43"/>
    <mergeCell ref="B45:C45"/>
    <mergeCell ref="B2:C4"/>
    <mergeCell ref="B34:C34"/>
    <mergeCell ref="B29:C29"/>
    <mergeCell ref="B30:C30"/>
    <mergeCell ref="B27:C27"/>
    <mergeCell ref="B28:C28"/>
    <mergeCell ref="B37:C37"/>
    <mergeCell ref="B40:C40"/>
  </mergeCells>
  <printOptions horizontalCentered="1"/>
  <pageMargins left="0.70866141732283472" right="0.70866141732283472" top="0.88" bottom="0.74803149606299213" header="0.31496062992125984" footer="0.31496062992125984"/>
  <pageSetup paperSize="9" orientation="portrait" cellComments="asDisplayed" r:id="rId1"/>
  <headerFooter>
    <oddHeader>&amp;C&amp;"Times New Roman,Félkövér"&amp;12Martonvásár Város Önkormányzatának kiadásai 2016.
Önkormányzati jogalkotás kormányzati funkció&amp;R&amp;"Times New Roman,Félkövér"&amp;12 
5/a.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G66"/>
  <sheetViews>
    <sheetView workbookViewId="0">
      <pane xSplit="3" ySplit="4" topLeftCell="D5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defaultColWidth="9.109375" defaultRowHeight="14.4"/>
  <cols>
    <col min="1" max="1" width="8.109375" style="471" customWidth="1"/>
    <col min="2" max="2" width="7.109375" style="29" customWidth="1"/>
    <col min="3" max="3" width="31" style="29" customWidth="1"/>
    <col min="4" max="4" width="8.109375" style="20" customWidth="1"/>
    <col min="5" max="5" width="8.44140625" style="20" customWidth="1"/>
    <col min="6" max="6" width="8.109375" style="20" customWidth="1"/>
    <col min="7" max="7" width="7.5546875" style="20" customWidth="1"/>
    <col min="8" max="8" width="7.109375" style="20" customWidth="1"/>
    <col min="9" max="9" width="8.109375" style="20" customWidth="1"/>
    <col min="10" max="10" width="7.88671875" style="20" customWidth="1"/>
    <col min="11" max="11" width="7.6640625" style="20" customWidth="1"/>
    <col min="12" max="13" width="7.88671875" style="20" customWidth="1"/>
    <col min="14" max="14" width="7.6640625" style="20" customWidth="1"/>
    <col min="15" max="15" width="7.88671875" style="20" customWidth="1"/>
    <col min="16" max="16" width="7.109375" style="20" customWidth="1"/>
    <col min="17" max="17" width="8" style="20" customWidth="1"/>
    <col min="18" max="18" width="7.5546875" style="20" customWidth="1"/>
    <col min="19" max="19" width="7.109375" style="20" customWidth="1"/>
    <col min="20" max="20" width="8" style="20" customWidth="1"/>
    <col min="21" max="21" width="7.5546875" style="20" customWidth="1"/>
    <col min="22" max="22" width="7.109375" style="20" customWidth="1"/>
    <col min="23" max="23" width="8" style="20" customWidth="1"/>
    <col min="24" max="24" width="7.5546875" style="20" customWidth="1"/>
    <col min="25" max="25" width="7.109375" style="20" customWidth="1"/>
    <col min="26" max="26" width="8" style="20" customWidth="1"/>
    <col min="27" max="27" width="7.5546875" style="20" customWidth="1"/>
    <col min="28" max="28" width="8" style="20" customWidth="1"/>
    <col min="29" max="29" width="7.88671875" style="20" customWidth="1"/>
    <col min="30" max="30" width="7.33203125" style="20" customWidth="1"/>
    <col min="31" max="33" width="8.88671875" customWidth="1"/>
    <col min="34" max="16384" width="9.109375" style="20"/>
  </cols>
  <sheetData>
    <row r="1" spans="1:30" s="1" customFormat="1" ht="13.2" customHeight="1">
      <c r="A1" s="471"/>
      <c r="B1" s="29"/>
      <c r="C1" s="29"/>
      <c r="AB1" s="1009" t="s">
        <v>411</v>
      </c>
      <c r="AC1" s="1009"/>
      <c r="AD1" s="1009"/>
    </row>
    <row r="2" spans="1:30" s="35" customFormat="1" ht="28.5" customHeight="1">
      <c r="A2" s="997" t="s">
        <v>0</v>
      </c>
      <c r="B2" s="997" t="s">
        <v>183</v>
      </c>
      <c r="C2" s="997"/>
      <c r="D2" s="1013" t="s">
        <v>181</v>
      </c>
      <c r="E2" s="1013"/>
      <c r="F2" s="1013"/>
      <c r="G2" s="1013" t="s">
        <v>610</v>
      </c>
      <c r="H2" s="1013"/>
      <c r="I2" s="1013"/>
      <c r="J2" s="1017" t="s">
        <v>177</v>
      </c>
      <c r="K2" s="1018"/>
      <c r="L2" s="1019"/>
      <c r="M2" s="1013" t="s">
        <v>763</v>
      </c>
      <c r="N2" s="1013"/>
      <c r="O2" s="1013"/>
      <c r="P2" s="1013" t="s">
        <v>1025</v>
      </c>
      <c r="Q2" s="1013"/>
      <c r="R2" s="1013"/>
      <c r="S2" s="1013" t="s">
        <v>764</v>
      </c>
      <c r="T2" s="1013"/>
      <c r="U2" s="1013"/>
      <c r="V2" s="1013" t="s">
        <v>1028</v>
      </c>
      <c r="W2" s="1013"/>
      <c r="X2" s="1013"/>
      <c r="Y2" s="1013" t="s">
        <v>1029</v>
      </c>
      <c r="Z2" s="1013"/>
      <c r="AA2" s="1013"/>
      <c r="AB2" s="1014" t="s">
        <v>537</v>
      </c>
      <c r="AC2" s="1015"/>
      <c r="AD2" s="1016"/>
    </row>
    <row r="3" spans="1:30" s="35" customFormat="1" ht="12.75" customHeight="1">
      <c r="A3" s="997"/>
      <c r="B3" s="997"/>
      <c r="C3" s="997"/>
      <c r="D3" s="1013"/>
      <c r="E3" s="1013"/>
      <c r="F3" s="1013"/>
      <c r="G3" s="1013" t="s">
        <v>190</v>
      </c>
      <c r="H3" s="1013"/>
      <c r="I3" s="1013"/>
      <c r="J3" s="1013" t="s">
        <v>190</v>
      </c>
      <c r="K3" s="1013"/>
      <c r="L3" s="1013"/>
      <c r="M3" s="1013" t="s">
        <v>190</v>
      </c>
      <c r="N3" s="1013"/>
      <c r="O3" s="1013"/>
      <c r="P3" s="1013" t="s">
        <v>190</v>
      </c>
      <c r="Q3" s="1013"/>
      <c r="R3" s="1013"/>
      <c r="S3" s="1013" t="s">
        <v>190</v>
      </c>
      <c r="T3" s="1013"/>
      <c r="U3" s="1013"/>
      <c r="V3" s="1013" t="s">
        <v>190</v>
      </c>
      <c r="W3" s="1013"/>
      <c r="X3" s="1013"/>
      <c r="Y3" s="1013" t="s">
        <v>190</v>
      </c>
      <c r="Z3" s="1013"/>
      <c r="AA3" s="1013"/>
      <c r="AB3" s="1013" t="s">
        <v>190</v>
      </c>
      <c r="AC3" s="1013"/>
      <c r="AD3" s="1013"/>
    </row>
    <row r="4" spans="1:30" s="19" customFormat="1" ht="26.4">
      <c r="A4" s="997"/>
      <c r="B4" s="997"/>
      <c r="C4" s="997"/>
      <c r="D4" s="470" t="s">
        <v>178</v>
      </c>
      <c r="E4" s="673" t="s">
        <v>750</v>
      </c>
      <c r="F4" s="673" t="s">
        <v>752</v>
      </c>
      <c r="G4" s="470" t="s">
        <v>178</v>
      </c>
      <c r="H4" s="673" t="s">
        <v>750</v>
      </c>
      <c r="I4" s="673" t="s">
        <v>760</v>
      </c>
      <c r="J4" s="847" t="s">
        <v>178</v>
      </c>
      <c r="K4" s="847" t="s">
        <v>179</v>
      </c>
      <c r="L4" s="847" t="s">
        <v>180</v>
      </c>
      <c r="M4" s="470" t="s">
        <v>178</v>
      </c>
      <c r="N4" s="470" t="s">
        <v>179</v>
      </c>
      <c r="O4" s="470" t="s">
        <v>180</v>
      </c>
      <c r="P4" s="847" t="s">
        <v>178</v>
      </c>
      <c r="Q4" s="847" t="s">
        <v>179</v>
      </c>
      <c r="R4" s="847" t="s">
        <v>180</v>
      </c>
      <c r="S4" s="847" t="s">
        <v>178</v>
      </c>
      <c r="T4" s="847" t="s">
        <v>179</v>
      </c>
      <c r="U4" s="847" t="s">
        <v>180</v>
      </c>
      <c r="V4" s="847" t="s">
        <v>178</v>
      </c>
      <c r="W4" s="847" t="s">
        <v>179</v>
      </c>
      <c r="X4" s="847" t="s">
        <v>180</v>
      </c>
      <c r="Y4" s="470" t="s">
        <v>178</v>
      </c>
      <c r="Z4" s="470" t="s">
        <v>179</v>
      </c>
      <c r="AA4" s="470" t="s">
        <v>180</v>
      </c>
      <c r="AB4" s="470" t="s">
        <v>178</v>
      </c>
      <c r="AC4" s="470" t="s">
        <v>179</v>
      </c>
      <c r="AD4" s="470" t="s">
        <v>180</v>
      </c>
    </row>
    <row r="5" spans="1:30" s="48" customFormat="1" ht="12.75" customHeight="1">
      <c r="A5" s="6" t="s">
        <v>27</v>
      </c>
      <c r="B5" s="998" t="s">
        <v>175</v>
      </c>
      <c r="C5" s="998"/>
      <c r="D5" s="106">
        <f t="shared" ref="D5:D9" si="0">+G5+M5+Y5+AB5</f>
        <v>0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</row>
    <row r="6" spans="1:30" s="48" customFormat="1" ht="12.75" customHeight="1">
      <c r="A6" s="6" t="s">
        <v>34</v>
      </c>
      <c r="B6" s="998" t="s">
        <v>174</v>
      </c>
      <c r="C6" s="998"/>
      <c r="D6" s="106">
        <f t="shared" si="0"/>
        <v>0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</row>
    <row r="7" spans="1:30" s="48" customFormat="1" ht="12.75" customHeight="1">
      <c r="A7" s="7" t="s">
        <v>35</v>
      </c>
      <c r="B7" s="995" t="s">
        <v>173</v>
      </c>
      <c r="C7" s="995"/>
      <c r="D7" s="106">
        <f t="shared" si="0"/>
        <v>0</v>
      </c>
      <c r="E7" s="60">
        <f>+E6+E5</f>
        <v>0</v>
      </c>
      <c r="F7" s="60">
        <f>+F6+F5</f>
        <v>0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</row>
    <row r="8" spans="1:30" ht="12" customHeight="1">
      <c r="A8" s="8"/>
      <c r="B8" s="9"/>
      <c r="C8" s="9"/>
      <c r="D8" s="30">
        <f t="shared" si="0"/>
        <v>0</v>
      </c>
      <c r="E8" s="32"/>
      <c r="F8" s="33"/>
      <c r="G8" s="32"/>
      <c r="H8" s="32"/>
      <c r="I8" s="33"/>
      <c r="J8" s="32"/>
      <c r="K8" s="32"/>
      <c r="L8" s="33"/>
      <c r="M8" s="32"/>
      <c r="N8" s="32"/>
      <c r="O8" s="33"/>
      <c r="P8" s="32"/>
      <c r="Q8" s="32"/>
      <c r="R8" s="33"/>
      <c r="S8" s="32"/>
      <c r="T8" s="32"/>
      <c r="U8" s="33"/>
      <c r="V8" s="32"/>
      <c r="W8" s="32"/>
      <c r="X8" s="33"/>
      <c r="Y8" s="32"/>
      <c r="Z8" s="32"/>
      <c r="AA8" s="33"/>
      <c r="AB8" s="32"/>
      <c r="AC8" s="32"/>
      <c r="AD8" s="32"/>
    </row>
    <row r="9" spans="1:30" s="48" customFormat="1" ht="12.75" customHeight="1">
      <c r="A9" s="6" t="s">
        <v>36</v>
      </c>
      <c r="B9" s="998" t="s">
        <v>172</v>
      </c>
      <c r="C9" s="998"/>
      <c r="D9" s="106">
        <f t="shared" si="0"/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</row>
    <row r="10" spans="1:30" ht="11.25" customHeight="1">
      <c r="A10" s="203"/>
      <c r="B10" s="27"/>
      <c r="C10" s="12"/>
      <c r="D10" s="349"/>
      <c r="E10" s="32"/>
      <c r="F10" s="33"/>
      <c r="G10" s="32"/>
      <c r="H10" s="32"/>
      <c r="I10" s="33"/>
      <c r="J10" s="32"/>
      <c r="K10" s="32"/>
      <c r="L10" s="33"/>
      <c r="M10" s="32"/>
      <c r="N10" s="32"/>
      <c r="O10" s="33"/>
      <c r="P10" s="32"/>
      <c r="Q10" s="32"/>
      <c r="R10" s="33"/>
      <c r="S10" s="32"/>
      <c r="T10" s="32"/>
      <c r="U10" s="33"/>
      <c r="V10" s="32"/>
      <c r="W10" s="32"/>
      <c r="X10" s="33"/>
      <c r="Y10" s="32"/>
      <c r="Z10" s="32"/>
      <c r="AA10" s="33"/>
      <c r="AB10" s="32"/>
      <c r="AC10" s="32"/>
      <c r="AD10" s="32"/>
    </row>
    <row r="11" spans="1:30" ht="12.75" hidden="1" customHeight="1">
      <c r="A11" s="13" t="s">
        <v>43</v>
      </c>
      <c r="B11" s="996" t="s">
        <v>42</v>
      </c>
      <c r="C11" s="996"/>
      <c r="D11" s="30">
        <f t="shared" ref="D11:D35" si="1">+G11+M11+Y11+AB11</f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</row>
    <row r="12" spans="1:30" ht="12.75" hidden="1" customHeight="1">
      <c r="A12" s="4" t="s">
        <v>45</v>
      </c>
      <c r="B12" s="999" t="s">
        <v>44</v>
      </c>
      <c r="C12" s="999"/>
      <c r="D12" s="30">
        <f t="shared" si="1"/>
        <v>0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 spans="1:30" ht="12.75" hidden="1" customHeight="1">
      <c r="A13" s="4" t="s">
        <v>47</v>
      </c>
      <c r="B13" s="999" t="s">
        <v>46</v>
      </c>
      <c r="C13" s="999"/>
      <c r="D13" s="30">
        <f t="shared" si="1"/>
        <v>0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pans="1:30" s="48" customFormat="1" ht="12.75" customHeight="1">
      <c r="A14" s="6" t="s">
        <v>48</v>
      </c>
      <c r="B14" s="998" t="s">
        <v>171</v>
      </c>
      <c r="C14" s="998"/>
      <c r="D14" s="106">
        <f t="shared" si="1"/>
        <v>0</v>
      </c>
      <c r="E14" s="63">
        <f>SUM(E11:E13)</f>
        <v>0</v>
      </c>
      <c r="F14" s="63">
        <f>SUM(F11:F13)</f>
        <v>0</v>
      </c>
      <c r="G14" s="63">
        <f>SUM(G11:G13)</f>
        <v>0</v>
      </c>
      <c r="H14" s="63">
        <f t="shared" ref="H14:AA14" si="2">SUM(H11:H13)</f>
        <v>0</v>
      </c>
      <c r="I14" s="63">
        <f t="shared" si="2"/>
        <v>0</v>
      </c>
      <c r="J14" s="63">
        <f t="shared" ref="J14:L14" si="3">SUM(J11:J13)</f>
        <v>0</v>
      </c>
      <c r="K14" s="63">
        <f t="shared" si="3"/>
        <v>0</v>
      </c>
      <c r="L14" s="63">
        <f t="shared" si="3"/>
        <v>0</v>
      </c>
      <c r="M14" s="63">
        <f t="shared" si="2"/>
        <v>0</v>
      </c>
      <c r="N14" s="63">
        <f t="shared" si="2"/>
        <v>0</v>
      </c>
      <c r="O14" s="63">
        <f t="shared" si="2"/>
        <v>0</v>
      </c>
      <c r="P14" s="63">
        <f t="shared" ref="P14:X14" si="4">SUM(P11:P13)</f>
        <v>0</v>
      </c>
      <c r="Q14" s="63">
        <f t="shared" si="4"/>
        <v>0</v>
      </c>
      <c r="R14" s="63">
        <f t="shared" si="4"/>
        <v>0</v>
      </c>
      <c r="S14" s="63">
        <f t="shared" si="4"/>
        <v>0</v>
      </c>
      <c r="T14" s="63">
        <f t="shared" si="4"/>
        <v>0</v>
      </c>
      <c r="U14" s="63">
        <f t="shared" si="4"/>
        <v>0</v>
      </c>
      <c r="V14" s="63">
        <f t="shared" si="4"/>
        <v>0</v>
      </c>
      <c r="W14" s="63">
        <f t="shared" si="4"/>
        <v>0</v>
      </c>
      <c r="X14" s="63">
        <f t="shared" si="4"/>
        <v>0</v>
      </c>
      <c r="Y14" s="63">
        <f t="shared" si="2"/>
        <v>0</v>
      </c>
      <c r="Z14" s="63">
        <f t="shared" si="2"/>
        <v>0</v>
      </c>
      <c r="AA14" s="63">
        <f t="shared" si="2"/>
        <v>0</v>
      </c>
      <c r="AB14" s="63">
        <f>SUM(AB11:AB13)</f>
        <v>0</v>
      </c>
      <c r="AC14" s="63">
        <f>SUM(AC11:AC13)</f>
        <v>0</v>
      </c>
      <c r="AD14" s="63">
        <f>SUM(AD11:AD13)</f>
        <v>0</v>
      </c>
    </row>
    <row r="15" spans="1:30" ht="12.75" hidden="1" customHeight="1">
      <c r="A15" s="4" t="s">
        <v>50</v>
      </c>
      <c r="B15" s="999" t="s">
        <v>49</v>
      </c>
      <c r="C15" s="999"/>
      <c r="D15" s="30">
        <f t="shared" si="1"/>
        <v>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 spans="1:30" ht="12.75" hidden="1" customHeight="1">
      <c r="A16" s="4" t="s">
        <v>52</v>
      </c>
      <c r="B16" s="999" t="s">
        <v>51</v>
      </c>
      <c r="C16" s="999"/>
      <c r="D16" s="30">
        <f t="shared" si="1"/>
        <v>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pans="1:30" s="48" customFormat="1" ht="12.75" customHeight="1">
      <c r="A17" s="6" t="s">
        <v>53</v>
      </c>
      <c r="B17" s="998" t="s">
        <v>170</v>
      </c>
      <c r="C17" s="998"/>
      <c r="D17" s="106">
        <f t="shared" si="1"/>
        <v>0</v>
      </c>
      <c r="E17" s="63">
        <f>+E15+E16</f>
        <v>0</v>
      </c>
      <c r="F17" s="63">
        <f>+F15+F16</f>
        <v>0</v>
      </c>
      <c r="G17" s="63">
        <f>+G15+G16</f>
        <v>0</v>
      </c>
      <c r="H17" s="63">
        <f t="shared" ref="H17:AA17" si="5">+H15+H16</f>
        <v>0</v>
      </c>
      <c r="I17" s="63">
        <f t="shared" si="5"/>
        <v>0</v>
      </c>
      <c r="J17" s="63">
        <f t="shared" ref="J17:L17" si="6">+J15+J16</f>
        <v>0</v>
      </c>
      <c r="K17" s="63">
        <f t="shared" si="6"/>
        <v>0</v>
      </c>
      <c r="L17" s="63">
        <f t="shared" si="6"/>
        <v>0</v>
      </c>
      <c r="M17" s="63">
        <f t="shared" si="5"/>
        <v>0</v>
      </c>
      <c r="N17" s="63">
        <f t="shared" si="5"/>
        <v>0</v>
      </c>
      <c r="O17" s="63">
        <f t="shared" si="5"/>
        <v>0</v>
      </c>
      <c r="P17" s="63">
        <f t="shared" ref="P17:X17" si="7">+P15+P16</f>
        <v>0</v>
      </c>
      <c r="Q17" s="63">
        <f t="shared" si="7"/>
        <v>0</v>
      </c>
      <c r="R17" s="63">
        <f t="shared" si="7"/>
        <v>0</v>
      </c>
      <c r="S17" s="63">
        <f t="shared" si="7"/>
        <v>0</v>
      </c>
      <c r="T17" s="63">
        <f t="shared" si="7"/>
        <v>0</v>
      </c>
      <c r="U17" s="63">
        <f t="shared" si="7"/>
        <v>0</v>
      </c>
      <c r="V17" s="63">
        <f t="shared" si="7"/>
        <v>0</v>
      </c>
      <c r="W17" s="63">
        <f t="shared" si="7"/>
        <v>0</v>
      </c>
      <c r="X17" s="63">
        <f t="shared" si="7"/>
        <v>0</v>
      </c>
      <c r="Y17" s="63">
        <f t="shared" si="5"/>
        <v>0</v>
      </c>
      <c r="Z17" s="63">
        <f t="shared" si="5"/>
        <v>0</v>
      </c>
      <c r="AA17" s="63">
        <f t="shared" si="5"/>
        <v>0</v>
      </c>
      <c r="AB17" s="63">
        <f>+AB15+AB16</f>
        <v>0</v>
      </c>
      <c r="AC17" s="63">
        <f>+AC15+AC16</f>
        <v>0</v>
      </c>
      <c r="AD17" s="63">
        <f>+AD15+AD16</f>
        <v>0</v>
      </c>
    </row>
    <row r="18" spans="1:30" ht="12.75" hidden="1" customHeight="1">
      <c r="A18" s="4" t="s">
        <v>55</v>
      </c>
      <c r="B18" s="999" t="s">
        <v>54</v>
      </c>
      <c r="C18" s="999"/>
      <c r="D18" s="30">
        <f t="shared" si="1"/>
        <v>0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pans="1:30" ht="12.75" hidden="1" customHeight="1">
      <c r="A19" s="4" t="s">
        <v>57</v>
      </c>
      <c r="B19" s="999" t="s">
        <v>56</v>
      </c>
      <c r="C19" s="999"/>
      <c r="D19" s="30">
        <f t="shared" si="1"/>
        <v>0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pans="1:30" ht="12.75" hidden="1" customHeight="1">
      <c r="A20" s="4" t="s">
        <v>58</v>
      </c>
      <c r="B20" s="999" t="s">
        <v>168</v>
      </c>
      <c r="C20" s="999"/>
      <c r="D20" s="30">
        <f t="shared" si="1"/>
        <v>0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pans="1:30" ht="12.75" hidden="1" customHeight="1">
      <c r="A21" s="4" t="s">
        <v>60</v>
      </c>
      <c r="B21" s="999" t="s">
        <v>59</v>
      </c>
      <c r="C21" s="999"/>
      <c r="D21" s="30">
        <f t="shared" si="1"/>
        <v>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pans="1:30" ht="12.75" hidden="1" customHeight="1">
      <c r="A22" s="4" t="s">
        <v>61</v>
      </c>
      <c r="B22" s="1012" t="s">
        <v>167</v>
      </c>
      <c r="C22" s="1012"/>
      <c r="D22" s="30">
        <f t="shared" si="1"/>
        <v>0</v>
      </c>
      <c r="E22" s="30">
        <f>+H22+N22+Z22+AC22</f>
        <v>0</v>
      </c>
      <c r="F22" s="30">
        <f>+I22+O22+AA22+AD22</f>
        <v>0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 spans="1:30" ht="12.75" hidden="1" customHeight="1">
      <c r="A23" s="4" t="s">
        <v>64</v>
      </c>
      <c r="B23" s="996" t="s">
        <v>63</v>
      </c>
      <c r="C23" s="996"/>
      <c r="D23" s="30">
        <f t="shared" si="1"/>
        <v>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 spans="1:30" ht="12.75" hidden="1" customHeight="1">
      <c r="A24" s="4" t="s">
        <v>66</v>
      </c>
      <c r="B24" s="999" t="s">
        <v>65</v>
      </c>
      <c r="C24" s="999"/>
      <c r="D24" s="30">
        <f t="shared" si="1"/>
        <v>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 spans="1:30" s="48" customFormat="1" ht="12.75" customHeight="1">
      <c r="A25" s="6" t="s">
        <v>67</v>
      </c>
      <c r="B25" s="998" t="s">
        <v>157</v>
      </c>
      <c r="C25" s="998"/>
      <c r="D25" s="106">
        <f t="shared" si="1"/>
        <v>0</v>
      </c>
      <c r="E25" s="63">
        <f t="shared" ref="E25:AD25" si="8">+E24+E23+E22+E21+E20+E19+E18</f>
        <v>0</v>
      </c>
      <c r="F25" s="63">
        <f t="shared" si="8"/>
        <v>0</v>
      </c>
      <c r="G25" s="63">
        <f t="shared" si="8"/>
        <v>0</v>
      </c>
      <c r="H25" s="63">
        <f t="shared" si="8"/>
        <v>0</v>
      </c>
      <c r="I25" s="63">
        <f t="shared" si="8"/>
        <v>0</v>
      </c>
      <c r="J25" s="63">
        <f t="shared" ref="J25:L25" si="9">+J24+J23+J22+J21+J20+J19+J18</f>
        <v>0</v>
      </c>
      <c r="K25" s="63">
        <f t="shared" si="9"/>
        <v>0</v>
      </c>
      <c r="L25" s="63">
        <f t="shared" si="9"/>
        <v>0</v>
      </c>
      <c r="M25" s="63">
        <f t="shared" si="8"/>
        <v>0</v>
      </c>
      <c r="N25" s="63">
        <f t="shared" si="8"/>
        <v>0</v>
      </c>
      <c r="O25" s="63">
        <f t="shared" si="8"/>
        <v>0</v>
      </c>
      <c r="P25" s="63">
        <f t="shared" ref="P25:X25" si="10">+P24+P23+P22+P21+P20+P19+P18</f>
        <v>0</v>
      </c>
      <c r="Q25" s="63">
        <f t="shared" si="10"/>
        <v>0</v>
      </c>
      <c r="R25" s="63">
        <f t="shared" si="10"/>
        <v>0</v>
      </c>
      <c r="S25" s="63">
        <f t="shared" si="10"/>
        <v>0</v>
      </c>
      <c r="T25" s="63">
        <f t="shared" si="10"/>
        <v>0</v>
      </c>
      <c r="U25" s="63">
        <f t="shared" si="10"/>
        <v>0</v>
      </c>
      <c r="V25" s="63">
        <f t="shared" si="10"/>
        <v>0</v>
      </c>
      <c r="W25" s="63">
        <f t="shared" si="10"/>
        <v>0</v>
      </c>
      <c r="X25" s="63">
        <f t="shared" si="10"/>
        <v>0</v>
      </c>
      <c r="Y25" s="63">
        <f t="shared" si="8"/>
        <v>0</v>
      </c>
      <c r="Z25" s="63">
        <f t="shared" si="8"/>
        <v>0</v>
      </c>
      <c r="AA25" s="63">
        <f t="shared" si="8"/>
        <v>0</v>
      </c>
      <c r="AB25" s="63">
        <f t="shared" si="8"/>
        <v>0</v>
      </c>
      <c r="AC25" s="63">
        <f t="shared" si="8"/>
        <v>0</v>
      </c>
      <c r="AD25" s="63">
        <f t="shared" si="8"/>
        <v>0</v>
      </c>
    </row>
    <row r="26" spans="1:30" ht="12.75" hidden="1" customHeight="1">
      <c r="A26" s="4" t="s">
        <v>69</v>
      </c>
      <c r="B26" s="999" t="s">
        <v>68</v>
      </c>
      <c r="C26" s="999"/>
      <c r="D26" s="30">
        <f t="shared" si="1"/>
        <v>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pans="1:30" ht="12.75" hidden="1" customHeight="1">
      <c r="A27" s="4" t="s">
        <v>71</v>
      </c>
      <c r="B27" s="999" t="s">
        <v>70</v>
      </c>
      <c r="C27" s="999"/>
      <c r="D27" s="30">
        <f t="shared" si="1"/>
        <v>0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1:30" s="48" customFormat="1" ht="12.75" customHeight="1">
      <c r="A28" s="6" t="s">
        <v>72</v>
      </c>
      <c r="B28" s="998" t="s">
        <v>156</v>
      </c>
      <c r="C28" s="998"/>
      <c r="D28" s="106">
        <f t="shared" si="1"/>
        <v>0</v>
      </c>
      <c r="E28" s="63"/>
      <c r="F28" s="63"/>
      <c r="G28" s="63">
        <f>SUM(G26:G27)</f>
        <v>0</v>
      </c>
      <c r="H28" s="63">
        <f t="shared" ref="H28:AA28" si="11">SUM(H26:H27)</f>
        <v>0</v>
      </c>
      <c r="I28" s="63">
        <f t="shared" si="11"/>
        <v>0</v>
      </c>
      <c r="J28" s="63">
        <f t="shared" ref="J28:L28" si="12">SUM(J26:J27)</f>
        <v>0</v>
      </c>
      <c r="K28" s="63">
        <f t="shared" si="12"/>
        <v>0</v>
      </c>
      <c r="L28" s="63">
        <f t="shared" si="12"/>
        <v>0</v>
      </c>
      <c r="M28" s="63">
        <f t="shared" si="11"/>
        <v>0</v>
      </c>
      <c r="N28" s="63">
        <f t="shared" si="11"/>
        <v>0</v>
      </c>
      <c r="O28" s="63">
        <f t="shared" si="11"/>
        <v>0</v>
      </c>
      <c r="P28" s="63">
        <f t="shared" ref="P28:X28" si="13">SUM(P26:P27)</f>
        <v>0</v>
      </c>
      <c r="Q28" s="63">
        <f t="shared" si="13"/>
        <v>0</v>
      </c>
      <c r="R28" s="63">
        <f t="shared" si="13"/>
        <v>0</v>
      </c>
      <c r="S28" s="63">
        <f t="shared" si="13"/>
        <v>0</v>
      </c>
      <c r="T28" s="63">
        <f t="shared" si="13"/>
        <v>0</v>
      </c>
      <c r="U28" s="63">
        <f t="shared" si="13"/>
        <v>0</v>
      </c>
      <c r="V28" s="63">
        <f t="shared" si="13"/>
        <v>0</v>
      </c>
      <c r="W28" s="63">
        <f t="shared" si="13"/>
        <v>0</v>
      </c>
      <c r="X28" s="63">
        <f t="shared" si="13"/>
        <v>0</v>
      </c>
      <c r="Y28" s="63">
        <f t="shared" si="11"/>
        <v>0</v>
      </c>
      <c r="Z28" s="63">
        <f t="shared" si="11"/>
        <v>0</v>
      </c>
      <c r="AA28" s="63">
        <f t="shared" si="11"/>
        <v>0</v>
      </c>
      <c r="AB28" s="63">
        <f>SUM(AB26:AB27)</f>
        <v>0</v>
      </c>
      <c r="AC28" s="63">
        <f>SUM(AC26:AC27)</f>
        <v>0</v>
      </c>
      <c r="AD28" s="63">
        <f>SUM(AD26:AD27)</f>
        <v>0</v>
      </c>
    </row>
    <row r="29" spans="1:30" ht="12.75" customHeight="1">
      <c r="A29" s="4" t="s">
        <v>74</v>
      </c>
      <c r="B29" s="999" t="s">
        <v>73</v>
      </c>
      <c r="C29" s="999"/>
      <c r="D29" s="30">
        <f t="shared" si="1"/>
        <v>0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 spans="1:30" ht="12.75" customHeight="1">
      <c r="A30" s="4" t="s">
        <v>76</v>
      </c>
      <c r="B30" s="999" t="s">
        <v>75</v>
      </c>
      <c r="C30" s="999"/>
      <c r="D30" s="30">
        <f t="shared" si="1"/>
        <v>0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 spans="1:30" ht="12.75" customHeight="1">
      <c r="A31" s="4" t="s">
        <v>77</v>
      </c>
      <c r="B31" s="999" t="s">
        <v>155</v>
      </c>
      <c r="C31" s="999"/>
      <c r="D31" s="30">
        <f t="shared" si="1"/>
        <v>0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 spans="1:30" ht="12.75" customHeight="1">
      <c r="A32" s="4" t="s">
        <v>78</v>
      </c>
      <c r="B32" s="999" t="s">
        <v>154</v>
      </c>
      <c r="C32" s="999"/>
      <c r="D32" s="30">
        <f t="shared" si="1"/>
        <v>0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pans="1:30" ht="12.75" customHeight="1">
      <c r="A33" s="4" t="s">
        <v>80</v>
      </c>
      <c r="B33" s="999" t="s">
        <v>79</v>
      </c>
      <c r="C33" s="999"/>
      <c r="D33" s="30">
        <f t="shared" si="1"/>
        <v>0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1:30" s="48" customFormat="1" ht="12.75" customHeight="1">
      <c r="A34" s="6" t="s">
        <v>81</v>
      </c>
      <c r="B34" s="998" t="s">
        <v>153</v>
      </c>
      <c r="C34" s="998"/>
      <c r="D34" s="106">
        <f t="shared" si="1"/>
        <v>0</v>
      </c>
      <c r="E34" s="63"/>
      <c r="F34" s="63"/>
      <c r="G34" s="63">
        <f>SUM(G29:G33)</f>
        <v>0</v>
      </c>
      <c r="H34" s="63">
        <f t="shared" ref="H34:AA34" si="14">SUM(H29:H33)</f>
        <v>0</v>
      </c>
      <c r="I34" s="63">
        <f t="shared" si="14"/>
        <v>0</v>
      </c>
      <c r="J34" s="63">
        <f t="shared" ref="J34:L34" si="15">SUM(J29:J33)</f>
        <v>0</v>
      </c>
      <c r="K34" s="63">
        <f t="shared" si="15"/>
        <v>0</v>
      </c>
      <c r="L34" s="63">
        <f t="shared" si="15"/>
        <v>0</v>
      </c>
      <c r="M34" s="63">
        <f t="shared" si="14"/>
        <v>0</v>
      </c>
      <c r="N34" s="63">
        <f t="shared" si="14"/>
        <v>0</v>
      </c>
      <c r="O34" s="63">
        <f t="shared" si="14"/>
        <v>0</v>
      </c>
      <c r="P34" s="63">
        <f t="shared" ref="P34:X34" si="16">SUM(P29:P33)</f>
        <v>0</v>
      </c>
      <c r="Q34" s="63">
        <f t="shared" si="16"/>
        <v>0</v>
      </c>
      <c r="R34" s="63">
        <f t="shared" si="16"/>
        <v>0</v>
      </c>
      <c r="S34" s="63">
        <f t="shared" si="16"/>
        <v>0</v>
      </c>
      <c r="T34" s="63">
        <f t="shared" si="16"/>
        <v>0</v>
      </c>
      <c r="U34" s="63">
        <f t="shared" si="16"/>
        <v>0</v>
      </c>
      <c r="V34" s="63">
        <f t="shared" si="16"/>
        <v>0</v>
      </c>
      <c r="W34" s="63">
        <f t="shared" si="16"/>
        <v>0</v>
      </c>
      <c r="X34" s="63">
        <f t="shared" si="16"/>
        <v>0</v>
      </c>
      <c r="Y34" s="63">
        <f t="shared" si="14"/>
        <v>0</v>
      </c>
      <c r="Z34" s="63">
        <f t="shared" si="14"/>
        <v>0</v>
      </c>
      <c r="AA34" s="63">
        <f t="shared" si="14"/>
        <v>0</v>
      </c>
      <c r="AB34" s="63">
        <f>SUM(AB29:AB33)</f>
        <v>0</v>
      </c>
      <c r="AC34" s="63">
        <f>SUM(AC29:AC33)</f>
        <v>0</v>
      </c>
      <c r="AD34" s="63">
        <f>SUM(AD29:AD33)</f>
        <v>0</v>
      </c>
    </row>
    <row r="35" spans="1:30" s="48" customFormat="1" ht="12.75" customHeight="1">
      <c r="A35" s="7" t="s">
        <v>82</v>
      </c>
      <c r="B35" s="995" t="s">
        <v>152</v>
      </c>
      <c r="C35" s="995"/>
      <c r="D35" s="106">
        <f t="shared" si="1"/>
        <v>0</v>
      </c>
      <c r="E35" s="60">
        <f t="shared" ref="E35:AD35" si="17">+E34+E28+E25+E17+E14</f>
        <v>0</v>
      </c>
      <c r="F35" s="60">
        <f t="shared" si="17"/>
        <v>0</v>
      </c>
      <c r="G35" s="60">
        <f t="shared" si="17"/>
        <v>0</v>
      </c>
      <c r="H35" s="60">
        <f t="shared" si="17"/>
        <v>0</v>
      </c>
      <c r="I35" s="60">
        <f t="shared" si="17"/>
        <v>0</v>
      </c>
      <c r="J35" s="60">
        <f t="shared" ref="J35:L35" si="18">+J34+J28+J25+J17+J14</f>
        <v>0</v>
      </c>
      <c r="K35" s="60">
        <f t="shared" si="18"/>
        <v>0</v>
      </c>
      <c r="L35" s="60">
        <f t="shared" si="18"/>
        <v>0</v>
      </c>
      <c r="M35" s="60">
        <f t="shared" si="17"/>
        <v>0</v>
      </c>
      <c r="N35" s="60">
        <f t="shared" si="17"/>
        <v>0</v>
      </c>
      <c r="O35" s="60">
        <f t="shared" si="17"/>
        <v>0</v>
      </c>
      <c r="P35" s="60">
        <f t="shared" ref="P35:X35" si="19">+P34+P28+P25+P17+P14</f>
        <v>0</v>
      </c>
      <c r="Q35" s="60">
        <f t="shared" si="19"/>
        <v>0</v>
      </c>
      <c r="R35" s="60">
        <f t="shared" si="19"/>
        <v>0</v>
      </c>
      <c r="S35" s="60">
        <f t="shared" si="19"/>
        <v>0</v>
      </c>
      <c r="T35" s="60">
        <f t="shared" si="19"/>
        <v>0</v>
      </c>
      <c r="U35" s="60">
        <f t="shared" si="19"/>
        <v>0</v>
      </c>
      <c r="V35" s="60">
        <f t="shared" si="19"/>
        <v>0</v>
      </c>
      <c r="W35" s="60">
        <f t="shared" si="19"/>
        <v>0</v>
      </c>
      <c r="X35" s="60">
        <f t="shared" si="19"/>
        <v>0</v>
      </c>
      <c r="Y35" s="60">
        <f t="shared" si="17"/>
        <v>0</v>
      </c>
      <c r="Z35" s="60">
        <f t="shared" si="17"/>
        <v>0</v>
      </c>
      <c r="AA35" s="60">
        <f t="shared" si="17"/>
        <v>0</v>
      </c>
      <c r="AB35" s="60">
        <f t="shared" si="17"/>
        <v>0</v>
      </c>
      <c r="AC35" s="60">
        <f t="shared" si="17"/>
        <v>0</v>
      </c>
      <c r="AD35" s="60">
        <f t="shared" si="17"/>
        <v>0</v>
      </c>
    </row>
    <row r="36" spans="1:30" ht="11.25" customHeight="1">
      <c r="A36" s="350"/>
      <c r="B36" s="351"/>
      <c r="C36" s="351"/>
      <c r="D36" s="352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353"/>
      <c r="R36" s="353"/>
      <c r="S36" s="353"/>
      <c r="T36" s="353"/>
      <c r="U36" s="353"/>
      <c r="V36" s="353"/>
      <c r="W36" s="353"/>
      <c r="X36" s="353"/>
      <c r="Y36" s="353"/>
      <c r="Z36" s="353"/>
      <c r="AA36" s="353"/>
      <c r="AB36" s="353"/>
      <c r="AC36" s="353"/>
      <c r="AD36" s="353"/>
    </row>
    <row r="37" spans="1:30" ht="12" customHeight="1">
      <c r="A37" s="8"/>
      <c r="B37" s="1010"/>
      <c r="C37" s="1010"/>
      <c r="D37" s="30"/>
      <c r="E37" s="32"/>
      <c r="F37" s="33"/>
      <c r="G37" s="32"/>
      <c r="H37" s="32"/>
      <c r="I37" s="33"/>
      <c r="J37" s="32"/>
      <c r="K37" s="32"/>
      <c r="L37" s="33"/>
      <c r="M37" s="32"/>
      <c r="N37" s="32"/>
      <c r="O37" s="33"/>
      <c r="P37" s="32"/>
      <c r="Q37" s="32"/>
      <c r="R37" s="33"/>
      <c r="S37" s="32"/>
      <c r="T37" s="32"/>
      <c r="U37" s="33"/>
      <c r="V37" s="32"/>
      <c r="W37" s="32"/>
      <c r="X37" s="33"/>
      <c r="Y37" s="32"/>
      <c r="Z37" s="32"/>
      <c r="AA37" s="33"/>
      <c r="AB37" s="32"/>
      <c r="AC37" s="32"/>
      <c r="AD37" s="32"/>
    </row>
    <row r="38" spans="1:30" ht="12.75" hidden="1" customHeight="1">
      <c r="A38" s="4" t="s">
        <v>97</v>
      </c>
      <c r="B38" s="994" t="s">
        <v>96</v>
      </c>
      <c r="C38" s="994"/>
      <c r="D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 spans="1:30" ht="12.75" hidden="1" customHeight="1">
      <c r="A39" s="4" t="s">
        <v>99</v>
      </c>
      <c r="B39" s="994" t="s">
        <v>98</v>
      </c>
      <c r="C39" s="994"/>
      <c r="D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 spans="1:30" ht="23.25" hidden="1" customHeight="1">
      <c r="A40" s="4" t="s">
        <v>102</v>
      </c>
      <c r="B40" s="994" t="s">
        <v>166</v>
      </c>
      <c r="C40" s="994"/>
      <c r="D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pans="1:30" ht="25.5" hidden="1" customHeight="1">
      <c r="A41" s="4" t="s">
        <v>104</v>
      </c>
      <c r="B41" s="994" t="s">
        <v>103</v>
      </c>
      <c r="C41" s="994"/>
      <c r="D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ht="27" hidden="1" customHeight="1">
      <c r="A42" s="4" t="s">
        <v>108</v>
      </c>
      <c r="B42" s="994" t="s">
        <v>165</v>
      </c>
      <c r="C42" s="994"/>
      <c r="D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 spans="1:30" ht="12.75" hidden="1" customHeight="1">
      <c r="A43" s="4" t="s">
        <v>716</v>
      </c>
      <c r="B43" s="999" t="s">
        <v>107</v>
      </c>
      <c r="C43" s="999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 spans="1:30" s="48" customFormat="1" ht="12.75" customHeight="1">
      <c r="A44" s="6" t="s">
        <v>109</v>
      </c>
      <c r="B44" s="998" t="s">
        <v>164</v>
      </c>
      <c r="C44" s="998"/>
      <c r="D44" s="30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</row>
    <row r="45" spans="1:30" ht="12" customHeight="1">
      <c r="A45" s="8"/>
      <c r="B45" s="9"/>
      <c r="C45" s="9"/>
      <c r="D45" s="30"/>
      <c r="E45" s="32"/>
      <c r="F45" s="33"/>
      <c r="G45" s="32"/>
      <c r="H45" s="32"/>
      <c r="I45" s="33"/>
      <c r="J45" s="32"/>
      <c r="K45" s="32"/>
      <c r="L45" s="33"/>
      <c r="M45" s="32"/>
      <c r="N45" s="32"/>
      <c r="O45" s="33"/>
      <c r="P45" s="32"/>
      <c r="Q45" s="32"/>
      <c r="R45" s="33"/>
      <c r="S45" s="32"/>
      <c r="T45" s="32"/>
      <c r="U45" s="33"/>
      <c r="V45" s="32"/>
      <c r="W45" s="32"/>
      <c r="X45" s="33"/>
      <c r="Y45" s="32"/>
      <c r="Z45" s="32"/>
      <c r="AA45" s="33"/>
      <c r="AB45" s="32"/>
      <c r="AC45" s="32"/>
      <c r="AD45" s="32"/>
    </row>
    <row r="46" spans="1:30" ht="12.75" customHeight="1">
      <c r="A46" s="13" t="s">
        <v>111</v>
      </c>
      <c r="B46" s="996" t="s">
        <v>110</v>
      </c>
      <c r="C46" s="996"/>
      <c r="D46" s="30">
        <f>+G46+M46+Y46+AB46+P46+J46+S46+V46</f>
        <v>0</v>
      </c>
      <c r="E46" s="30">
        <f>+H46+N46+Z46+AC46+Q46+K46+T46+W46</f>
        <v>38619</v>
      </c>
      <c r="F46" s="30">
        <f>+I46+O46+AA46+AD46+R46+L46+U46+X46</f>
        <v>38619</v>
      </c>
      <c r="G46" s="34"/>
      <c r="H46" s="34">
        <v>750</v>
      </c>
      <c r="I46" s="34">
        <f>+G46+H46</f>
        <v>750</v>
      </c>
      <c r="J46" s="34"/>
      <c r="K46" s="34">
        <v>1000</v>
      </c>
      <c r="L46" s="34">
        <f>+J46+K46</f>
        <v>1000</v>
      </c>
      <c r="M46" s="34"/>
      <c r="N46" s="34"/>
      <c r="O46" s="34">
        <f>+M46+N46</f>
        <v>0</v>
      </c>
      <c r="P46" s="34"/>
      <c r="Q46" s="34">
        <v>1700</v>
      </c>
      <c r="R46" s="34">
        <f>+P46+Q46</f>
        <v>1700</v>
      </c>
      <c r="S46" s="34"/>
      <c r="T46" s="34">
        <f>1180+2500+5315</f>
        <v>8995</v>
      </c>
      <c r="U46" s="34">
        <f>+S46+T46</f>
        <v>8995</v>
      </c>
      <c r="V46" s="34"/>
      <c r="W46" s="34">
        <v>1180</v>
      </c>
      <c r="X46" s="34">
        <f>+V46+W46</f>
        <v>1180</v>
      </c>
      <c r="Y46" s="34"/>
      <c r="Z46" s="34">
        <v>24994</v>
      </c>
      <c r="AA46" s="34">
        <f>+Y46+Z46</f>
        <v>24994</v>
      </c>
      <c r="AB46" s="34"/>
      <c r="AC46" s="34"/>
      <c r="AD46" s="34">
        <f>+AB46+AC46</f>
        <v>0</v>
      </c>
    </row>
    <row r="47" spans="1:30" ht="12.75" customHeight="1">
      <c r="A47" s="4" t="s">
        <v>112</v>
      </c>
      <c r="B47" s="999" t="s">
        <v>163</v>
      </c>
      <c r="C47" s="999"/>
      <c r="D47" s="30">
        <f t="shared" ref="D47:D52" si="20">+G47+M47+Y47+AB47+P47+J47+S47+V47</f>
        <v>0</v>
      </c>
      <c r="E47" s="30">
        <f t="shared" ref="E47:E52" si="21">+H47+N47+Z47+AC47+Q47+K47+T47+W47</f>
        <v>21278</v>
      </c>
      <c r="F47" s="30">
        <f t="shared" ref="F47:F52" si="22">+I47+O47+AA47+AD47+R47+L47+U47+X47</f>
        <v>21278</v>
      </c>
      <c r="G47" s="31"/>
      <c r="H47" s="31">
        <f>120+15000+523+100+236</f>
        <v>15979</v>
      </c>
      <c r="I47" s="34">
        <f t="shared" ref="I47:I52" si="23">+G47+H47</f>
        <v>15979</v>
      </c>
      <c r="J47" s="31"/>
      <c r="K47" s="31"/>
      <c r="L47" s="34">
        <f t="shared" ref="L47:L52" si="24">+J47+K47</f>
        <v>0</v>
      </c>
      <c r="M47" s="31"/>
      <c r="N47" s="31"/>
      <c r="O47" s="34">
        <f t="shared" ref="O47:O52" si="25">+M47+N47</f>
        <v>0</v>
      </c>
      <c r="P47" s="31"/>
      <c r="Q47" s="31">
        <f>300+55</f>
        <v>355</v>
      </c>
      <c r="R47" s="34">
        <f t="shared" ref="R47:R52" si="26">+P47+Q47</f>
        <v>355</v>
      </c>
      <c r="S47" s="31"/>
      <c r="T47" s="31">
        <f>1260+2362+1060+42</f>
        <v>4724</v>
      </c>
      <c r="U47" s="34">
        <f t="shared" ref="U47:U52" si="27">+S47+T47</f>
        <v>4724</v>
      </c>
      <c r="V47" s="31"/>
      <c r="W47" s="31"/>
      <c r="X47" s="34">
        <f t="shared" ref="X47:X52" si="28">+V47+W47</f>
        <v>0</v>
      </c>
      <c r="Y47" s="31"/>
      <c r="Z47" s="31">
        <v>220</v>
      </c>
      <c r="AA47" s="34">
        <f t="shared" ref="AA47:AA52" si="29">+Y47+Z47</f>
        <v>220</v>
      </c>
      <c r="AB47" s="34"/>
      <c r="AC47" s="34"/>
      <c r="AD47" s="34">
        <f t="shared" ref="AD47:AD52" si="30">+AB47+AC47</f>
        <v>0</v>
      </c>
    </row>
    <row r="48" spans="1:30" ht="12.75" customHeight="1">
      <c r="A48" s="4" t="s">
        <v>115</v>
      </c>
      <c r="B48" s="999" t="s">
        <v>114</v>
      </c>
      <c r="C48" s="999"/>
      <c r="D48" s="30">
        <f t="shared" si="20"/>
        <v>0</v>
      </c>
      <c r="E48" s="30">
        <f t="shared" si="21"/>
        <v>388</v>
      </c>
      <c r="F48" s="30">
        <f t="shared" si="22"/>
        <v>388</v>
      </c>
      <c r="G48" s="31"/>
      <c r="H48" s="31"/>
      <c r="I48" s="34">
        <f t="shared" si="23"/>
        <v>0</v>
      </c>
      <c r="J48" s="31"/>
      <c r="K48" s="31">
        <f>232+156</f>
        <v>388</v>
      </c>
      <c r="L48" s="34">
        <f t="shared" si="24"/>
        <v>388</v>
      </c>
      <c r="M48" s="31"/>
      <c r="N48" s="31"/>
      <c r="O48" s="34">
        <f t="shared" si="25"/>
        <v>0</v>
      </c>
      <c r="P48" s="31"/>
      <c r="Q48" s="31"/>
      <c r="R48" s="34">
        <f t="shared" si="26"/>
        <v>0</v>
      </c>
      <c r="S48" s="31"/>
      <c r="T48" s="31"/>
      <c r="U48" s="34">
        <f t="shared" si="27"/>
        <v>0</v>
      </c>
      <c r="V48" s="31"/>
      <c r="W48" s="31"/>
      <c r="X48" s="34">
        <f t="shared" si="28"/>
        <v>0</v>
      </c>
      <c r="Y48" s="31"/>
      <c r="Z48" s="31"/>
      <c r="AA48" s="34">
        <f t="shared" si="29"/>
        <v>0</v>
      </c>
      <c r="AB48" s="34"/>
      <c r="AC48" s="34"/>
      <c r="AD48" s="34">
        <f t="shared" si="30"/>
        <v>0</v>
      </c>
    </row>
    <row r="49" spans="1:32" ht="12.75" customHeight="1">
      <c r="A49" s="4" t="s">
        <v>117</v>
      </c>
      <c r="B49" s="999" t="s">
        <v>116</v>
      </c>
      <c r="C49" s="999"/>
      <c r="D49" s="30">
        <f t="shared" si="20"/>
        <v>0</v>
      </c>
      <c r="E49" s="30">
        <f t="shared" si="21"/>
        <v>3038</v>
      </c>
      <c r="F49" s="30">
        <f t="shared" si="22"/>
        <v>3038</v>
      </c>
      <c r="G49" s="31"/>
      <c r="H49" s="31"/>
      <c r="I49" s="34">
        <f t="shared" si="23"/>
        <v>0</v>
      </c>
      <c r="J49" s="31"/>
      <c r="K49" s="31"/>
      <c r="L49" s="34">
        <f t="shared" si="24"/>
        <v>0</v>
      </c>
      <c r="M49" s="31"/>
      <c r="N49" s="31"/>
      <c r="O49" s="34">
        <f t="shared" si="25"/>
        <v>0</v>
      </c>
      <c r="P49" s="31"/>
      <c r="Q49" s="31"/>
      <c r="R49" s="34">
        <f t="shared" si="26"/>
        <v>0</v>
      </c>
      <c r="S49" s="31"/>
      <c r="T49" s="31">
        <f>750+150+389+910+11+375</f>
        <v>2585</v>
      </c>
      <c r="U49" s="34">
        <f t="shared" si="27"/>
        <v>2585</v>
      </c>
      <c r="V49" s="31"/>
      <c r="W49" s="31"/>
      <c r="X49" s="34">
        <f t="shared" si="28"/>
        <v>0</v>
      </c>
      <c r="Y49" s="31"/>
      <c r="Z49" s="31"/>
      <c r="AA49" s="34">
        <f t="shared" si="29"/>
        <v>0</v>
      </c>
      <c r="AB49" s="34"/>
      <c r="AC49" s="34">
        <f>8+445</f>
        <v>453</v>
      </c>
      <c r="AD49" s="34">
        <f t="shared" si="30"/>
        <v>453</v>
      </c>
    </row>
    <row r="50" spans="1:32" ht="12.75" customHeight="1">
      <c r="A50" s="4" t="s">
        <v>119</v>
      </c>
      <c r="B50" s="999" t="s">
        <v>118</v>
      </c>
      <c r="C50" s="999"/>
      <c r="D50" s="30">
        <f t="shared" si="20"/>
        <v>0</v>
      </c>
      <c r="E50" s="30">
        <f t="shared" si="21"/>
        <v>0</v>
      </c>
      <c r="F50" s="30">
        <f t="shared" si="22"/>
        <v>0</v>
      </c>
      <c r="G50" s="31"/>
      <c r="H50" s="31"/>
      <c r="I50" s="34">
        <f t="shared" si="23"/>
        <v>0</v>
      </c>
      <c r="J50" s="31"/>
      <c r="K50" s="31"/>
      <c r="L50" s="34">
        <f t="shared" si="24"/>
        <v>0</v>
      </c>
      <c r="M50" s="31"/>
      <c r="N50" s="31"/>
      <c r="O50" s="34">
        <f t="shared" si="25"/>
        <v>0</v>
      </c>
      <c r="P50" s="31"/>
      <c r="Q50" s="31"/>
      <c r="R50" s="34">
        <f t="shared" si="26"/>
        <v>0</v>
      </c>
      <c r="S50" s="31"/>
      <c r="T50" s="31"/>
      <c r="U50" s="34">
        <f t="shared" si="27"/>
        <v>0</v>
      </c>
      <c r="V50" s="31"/>
      <c r="W50" s="31"/>
      <c r="X50" s="34">
        <f t="shared" si="28"/>
        <v>0</v>
      </c>
      <c r="Y50" s="31"/>
      <c r="Z50" s="31"/>
      <c r="AA50" s="34">
        <f t="shared" si="29"/>
        <v>0</v>
      </c>
      <c r="AB50" s="34"/>
      <c r="AC50" s="34"/>
      <c r="AD50" s="34">
        <f t="shared" si="30"/>
        <v>0</v>
      </c>
    </row>
    <row r="51" spans="1:32" ht="12.75" customHeight="1">
      <c r="A51" s="4" t="s">
        <v>121</v>
      </c>
      <c r="B51" s="999" t="s">
        <v>120</v>
      </c>
      <c r="C51" s="999"/>
      <c r="D51" s="30">
        <f t="shared" si="20"/>
        <v>0</v>
      </c>
      <c r="E51" s="30">
        <f t="shared" si="21"/>
        <v>0</v>
      </c>
      <c r="F51" s="30">
        <f t="shared" si="22"/>
        <v>0</v>
      </c>
      <c r="G51" s="31"/>
      <c r="H51" s="31"/>
      <c r="I51" s="34">
        <f t="shared" si="23"/>
        <v>0</v>
      </c>
      <c r="J51" s="31"/>
      <c r="K51" s="31"/>
      <c r="L51" s="34">
        <f t="shared" si="24"/>
        <v>0</v>
      </c>
      <c r="M51" s="31"/>
      <c r="N51" s="31"/>
      <c r="O51" s="34">
        <f t="shared" si="25"/>
        <v>0</v>
      </c>
      <c r="P51" s="31"/>
      <c r="Q51" s="31"/>
      <c r="R51" s="34">
        <f t="shared" si="26"/>
        <v>0</v>
      </c>
      <c r="S51" s="31"/>
      <c r="T51" s="31"/>
      <c r="U51" s="34">
        <f t="shared" si="27"/>
        <v>0</v>
      </c>
      <c r="V51" s="31"/>
      <c r="W51" s="31"/>
      <c r="X51" s="34">
        <f t="shared" si="28"/>
        <v>0</v>
      </c>
      <c r="Y51" s="31"/>
      <c r="Z51" s="31"/>
      <c r="AA51" s="34">
        <f t="shared" si="29"/>
        <v>0</v>
      </c>
      <c r="AB51" s="34"/>
      <c r="AC51" s="34"/>
      <c r="AD51" s="34">
        <f t="shared" si="30"/>
        <v>0</v>
      </c>
    </row>
    <row r="52" spans="1:32" ht="12.75" customHeight="1">
      <c r="A52" s="4" t="s">
        <v>123</v>
      </c>
      <c r="B52" s="999" t="s">
        <v>122</v>
      </c>
      <c r="C52" s="999"/>
      <c r="D52" s="30">
        <f t="shared" si="20"/>
        <v>0</v>
      </c>
      <c r="E52" s="30">
        <f t="shared" si="21"/>
        <v>12966</v>
      </c>
      <c r="F52" s="30">
        <f t="shared" si="22"/>
        <v>12966</v>
      </c>
      <c r="G52" s="31"/>
      <c r="H52" s="31">
        <f>32+203+142+64</f>
        <v>441</v>
      </c>
      <c r="I52" s="34">
        <f t="shared" si="23"/>
        <v>441</v>
      </c>
      <c r="J52" s="31"/>
      <c r="K52" s="31">
        <f>270+63+42</f>
        <v>375</v>
      </c>
      <c r="L52" s="34">
        <f t="shared" si="24"/>
        <v>375</v>
      </c>
      <c r="M52" s="31"/>
      <c r="N52" s="31"/>
      <c r="O52" s="34">
        <f t="shared" si="25"/>
        <v>0</v>
      </c>
      <c r="P52" s="31"/>
      <c r="Q52" s="31">
        <f>81+459</f>
        <v>540</v>
      </c>
      <c r="R52" s="34">
        <f t="shared" si="26"/>
        <v>540</v>
      </c>
      <c r="S52" s="31"/>
      <c r="T52" s="31">
        <f>203+340+638+105+246+319+286+11+3+101+675+1435</f>
        <v>4362</v>
      </c>
      <c r="U52" s="34">
        <f t="shared" si="27"/>
        <v>4362</v>
      </c>
      <c r="V52" s="31"/>
      <c r="W52" s="31">
        <v>319</v>
      </c>
      <c r="X52" s="34">
        <f t="shared" si="28"/>
        <v>319</v>
      </c>
      <c r="Y52" s="31"/>
      <c r="Z52" s="31">
        <f>59+6748</f>
        <v>6807</v>
      </c>
      <c r="AA52" s="34">
        <f t="shared" si="29"/>
        <v>6807</v>
      </c>
      <c r="AB52" s="34"/>
      <c r="AC52" s="34">
        <f>2+120</f>
        <v>122</v>
      </c>
      <c r="AD52" s="34">
        <f t="shared" si="30"/>
        <v>122</v>
      </c>
    </row>
    <row r="53" spans="1:32" s="48" customFormat="1" ht="12.75" customHeight="1">
      <c r="A53" s="7" t="s">
        <v>124</v>
      </c>
      <c r="B53" s="995" t="s">
        <v>162</v>
      </c>
      <c r="C53" s="995"/>
      <c r="D53" s="60">
        <f>SUM(D46:D52)</f>
        <v>0</v>
      </c>
      <c r="E53" s="60">
        <f t="shared" ref="E53:I53" si="31">SUM(E46:E52)</f>
        <v>76289</v>
      </c>
      <c r="F53" s="60">
        <f t="shared" si="31"/>
        <v>76289</v>
      </c>
      <c r="G53" s="60">
        <f t="shared" si="31"/>
        <v>0</v>
      </c>
      <c r="H53" s="60">
        <f t="shared" si="31"/>
        <v>17170</v>
      </c>
      <c r="I53" s="60">
        <f t="shared" si="31"/>
        <v>17170</v>
      </c>
      <c r="J53" s="60">
        <f t="shared" ref="J53:L53" si="32">+J52+J51+J50+J49+J48+J47+J46</f>
        <v>0</v>
      </c>
      <c r="K53" s="60">
        <f t="shared" si="32"/>
        <v>1763</v>
      </c>
      <c r="L53" s="60">
        <f t="shared" si="32"/>
        <v>1763</v>
      </c>
      <c r="M53" s="60">
        <f t="shared" ref="M53:AD53" si="33">+M52+M51+M50+M49+M48+M47+M46</f>
        <v>0</v>
      </c>
      <c r="N53" s="60">
        <f t="shared" si="33"/>
        <v>0</v>
      </c>
      <c r="O53" s="60">
        <f t="shared" si="33"/>
        <v>0</v>
      </c>
      <c r="P53" s="60">
        <f t="shared" ref="P53:X53" si="34">+P52+P51+P50+P49+P48+P47+P46</f>
        <v>0</v>
      </c>
      <c r="Q53" s="60">
        <f t="shared" si="34"/>
        <v>2595</v>
      </c>
      <c r="R53" s="60">
        <f t="shared" si="34"/>
        <v>2595</v>
      </c>
      <c r="S53" s="60">
        <f t="shared" si="34"/>
        <v>0</v>
      </c>
      <c r="T53" s="60">
        <f t="shared" si="34"/>
        <v>20666</v>
      </c>
      <c r="U53" s="60">
        <f t="shared" si="34"/>
        <v>20666</v>
      </c>
      <c r="V53" s="60">
        <f t="shared" si="34"/>
        <v>0</v>
      </c>
      <c r="W53" s="60">
        <f t="shared" si="34"/>
        <v>1499</v>
      </c>
      <c r="X53" s="60">
        <f t="shared" si="34"/>
        <v>1499</v>
      </c>
      <c r="Y53" s="60">
        <f t="shared" si="33"/>
        <v>0</v>
      </c>
      <c r="Z53" s="60">
        <f t="shared" si="33"/>
        <v>32021</v>
      </c>
      <c r="AA53" s="60">
        <f t="shared" ref="AA53" si="35">+AA52+AA51+AA50+AA49+AA48+AA47+AA46</f>
        <v>32021</v>
      </c>
      <c r="AB53" s="60">
        <f t="shared" si="33"/>
        <v>0</v>
      </c>
      <c r="AC53" s="60">
        <f t="shared" si="33"/>
        <v>575</v>
      </c>
      <c r="AD53" s="60">
        <f t="shared" si="33"/>
        <v>575</v>
      </c>
    </row>
    <row r="54" spans="1:32">
      <c r="A54" s="8"/>
      <c r="B54" s="9"/>
      <c r="C54" s="9"/>
      <c r="D54" s="32"/>
      <c r="E54" s="32"/>
      <c r="F54" s="33"/>
      <c r="G54" s="32"/>
      <c r="H54" s="32"/>
      <c r="I54" s="33"/>
      <c r="J54" s="32"/>
      <c r="K54" s="32"/>
      <c r="L54" s="33"/>
      <c r="M54" s="32"/>
      <c r="N54" s="32"/>
      <c r="O54" s="33"/>
      <c r="P54" s="32"/>
      <c r="Q54" s="32"/>
      <c r="R54" s="33"/>
      <c r="S54" s="32"/>
      <c r="T54" s="32"/>
      <c r="U54" s="33"/>
      <c r="V54" s="32"/>
      <c r="W54" s="32"/>
      <c r="X54" s="33"/>
      <c r="Y54" s="32"/>
      <c r="Z54" s="32"/>
      <c r="AA54" s="33"/>
      <c r="AB54" s="32"/>
      <c r="AC54" s="32"/>
      <c r="AD54" s="32"/>
    </row>
    <row r="55" spans="1:32" ht="12.75" customHeight="1">
      <c r="A55" s="4" t="s">
        <v>126</v>
      </c>
      <c r="B55" s="999" t="s">
        <v>125</v>
      </c>
      <c r="C55" s="999"/>
      <c r="D55" s="30">
        <f t="shared" ref="D55:D58" si="36">+G55+M55+Y55+AB55+P55+J55+S55+V55</f>
        <v>0</v>
      </c>
      <c r="E55" s="30">
        <f t="shared" ref="E55:E58" si="37">+H55+N55+Z55+AC55+Q55+K55+T55+W55</f>
        <v>4459</v>
      </c>
      <c r="F55" s="30">
        <f t="shared" ref="F55:F58" si="38">+I55+O55+AA55+AD55+R55+L55+U55+X55</f>
        <v>4459</v>
      </c>
      <c r="G55" s="31"/>
      <c r="H55" s="31">
        <v>193</v>
      </c>
      <c r="I55" s="34">
        <f t="shared" ref="I55:I58" si="39">+G55+H55</f>
        <v>193</v>
      </c>
      <c r="J55" s="31"/>
      <c r="K55" s="31"/>
      <c r="L55" s="34">
        <f t="shared" ref="L55:L58" si="40">+J55+K55</f>
        <v>0</v>
      </c>
      <c r="M55" s="31"/>
      <c r="N55" s="31">
        <v>4266</v>
      </c>
      <c r="O55" s="34">
        <f t="shared" ref="O55:O58" si="41">+M55+N55</f>
        <v>4266</v>
      </c>
      <c r="P55" s="31"/>
      <c r="Q55" s="31"/>
      <c r="R55" s="34">
        <f t="shared" ref="R55:R58" si="42">+P55+Q55</f>
        <v>0</v>
      </c>
      <c r="S55" s="31"/>
      <c r="T55" s="31"/>
      <c r="U55" s="34">
        <f t="shared" ref="U55:U58" si="43">+S55+T55</f>
        <v>0</v>
      </c>
      <c r="V55" s="31"/>
      <c r="W55" s="31"/>
      <c r="X55" s="34">
        <f t="shared" ref="X55:X58" si="44">+V55+W55</f>
        <v>0</v>
      </c>
      <c r="Y55" s="31"/>
      <c r="Z55" s="31"/>
      <c r="AA55" s="34">
        <f t="shared" ref="AA55:AA58" si="45">+Y55+Z55</f>
        <v>0</v>
      </c>
      <c r="AB55" s="31"/>
      <c r="AC55" s="31"/>
      <c r="AD55" s="34">
        <f t="shared" ref="AD55:AD58" si="46">+AB55+AC55</f>
        <v>0</v>
      </c>
    </row>
    <row r="56" spans="1:32" ht="12.75" customHeight="1">
      <c r="A56" s="4" t="s">
        <v>128</v>
      </c>
      <c r="B56" s="999" t="s">
        <v>127</v>
      </c>
      <c r="C56" s="999"/>
      <c r="D56" s="30">
        <f t="shared" si="36"/>
        <v>0</v>
      </c>
      <c r="E56" s="30">
        <f t="shared" si="37"/>
        <v>0</v>
      </c>
      <c r="F56" s="30">
        <f t="shared" si="38"/>
        <v>0</v>
      </c>
      <c r="G56" s="31"/>
      <c r="H56" s="31"/>
      <c r="I56" s="34">
        <f t="shared" si="39"/>
        <v>0</v>
      </c>
      <c r="J56" s="31"/>
      <c r="K56" s="31"/>
      <c r="L56" s="34">
        <f t="shared" si="40"/>
        <v>0</v>
      </c>
      <c r="M56" s="31"/>
      <c r="N56" s="31"/>
      <c r="O56" s="34">
        <f t="shared" si="41"/>
        <v>0</v>
      </c>
      <c r="P56" s="31"/>
      <c r="Q56" s="31"/>
      <c r="R56" s="34">
        <f t="shared" si="42"/>
        <v>0</v>
      </c>
      <c r="S56" s="31"/>
      <c r="T56" s="31"/>
      <c r="U56" s="34">
        <f t="shared" si="43"/>
        <v>0</v>
      </c>
      <c r="V56" s="31"/>
      <c r="W56" s="31"/>
      <c r="X56" s="34">
        <f t="shared" si="44"/>
        <v>0</v>
      </c>
      <c r="Y56" s="31"/>
      <c r="Z56" s="31"/>
      <c r="AA56" s="34">
        <f t="shared" si="45"/>
        <v>0</v>
      </c>
      <c r="AB56" s="31"/>
      <c r="AC56" s="31"/>
      <c r="AD56" s="34">
        <f t="shared" si="46"/>
        <v>0</v>
      </c>
    </row>
    <row r="57" spans="1:32" ht="12.75" customHeight="1">
      <c r="A57" s="4" t="s">
        <v>130</v>
      </c>
      <c r="B57" s="999" t="s">
        <v>129</v>
      </c>
      <c r="C57" s="999"/>
      <c r="D57" s="30">
        <f t="shared" si="36"/>
        <v>0</v>
      </c>
      <c r="E57" s="30">
        <f t="shared" si="37"/>
        <v>0</v>
      </c>
      <c r="F57" s="30">
        <f t="shared" si="38"/>
        <v>0</v>
      </c>
      <c r="G57" s="31"/>
      <c r="H57" s="31"/>
      <c r="I57" s="34">
        <f t="shared" si="39"/>
        <v>0</v>
      </c>
      <c r="J57" s="31"/>
      <c r="K57" s="31"/>
      <c r="L57" s="34">
        <f t="shared" si="40"/>
        <v>0</v>
      </c>
      <c r="M57" s="31"/>
      <c r="N57" s="31"/>
      <c r="O57" s="34">
        <f t="shared" si="41"/>
        <v>0</v>
      </c>
      <c r="P57" s="31"/>
      <c r="Q57" s="31"/>
      <c r="R57" s="34">
        <f t="shared" si="42"/>
        <v>0</v>
      </c>
      <c r="S57" s="31"/>
      <c r="T57" s="31"/>
      <c r="U57" s="34">
        <f t="shared" si="43"/>
        <v>0</v>
      </c>
      <c r="V57" s="31"/>
      <c r="W57" s="31"/>
      <c r="X57" s="34">
        <f t="shared" si="44"/>
        <v>0</v>
      </c>
      <c r="Y57" s="31"/>
      <c r="Z57" s="31"/>
      <c r="AA57" s="34">
        <f t="shared" si="45"/>
        <v>0</v>
      </c>
      <c r="AB57" s="31"/>
      <c r="AC57" s="31"/>
      <c r="AD57" s="34">
        <f t="shared" si="46"/>
        <v>0</v>
      </c>
    </row>
    <row r="58" spans="1:32" ht="12.75" customHeight="1">
      <c r="A58" s="4" t="s">
        <v>132</v>
      </c>
      <c r="B58" s="999" t="s">
        <v>131</v>
      </c>
      <c r="C58" s="999"/>
      <c r="D58" s="30">
        <f t="shared" si="36"/>
        <v>0</v>
      </c>
      <c r="E58" s="30">
        <f t="shared" si="37"/>
        <v>1204</v>
      </c>
      <c r="F58" s="30">
        <f t="shared" si="38"/>
        <v>1204</v>
      </c>
      <c r="G58" s="31"/>
      <c r="H58" s="31">
        <v>52</v>
      </c>
      <c r="I58" s="34">
        <f t="shared" si="39"/>
        <v>52</v>
      </c>
      <c r="J58" s="31"/>
      <c r="K58" s="31"/>
      <c r="L58" s="34">
        <f t="shared" si="40"/>
        <v>0</v>
      </c>
      <c r="M58" s="31"/>
      <c r="N58" s="31">
        <v>1152</v>
      </c>
      <c r="O58" s="34">
        <f t="shared" si="41"/>
        <v>1152</v>
      </c>
      <c r="P58" s="31"/>
      <c r="Q58" s="31"/>
      <c r="R58" s="34">
        <f t="shared" si="42"/>
        <v>0</v>
      </c>
      <c r="S58" s="31"/>
      <c r="T58" s="31"/>
      <c r="U58" s="34">
        <f t="shared" si="43"/>
        <v>0</v>
      </c>
      <c r="V58" s="31"/>
      <c r="W58" s="31"/>
      <c r="X58" s="34">
        <f t="shared" si="44"/>
        <v>0</v>
      </c>
      <c r="Y58" s="31"/>
      <c r="Z58" s="31"/>
      <c r="AA58" s="34">
        <f t="shared" si="45"/>
        <v>0</v>
      </c>
      <c r="AB58" s="31"/>
      <c r="AC58" s="31"/>
      <c r="AD58" s="34">
        <f t="shared" si="46"/>
        <v>0</v>
      </c>
    </row>
    <row r="59" spans="1:32" s="48" customFormat="1" ht="12.75" customHeight="1">
      <c r="A59" s="7" t="s">
        <v>133</v>
      </c>
      <c r="B59" s="995" t="s">
        <v>161</v>
      </c>
      <c r="C59" s="995"/>
      <c r="D59" s="60">
        <f>SUM(D55:D58)</f>
        <v>0</v>
      </c>
      <c r="E59" s="60">
        <f t="shared" ref="E59:AD59" si="47">SUM(E55:E58)</f>
        <v>5663</v>
      </c>
      <c r="F59" s="60">
        <f t="shared" si="47"/>
        <v>5663</v>
      </c>
      <c r="G59" s="60">
        <f t="shared" si="47"/>
        <v>0</v>
      </c>
      <c r="H59" s="60">
        <f t="shared" si="47"/>
        <v>245</v>
      </c>
      <c r="I59" s="60">
        <f t="shared" si="47"/>
        <v>245</v>
      </c>
      <c r="J59" s="60">
        <f t="shared" ref="J59:L59" si="48">SUM(J55:J58)</f>
        <v>0</v>
      </c>
      <c r="K59" s="60">
        <f t="shared" si="48"/>
        <v>0</v>
      </c>
      <c r="L59" s="60">
        <f t="shared" si="48"/>
        <v>0</v>
      </c>
      <c r="M59" s="60">
        <f t="shared" si="47"/>
        <v>0</v>
      </c>
      <c r="N59" s="60">
        <f t="shared" si="47"/>
        <v>5418</v>
      </c>
      <c r="O59" s="60">
        <f t="shared" si="47"/>
        <v>5418</v>
      </c>
      <c r="P59" s="60">
        <f t="shared" ref="P59:X59" si="49">SUM(P55:P58)</f>
        <v>0</v>
      </c>
      <c r="Q59" s="60">
        <f t="shared" si="49"/>
        <v>0</v>
      </c>
      <c r="R59" s="60">
        <f t="shared" si="49"/>
        <v>0</v>
      </c>
      <c r="S59" s="60">
        <f t="shared" si="49"/>
        <v>0</v>
      </c>
      <c r="T59" s="60">
        <f t="shared" si="49"/>
        <v>0</v>
      </c>
      <c r="U59" s="60">
        <f t="shared" si="49"/>
        <v>0</v>
      </c>
      <c r="V59" s="60">
        <f t="shared" si="49"/>
        <v>0</v>
      </c>
      <c r="W59" s="60">
        <f t="shared" si="49"/>
        <v>0</v>
      </c>
      <c r="X59" s="60">
        <f t="shared" si="49"/>
        <v>0</v>
      </c>
      <c r="Y59" s="60">
        <f t="shared" si="47"/>
        <v>0</v>
      </c>
      <c r="Z59" s="60">
        <f t="shared" si="47"/>
        <v>0</v>
      </c>
      <c r="AA59" s="60">
        <f t="shared" si="47"/>
        <v>0</v>
      </c>
      <c r="AB59" s="60">
        <f t="shared" si="47"/>
        <v>0</v>
      </c>
      <c r="AC59" s="60">
        <f t="shared" si="47"/>
        <v>0</v>
      </c>
      <c r="AD59" s="60">
        <f t="shared" si="47"/>
        <v>0</v>
      </c>
    </row>
    <row r="60" spans="1:32">
      <c r="A60" s="8"/>
      <c r="B60" s="9"/>
      <c r="C60" s="9"/>
      <c r="D60" s="32"/>
      <c r="E60" s="32"/>
      <c r="F60" s="33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F60" s="255"/>
    </row>
    <row r="61" spans="1:32" hidden="1">
      <c r="A61" s="203" t="s">
        <v>396</v>
      </c>
      <c r="B61" s="996" t="s">
        <v>397</v>
      </c>
      <c r="C61" s="996"/>
      <c r="D61" s="31">
        <f>+G61+M61+Y61+AB61</f>
        <v>0</v>
      </c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</row>
    <row r="62" spans="1:32" hidden="1">
      <c r="A62" s="203" t="s">
        <v>412</v>
      </c>
      <c r="B62" s="1002" t="s">
        <v>413</v>
      </c>
      <c r="C62" s="1003"/>
      <c r="D62" s="31">
        <f>+G62+M62+Y62+AB62</f>
        <v>0</v>
      </c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</row>
    <row r="63" spans="1:32" ht="12.75" hidden="1" customHeight="1">
      <c r="A63" s="13" t="s">
        <v>717</v>
      </c>
      <c r="B63" s="996" t="s">
        <v>414</v>
      </c>
      <c r="C63" s="996"/>
      <c r="D63" s="31">
        <f>+G63+M63+Y63+AB63</f>
        <v>0</v>
      </c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</row>
    <row r="64" spans="1:32" s="48" customFormat="1" ht="12.75" customHeight="1">
      <c r="A64" s="16" t="s">
        <v>135</v>
      </c>
      <c r="B64" s="1000" t="s">
        <v>159</v>
      </c>
      <c r="C64" s="1000"/>
      <c r="D64" s="58">
        <f>SUM(D61:D63)</f>
        <v>0</v>
      </c>
      <c r="E64" s="58">
        <f t="shared" ref="E64:AD64" si="50">SUM(E61:E63)</f>
        <v>0</v>
      </c>
      <c r="F64" s="58">
        <f t="shared" si="50"/>
        <v>0</v>
      </c>
      <c r="G64" s="58">
        <f t="shared" si="50"/>
        <v>0</v>
      </c>
      <c r="H64" s="58">
        <f t="shared" si="50"/>
        <v>0</v>
      </c>
      <c r="I64" s="58">
        <f t="shared" si="50"/>
        <v>0</v>
      </c>
      <c r="J64" s="58">
        <f t="shared" ref="J64:L64" si="51">SUM(J61:J63)</f>
        <v>0</v>
      </c>
      <c r="K64" s="58">
        <f t="shared" si="51"/>
        <v>0</v>
      </c>
      <c r="L64" s="58">
        <f t="shared" si="51"/>
        <v>0</v>
      </c>
      <c r="M64" s="58">
        <f t="shared" si="50"/>
        <v>0</v>
      </c>
      <c r="N64" s="58">
        <f t="shared" si="50"/>
        <v>0</v>
      </c>
      <c r="O64" s="58">
        <f t="shared" si="50"/>
        <v>0</v>
      </c>
      <c r="P64" s="58">
        <f t="shared" ref="P64:X64" si="52">SUM(P61:P63)</f>
        <v>0</v>
      </c>
      <c r="Q64" s="58">
        <f t="shared" si="52"/>
        <v>0</v>
      </c>
      <c r="R64" s="58">
        <f t="shared" si="52"/>
        <v>0</v>
      </c>
      <c r="S64" s="58">
        <f t="shared" si="52"/>
        <v>0</v>
      </c>
      <c r="T64" s="58">
        <f t="shared" si="52"/>
        <v>0</v>
      </c>
      <c r="U64" s="58">
        <f t="shared" si="52"/>
        <v>0</v>
      </c>
      <c r="V64" s="58">
        <f t="shared" si="52"/>
        <v>0</v>
      </c>
      <c r="W64" s="58">
        <f t="shared" si="52"/>
        <v>0</v>
      </c>
      <c r="X64" s="58">
        <f t="shared" si="52"/>
        <v>0</v>
      </c>
      <c r="Y64" s="58">
        <f t="shared" si="50"/>
        <v>0</v>
      </c>
      <c r="Z64" s="58">
        <f t="shared" si="50"/>
        <v>0</v>
      </c>
      <c r="AA64" s="58">
        <f t="shared" si="50"/>
        <v>0</v>
      </c>
      <c r="AB64" s="58">
        <f t="shared" si="50"/>
        <v>0</v>
      </c>
      <c r="AC64" s="58">
        <f t="shared" si="50"/>
        <v>0</v>
      </c>
      <c r="AD64" s="58">
        <f t="shared" si="50"/>
        <v>0</v>
      </c>
    </row>
    <row r="65" spans="1:30">
      <c r="A65" s="8"/>
      <c r="B65" s="17"/>
      <c r="C65" s="17"/>
      <c r="D65" s="32"/>
      <c r="E65" s="32"/>
      <c r="F65" s="33"/>
      <c r="G65" s="32"/>
      <c r="H65" s="32"/>
      <c r="I65" s="33"/>
      <c r="J65" s="32"/>
      <c r="K65" s="32"/>
      <c r="L65" s="33"/>
      <c r="M65" s="32"/>
      <c r="N65" s="32"/>
      <c r="O65" s="33"/>
      <c r="P65" s="32"/>
      <c r="Q65" s="32"/>
      <c r="R65" s="33"/>
      <c r="S65" s="32"/>
      <c r="T65" s="32"/>
      <c r="U65" s="33"/>
      <c r="V65" s="32"/>
      <c r="W65" s="32"/>
      <c r="X65" s="33"/>
      <c r="Y65" s="32"/>
      <c r="Z65" s="32"/>
      <c r="AA65" s="33"/>
      <c r="AB65" s="32"/>
      <c r="AC65" s="32"/>
      <c r="AD65" s="32"/>
    </row>
    <row r="66" spans="1:30" s="48" customFormat="1" ht="12.75" customHeight="1">
      <c r="A66" s="18" t="s">
        <v>136</v>
      </c>
      <c r="B66" s="1011" t="s">
        <v>158</v>
      </c>
      <c r="C66" s="1011"/>
      <c r="D66" s="59">
        <f>+D64+D59+D53+D44+D35+D9+D7</f>
        <v>0</v>
      </c>
      <c r="E66" s="59">
        <f t="shared" ref="E66:AD66" si="53">+E64+E59+E53+E44+E35+E9+E7</f>
        <v>81952</v>
      </c>
      <c r="F66" s="59">
        <f t="shared" si="53"/>
        <v>81952</v>
      </c>
      <c r="G66" s="59">
        <f t="shared" si="53"/>
        <v>0</v>
      </c>
      <c r="H66" s="59">
        <f t="shared" si="53"/>
        <v>17415</v>
      </c>
      <c r="I66" s="59">
        <f t="shared" si="53"/>
        <v>17415</v>
      </c>
      <c r="J66" s="59">
        <f t="shared" ref="J66:L66" si="54">+J64+J59+J53+J44+J35+J9+J7</f>
        <v>0</v>
      </c>
      <c r="K66" s="59">
        <f t="shared" si="54"/>
        <v>1763</v>
      </c>
      <c r="L66" s="59">
        <f t="shared" si="54"/>
        <v>1763</v>
      </c>
      <c r="M66" s="59">
        <f t="shared" si="53"/>
        <v>0</v>
      </c>
      <c r="N66" s="59">
        <f t="shared" si="53"/>
        <v>5418</v>
      </c>
      <c r="O66" s="59">
        <f t="shared" si="53"/>
        <v>5418</v>
      </c>
      <c r="P66" s="59">
        <f t="shared" ref="P66:X66" si="55">+P64+P59+P53+P44+P35+P9+P7</f>
        <v>0</v>
      </c>
      <c r="Q66" s="59">
        <f t="shared" si="55"/>
        <v>2595</v>
      </c>
      <c r="R66" s="59">
        <f t="shared" si="55"/>
        <v>2595</v>
      </c>
      <c r="S66" s="59">
        <f t="shared" si="55"/>
        <v>0</v>
      </c>
      <c r="T66" s="59">
        <f t="shared" si="55"/>
        <v>20666</v>
      </c>
      <c r="U66" s="59">
        <f t="shared" si="55"/>
        <v>20666</v>
      </c>
      <c r="V66" s="59">
        <f t="shared" si="55"/>
        <v>0</v>
      </c>
      <c r="W66" s="59">
        <f t="shared" si="55"/>
        <v>1499</v>
      </c>
      <c r="X66" s="59">
        <f t="shared" si="55"/>
        <v>1499</v>
      </c>
      <c r="Y66" s="59">
        <f t="shared" si="53"/>
        <v>0</v>
      </c>
      <c r="Z66" s="59">
        <f t="shared" si="53"/>
        <v>32021</v>
      </c>
      <c r="AA66" s="59">
        <f t="shared" si="53"/>
        <v>32021</v>
      </c>
      <c r="AB66" s="59">
        <f t="shared" si="53"/>
        <v>0</v>
      </c>
      <c r="AC66" s="59">
        <f t="shared" si="53"/>
        <v>575</v>
      </c>
      <c r="AD66" s="59">
        <f t="shared" si="53"/>
        <v>575</v>
      </c>
    </row>
  </sheetData>
  <mergeCells count="76">
    <mergeCell ref="B6:C6"/>
    <mergeCell ref="A2:A4"/>
    <mergeCell ref="B2:C4"/>
    <mergeCell ref="D2:F2"/>
    <mergeCell ref="G2:I2"/>
    <mergeCell ref="B5:C5"/>
    <mergeCell ref="M2:O2"/>
    <mergeCell ref="Y2:AA2"/>
    <mergeCell ref="AB2:AD2"/>
    <mergeCell ref="D3:F3"/>
    <mergeCell ref="G3:I3"/>
    <mergeCell ref="M3:O3"/>
    <mergeCell ref="Y3:AA3"/>
    <mergeCell ref="AB3:AD3"/>
    <mergeCell ref="P2:R2"/>
    <mergeCell ref="P3:R3"/>
    <mergeCell ref="J2:L2"/>
    <mergeCell ref="J3:L3"/>
    <mergeCell ref="S2:U2"/>
    <mergeCell ref="S3:U3"/>
    <mergeCell ref="V2:X2"/>
    <mergeCell ref="V3:X3"/>
    <mergeCell ref="B20:C20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44:C44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66:C66"/>
    <mergeCell ref="B59:C59"/>
    <mergeCell ref="B47:C47"/>
    <mergeCell ref="B48:C48"/>
    <mergeCell ref="B49:C49"/>
    <mergeCell ref="B50:C50"/>
    <mergeCell ref="B51:C51"/>
    <mergeCell ref="B52:C52"/>
    <mergeCell ref="B53:C53"/>
    <mergeCell ref="B55:C55"/>
    <mergeCell ref="B56:C56"/>
    <mergeCell ref="B57:C57"/>
    <mergeCell ref="B58:C58"/>
    <mergeCell ref="AB1:AD1"/>
    <mergeCell ref="B61:C61"/>
    <mergeCell ref="B62:C62"/>
    <mergeCell ref="B63:C63"/>
    <mergeCell ref="B64:C64"/>
    <mergeCell ref="B46:C46"/>
    <mergeCell ref="B33:C33"/>
    <mergeCell ref="B34:C34"/>
    <mergeCell ref="B35:C35"/>
    <mergeCell ref="B37:C37"/>
    <mergeCell ref="B38:C38"/>
    <mergeCell ref="B39:C39"/>
    <mergeCell ref="B40:C40"/>
    <mergeCell ref="B41:C41"/>
    <mergeCell ref="B42:C42"/>
    <mergeCell ref="B43:C4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75" fitToWidth="2" orientation="landscape" cellComments="asDisplayed" r:id="rId1"/>
  <headerFooter>
    <oddHeader>&amp;C&amp;"Times New Roman,Félkövér"&amp;12Martonvásár Város Önkormányzatának kiadásai 2016.
Városfejlesztési feladatok saját forrásból&amp;R&amp;"Times New Roman,Félkövér"&amp;10 5/b. melléklet</oddHeader>
  </headerFooter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6"/>
  <sheetViews>
    <sheetView topLeftCell="B1" workbookViewId="0">
      <selection activeCell="B24" sqref="B24:C24"/>
    </sheetView>
  </sheetViews>
  <sheetFormatPr defaultColWidth="9.109375" defaultRowHeight="14.4"/>
  <cols>
    <col min="1" max="1" width="8.109375" style="28" customWidth="1"/>
    <col min="2" max="2" width="7.109375" style="29" customWidth="1"/>
    <col min="3" max="3" width="31" style="29" customWidth="1"/>
    <col min="4" max="4" width="8.109375" style="20" customWidth="1"/>
    <col min="5" max="5" width="8.44140625" style="20" customWidth="1"/>
    <col min="6" max="6" width="8.109375" style="20" customWidth="1"/>
    <col min="7" max="7" width="7.5546875" style="20" customWidth="1"/>
    <col min="8" max="8" width="7.109375" style="20" customWidth="1"/>
    <col min="9" max="9" width="8.109375" style="20" customWidth="1"/>
    <col min="10" max="10" width="7.88671875" style="20" customWidth="1"/>
    <col min="11" max="11" width="7.6640625" style="20" customWidth="1"/>
    <col min="12" max="12" width="7.88671875" style="20" customWidth="1"/>
    <col min="13" max="13" width="7.109375" style="20" customWidth="1"/>
    <col min="14" max="14" width="8" style="20" customWidth="1"/>
    <col min="15" max="15" width="7.5546875" style="20" customWidth="1"/>
    <col min="16" max="16" width="8" style="20" customWidth="1"/>
    <col min="17" max="17" width="7.88671875" style="20" customWidth="1"/>
    <col min="18" max="18" width="7.33203125" style="20" customWidth="1"/>
    <col min="19" max="21" width="8.88671875" customWidth="1"/>
    <col min="22" max="16384" width="9.109375" style="20"/>
  </cols>
  <sheetData>
    <row r="1" spans="1:18" s="1" customFormat="1" ht="12.75" customHeight="1">
      <c r="A1" s="28"/>
      <c r="B1" s="29"/>
      <c r="C1" s="29"/>
      <c r="P1" s="1004" t="s">
        <v>411</v>
      </c>
      <c r="Q1" s="1004"/>
      <c r="R1" s="1004"/>
    </row>
    <row r="2" spans="1:18" s="35" customFormat="1" ht="28.5" customHeight="1">
      <c r="A2" s="997" t="s">
        <v>0</v>
      </c>
      <c r="B2" s="997" t="s">
        <v>183</v>
      </c>
      <c r="C2" s="997"/>
      <c r="D2" s="1013" t="s">
        <v>181</v>
      </c>
      <c r="E2" s="1013"/>
      <c r="F2" s="1013"/>
      <c r="G2" s="1013"/>
      <c r="H2" s="1013"/>
      <c r="I2" s="1013"/>
      <c r="J2" s="1013"/>
      <c r="K2" s="1013"/>
      <c r="L2" s="1013"/>
      <c r="M2" s="1013"/>
      <c r="N2" s="1013"/>
      <c r="O2" s="1013"/>
      <c r="P2" s="1013"/>
      <c r="Q2" s="1013"/>
      <c r="R2" s="1013"/>
    </row>
    <row r="3" spans="1:18" s="35" customFormat="1" ht="13.2">
      <c r="A3" s="997"/>
      <c r="B3" s="997"/>
      <c r="C3" s="997"/>
      <c r="D3" s="1013"/>
      <c r="E3" s="1013"/>
      <c r="F3" s="1013"/>
      <c r="G3" s="1013" t="s">
        <v>295</v>
      </c>
      <c r="H3" s="1013"/>
      <c r="I3" s="1013"/>
      <c r="J3" s="1013" t="s">
        <v>295</v>
      </c>
      <c r="K3" s="1013"/>
      <c r="L3" s="1013"/>
      <c r="M3" s="1013" t="s">
        <v>295</v>
      </c>
      <c r="N3" s="1013"/>
      <c r="O3" s="1013"/>
      <c r="P3" s="1013" t="s">
        <v>295</v>
      </c>
      <c r="Q3" s="1013"/>
      <c r="R3" s="1013"/>
    </row>
    <row r="4" spans="1:18" s="19" customFormat="1" ht="26.4">
      <c r="A4" s="997"/>
      <c r="B4" s="997"/>
      <c r="C4" s="997"/>
      <c r="D4" s="3" t="s">
        <v>178</v>
      </c>
      <c r="E4" s="673" t="s">
        <v>750</v>
      </c>
      <c r="F4" s="673" t="s">
        <v>752</v>
      </c>
      <c r="G4" s="673" t="s">
        <v>178</v>
      </c>
      <c r="H4" s="673" t="s">
        <v>750</v>
      </c>
      <c r="I4" s="673" t="s">
        <v>752</v>
      </c>
      <c r="J4" s="673" t="s">
        <v>178</v>
      </c>
      <c r="K4" s="673" t="s">
        <v>750</v>
      </c>
      <c r="L4" s="673" t="s">
        <v>752</v>
      </c>
      <c r="M4" s="673" t="s">
        <v>178</v>
      </c>
      <c r="N4" s="673" t="s">
        <v>750</v>
      </c>
      <c r="O4" s="673" t="s">
        <v>752</v>
      </c>
      <c r="P4" s="673" t="s">
        <v>178</v>
      </c>
      <c r="Q4" s="673" t="s">
        <v>750</v>
      </c>
      <c r="R4" s="673" t="s">
        <v>752</v>
      </c>
    </row>
    <row r="5" spans="1:18" s="48" customFormat="1" ht="12.75" customHeight="1">
      <c r="A5" s="6" t="s">
        <v>27</v>
      </c>
      <c r="B5" s="998" t="s">
        <v>175</v>
      </c>
      <c r="C5" s="998"/>
      <c r="D5" s="106">
        <f t="shared" ref="D5:D9" si="0">+G5+J5+M5+P5</f>
        <v>0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1:18" s="48" customFormat="1" ht="12.75" customHeight="1">
      <c r="A6" s="6" t="s">
        <v>34</v>
      </c>
      <c r="B6" s="998" t="s">
        <v>174</v>
      </c>
      <c r="C6" s="998"/>
      <c r="D6" s="106">
        <f t="shared" si="0"/>
        <v>0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1:18" s="48" customFormat="1" ht="12.75" customHeight="1">
      <c r="A7" s="7" t="s">
        <v>35</v>
      </c>
      <c r="B7" s="995" t="s">
        <v>173</v>
      </c>
      <c r="C7" s="995"/>
      <c r="D7" s="106">
        <f t="shared" si="0"/>
        <v>0</v>
      </c>
      <c r="E7" s="60">
        <f>+E6+E5</f>
        <v>0</v>
      </c>
      <c r="F7" s="60">
        <f>+F6+F5</f>
        <v>0</v>
      </c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</row>
    <row r="8" spans="1:18" ht="12" customHeight="1">
      <c r="A8" s="8"/>
      <c r="B8" s="9"/>
      <c r="C8" s="9"/>
      <c r="D8" s="30">
        <f t="shared" si="0"/>
        <v>0</v>
      </c>
      <c r="E8" s="32"/>
      <c r="F8" s="33"/>
      <c r="G8" s="32"/>
      <c r="H8" s="32"/>
      <c r="I8" s="33"/>
      <c r="J8" s="32"/>
      <c r="K8" s="32"/>
      <c r="L8" s="33"/>
      <c r="M8" s="32"/>
      <c r="N8" s="32"/>
      <c r="O8" s="33"/>
      <c r="P8" s="32"/>
      <c r="Q8" s="32"/>
      <c r="R8" s="32"/>
    </row>
    <row r="9" spans="1:18" s="48" customFormat="1" ht="12.75" customHeight="1">
      <c r="A9" s="6" t="s">
        <v>36</v>
      </c>
      <c r="B9" s="998" t="s">
        <v>172</v>
      </c>
      <c r="C9" s="998"/>
      <c r="D9" s="106">
        <f t="shared" si="0"/>
        <v>0</v>
      </c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1:18" ht="11.25" customHeight="1">
      <c r="A10" s="203"/>
      <c r="B10" s="27"/>
      <c r="C10" s="12"/>
      <c r="D10" s="349"/>
      <c r="E10" s="32"/>
      <c r="F10" s="33"/>
      <c r="G10" s="32"/>
      <c r="H10" s="32"/>
      <c r="I10" s="33"/>
      <c r="J10" s="32"/>
      <c r="K10" s="32"/>
      <c r="L10" s="33"/>
      <c r="M10" s="32"/>
      <c r="N10" s="32"/>
      <c r="O10" s="33"/>
      <c r="P10" s="32"/>
      <c r="Q10" s="32"/>
      <c r="R10" s="32"/>
    </row>
    <row r="11" spans="1:18" ht="12.75" hidden="1" customHeight="1">
      <c r="A11" s="13" t="s">
        <v>43</v>
      </c>
      <c r="B11" s="996" t="s">
        <v>42</v>
      </c>
      <c r="C11" s="996"/>
      <c r="D11" s="30">
        <f t="shared" ref="D11:D35" si="1">+G11+J11+M11+P11</f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18" ht="12.75" hidden="1" customHeight="1">
      <c r="A12" s="4" t="s">
        <v>45</v>
      </c>
      <c r="B12" s="999" t="s">
        <v>44</v>
      </c>
      <c r="C12" s="999"/>
      <c r="D12" s="30">
        <f t="shared" si="1"/>
        <v>0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ht="12.75" hidden="1" customHeight="1">
      <c r="A13" s="4" t="s">
        <v>47</v>
      </c>
      <c r="B13" s="999" t="s">
        <v>46</v>
      </c>
      <c r="C13" s="999"/>
      <c r="D13" s="30">
        <f t="shared" si="1"/>
        <v>0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18" s="48" customFormat="1" ht="12.75" customHeight="1">
      <c r="A14" s="6" t="s">
        <v>48</v>
      </c>
      <c r="B14" s="998" t="s">
        <v>171</v>
      </c>
      <c r="C14" s="998"/>
      <c r="D14" s="106">
        <f t="shared" si="1"/>
        <v>0</v>
      </c>
      <c r="E14" s="63">
        <f>SUM(E11:E13)</f>
        <v>0</v>
      </c>
      <c r="F14" s="63">
        <f>SUM(F11:F13)</f>
        <v>0</v>
      </c>
      <c r="G14" s="63">
        <f>SUM(G11:G13)</f>
        <v>0</v>
      </c>
      <c r="H14" s="63">
        <f t="shared" ref="H14:O14" si="2">SUM(H11:H13)</f>
        <v>0</v>
      </c>
      <c r="I14" s="63">
        <f t="shared" si="2"/>
        <v>0</v>
      </c>
      <c r="J14" s="63">
        <f t="shared" si="2"/>
        <v>0</v>
      </c>
      <c r="K14" s="63">
        <f t="shared" si="2"/>
        <v>0</v>
      </c>
      <c r="L14" s="63">
        <f t="shared" si="2"/>
        <v>0</v>
      </c>
      <c r="M14" s="63">
        <f t="shared" si="2"/>
        <v>0</v>
      </c>
      <c r="N14" s="63">
        <f t="shared" si="2"/>
        <v>0</v>
      </c>
      <c r="O14" s="63">
        <f t="shared" si="2"/>
        <v>0</v>
      </c>
      <c r="P14" s="63">
        <f>SUM(P11:P13)</f>
        <v>0</v>
      </c>
      <c r="Q14" s="63">
        <f>SUM(Q11:Q13)</f>
        <v>0</v>
      </c>
      <c r="R14" s="63">
        <f>SUM(R11:R13)</f>
        <v>0</v>
      </c>
    </row>
    <row r="15" spans="1:18" ht="12.75" hidden="1" customHeight="1">
      <c r="A15" s="4" t="s">
        <v>50</v>
      </c>
      <c r="B15" s="999" t="s">
        <v>49</v>
      </c>
      <c r="C15" s="999"/>
      <c r="D15" s="30">
        <f t="shared" si="1"/>
        <v>0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1:18" ht="12.75" hidden="1" customHeight="1">
      <c r="A16" s="4" t="s">
        <v>52</v>
      </c>
      <c r="B16" s="999" t="s">
        <v>51</v>
      </c>
      <c r="C16" s="999"/>
      <c r="D16" s="30">
        <f t="shared" si="1"/>
        <v>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8" s="48" customFormat="1" ht="12.75" customHeight="1">
      <c r="A17" s="6" t="s">
        <v>53</v>
      </c>
      <c r="B17" s="998" t="s">
        <v>170</v>
      </c>
      <c r="C17" s="998"/>
      <c r="D17" s="106">
        <f t="shared" si="1"/>
        <v>0</v>
      </c>
      <c r="E17" s="63">
        <f>+E15+E16</f>
        <v>0</v>
      </c>
      <c r="F17" s="63">
        <f>+F15+F16</f>
        <v>0</v>
      </c>
      <c r="G17" s="63">
        <f>+G15+G16</f>
        <v>0</v>
      </c>
      <c r="H17" s="63">
        <f t="shared" ref="H17:O17" si="3">+H15+H16</f>
        <v>0</v>
      </c>
      <c r="I17" s="63">
        <f t="shared" si="3"/>
        <v>0</v>
      </c>
      <c r="J17" s="63">
        <f t="shared" si="3"/>
        <v>0</v>
      </c>
      <c r="K17" s="63">
        <f t="shared" si="3"/>
        <v>0</v>
      </c>
      <c r="L17" s="63">
        <f t="shared" si="3"/>
        <v>0</v>
      </c>
      <c r="M17" s="63">
        <f t="shared" si="3"/>
        <v>0</v>
      </c>
      <c r="N17" s="63">
        <f t="shared" si="3"/>
        <v>0</v>
      </c>
      <c r="O17" s="63">
        <f t="shared" si="3"/>
        <v>0</v>
      </c>
      <c r="P17" s="63">
        <f>+P15+P16</f>
        <v>0</v>
      </c>
      <c r="Q17" s="63">
        <f>+Q15+Q16</f>
        <v>0</v>
      </c>
      <c r="R17" s="63">
        <f>+R15+R16</f>
        <v>0</v>
      </c>
    </row>
    <row r="18" spans="1:18" ht="12.75" hidden="1" customHeight="1">
      <c r="A18" s="4" t="s">
        <v>55</v>
      </c>
      <c r="B18" s="999" t="s">
        <v>54</v>
      </c>
      <c r="C18" s="999"/>
      <c r="D18" s="30">
        <f t="shared" si="1"/>
        <v>0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ht="12.75" hidden="1" customHeight="1">
      <c r="A19" s="4" t="s">
        <v>57</v>
      </c>
      <c r="B19" s="999" t="s">
        <v>56</v>
      </c>
      <c r="C19" s="999"/>
      <c r="D19" s="30">
        <f t="shared" si="1"/>
        <v>0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 ht="12.75" hidden="1" customHeight="1">
      <c r="A20" s="4" t="s">
        <v>58</v>
      </c>
      <c r="B20" s="999" t="s">
        <v>168</v>
      </c>
      <c r="C20" s="999"/>
      <c r="D20" s="30">
        <f t="shared" si="1"/>
        <v>0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18" ht="12.75" hidden="1" customHeight="1">
      <c r="A21" s="4" t="s">
        <v>60</v>
      </c>
      <c r="B21" s="999" t="s">
        <v>59</v>
      </c>
      <c r="C21" s="999"/>
      <c r="D21" s="30">
        <f t="shared" si="1"/>
        <v>0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ht="12.75" hidden="1" customHeight="1">
      <c r="A22" s="4" t="s">
        <v>61</v>
      </c>
      <c r="B22" s="999" t="s">
        <v>167</v>
      </c>
      <c r="C22" s="999"/>
      <c r="D22" s="30">
        <f t="shared" si="1"/>
        <v>0</v>
      </c>
      <c r="E22" s="30">
        <f t="shared" ref="E22" si="4">+H22+K22+N22+Q22</f>
        <v>0</v>
      </c>
      <c r="F22" s="30">
        <f t="shared" ref="F22" si="5">+I22+L22+O22+R22</f>
        <v>0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ht="12.75" hidden="1" customHeight="1">
      <c r="A23" s="4" t="s">
        <v>64</v>
      </c>
      <c r="B23" s="999" t="s">
        <v>63</v>
      </c>
      <c r="C23" s="999"/>
      <c r="D23" s="30">
        <f t="shared" si="1"/>
        <v>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ht="12.75" hidden="1" customHeight="1">
      <c r="A24" s="4" t="s">
        <v>66</v>
      </c>
      <c r="B24" s="999" t="s">
        <v>65</v>
      </c>
      <c r="C24" s="999"/>
      <c r="D24" s="30">
        <f t="shared" si="1"/>
        <v>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s="48" customFormat="1" ht="12.75" customHeight="1">
      <c r="A25" s="6" t="s">
        <v>67</v>
      </c>
      <c r="B25" s="998" t="s">
        <v>157</v>
      </c>
      <c r="C25" s="998"/>
      <c r="D25" s="106">
        <f t="shared" si="1"/>
        <v>0</v>
      </c>
      <c r="E25" s="63">
        <f t="shared" ref="E25:R25" si="6">+E24+E23+E22+E21+E20+E19+E18</f>
        <v>0</v>
      </c>
      <c r="F25" s="63">
        <f t="shared" si="6"/>
        <v>0</v>
      </c>
      <c r="G25" s="63">
        <f t="shared" si="6"/>
        <v>0</v>
      </c>
      <c r="H25" s="63">
        <f t="shared" si="6"/>
        <v>0</v>
      </c>
      <c r="I25" s="63">
        <f t="shared" si="6"/>
        <v>0</v>
      </c>
      <c r="J25" s="63">
        <f t="shared" si="6"/>
        <v>0</v>
      </c>
      <c r="K25" s="63">
        <f t="shared" si="6"/>
        <v>0</v>
      </c>
      <c r="L25" s="63">
        <f t="shared" si="6"/>
        <v>0</v>
      </c>
      <c r="M25" s="63">
        <f t="shared" si="6"/>
        <v>0</v>
      </c>
      <c r="N25" s="63">
        <f t="shared" si="6"/>
        <v>0</v>
      </c>
      <c r="O25" s="63">
        <f t="shared" si="6"/>
        <v>0</v>
      </c>
      <c r="P25" s="63">
        <f t="shared" si="6"/>
        <v>0</v>
      </c>
      <c r="Q25" s="63">
        <f t="shared" si="6"/>
        <v>0</v>
      </c>
      <c r="R25" s="63">
        <f t="shared" si="6"/>
        <v>0</v>
      </c>
    </row>
    <row r="26" spans="1:18" ht="12.75" hidden="1" customHeight="1">
      <c r="A26" s="4" t="s">
        <v>69</v>
      </c>
      <c r="B26" s="999" t="s">
        <v>68</v>
      </c>
      <c r="C26" s="999"/>
      <c r="D26" s="30">
        <f t="shared" si="1"/>
        <v>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ht="12.75" hidden="1" customHeight="1">
      <c r="A27" s="4" t="s">
        <v>71</v>
      </c>
      <c r="B27" s="999" t="s">
        <v>70</v>
      </c>
      <c r="C27" s="999"/>
      <c r="D27" s="30">
        <f t="shared" si="1"/>
        <v>0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s="48" customFormat="1" ht="12.75" customHeight="1">
      <c r="A28" s="6" t="s">
        <v>72</v>
      </c>
      <c r="B28" s="998" t="s">
        <v>156</v>
      </c>
      <c r="C28" s="998"/>
      <c r="D28" s="106">
        <f t="shared" si="1"/>
        <v>0</v>
      </c>
      <c r="E28" s="63"/>
      <c r="F28" s="63"/>
      <c r="G28" s="63">
        <f>SUM(G26:G27)</f>
        <v>0</v>
      </c>
      <c r="H28" s="63">
        <f t="shared" ref="H28:O28" si="7">SUM(H26:H27)</f>
        <v>0</v>
      </c>
      <c r="I28" s="63">
        <f t="shared" si="7"/>
        <v>0</v>
      </c>
      <c r="J28" s="63">
        <f t="shared" si="7"/>
        <v>0</v>
      </c>
      <c r="K28" s="63">
        <f t="shared" si="7"/>
        <v>0</v>
      </c>
      <c r="L28" s="63">
        <f t="shared" si="7"/>
        <v>0</v>
      </c>
      <c r="M28" s="63">
        <f t="shared" si="7"/>
        <v>0</v>
      </c>
      <c r="N28" s="63">
        <f t="shared" si="7"/>
        <v>0</v>
      </c>
      <c r="O28" s="63">
        <f t="shared" si="7"/>
        <v>0</v>
      </c>
      <c r="P28" s="63">
        <f>SUM(P26:P27)</f>
        <v>0</v>
      </c>
      <c r="Q28" s="63">
        <f>SUM(Q26:Q27)</f>
        <v>0</v>
      </c>
      <c r="R28" s="63">
        <f>SUM(R26:R27)</f>
        <v>0</v>
      </c>
    </row>
    <row r="29" spans="1:18" ht="12.75" hidden="1" customHeight="1">
      <c r="A29" s="4" t="s">
        <v>74</v>
      </c>
      <c r="B29" s="999" t="s">
        <v>73</v>
      </c>
      <c r="C29" s="999"/>
      <c r="D29" s="30">
        <f t="shared" si="1"/>
        <v>0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ht="12.75" hidden="1" customHeight="1">
      <c r="A30" s="4" t="s">
        <v>76</v>
      </c>
      <c r="B30" s="999" t="s">
        <v>75</v>
      </c>
      <c r="C30" s="999"/>
      <c r="D30" s="30">
        <f t="shared" si="1"/>
        <v>0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ht="12.75" hidden="1" customHeight="1">
      <c r="A31" s="4" t="s">
        <v>77</v>
      </c>
      <c r="B31" s="999" t="s">
        <v>155</v>
      </c>
      <c r="C31" s="999"/>
      <c r="D31" s="30">
        <f t="shared" si="1"/>
        <v>0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 ht="12.75" hidden="1" customHeight="1">
      <c r="A32" s="4" t="s">
        <v>78</v>
      </c>
      <c r="B32" s="999" t="s">
        <v>154</v>
      </c>
      <c r="C32" s="999"/>
      <c r="D32" s="30">
        <f t="shared" si="1"/>
        <v>0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ht="12.75" hidden="1" customHeight="1">
      <c r="A33" s="4" t="s">
        <v>80</v>
      </c>
      <c r="B33" s="999" t="s">
        <v>79</v>
      </c>
      <c r="C33" s="999"/>
      <c r="D33" s="30">
        <f t="shared" si="1"/>
        <v>0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s="48" customFormat="1" ht="12.75" customHeight="1">
      <c r="A34" s="6" t="s">
        <v>81</v>
      </c>
      <c r="B34" s="998" t="s">
        <v>153</v>
      </c>
      <c r="C34" s="998"/>
      <c r="D34" s="106">
        <f t="shared" si="1"/>
        <v>0</v>
      </c>
      <c r="E34" s="63"/>
      <c r="F34" s="63"/>
      <c r="G34" s="63">
        <f>SUM(G29:G33)</f>
        <v>0</v>
      </c>
      <c r="H34" s="63">
        <f t="shared" ref="H34:O34" si="8">SUM(H29:H33)</f>
        <v>0</v>
      </c>
      <c r="I34" s="63">
        <f t="shared" si="8"/>
        <v>0</v>
      </c>
      <c r="J34" s="63">
        <f t="shared" si="8"/>
        <v>0</v>
      </c>
      <c r="K34" s="63">
        <f t="shared" si="8"/>
        <v>0</v>
      </c>
      <c r="L34" s="63">
        <f t="shared" si="8"/>
        <v>0</v>
      </c>
      <c r="M34" s="63">
        <f t="shared" si="8"/>
        <v>0</v>
      </c>
      <c r="N34" s="63">
        <f t="shared" si="8"/>
        <v>0</v>
      </c>
      <c r="O34" s="63">
        <f t="shared" si="8"/>
        <v>0</v>
      </c>
      <c r="P34" s="63">
        <f>SUM(P29:P33)</f>
        <v>0</v>
      </c>
      <c r="Q34" s="63">
        <f>SUM(Q29:Q33)</f>
        <v>0</v>
      </c>
      <c r="R34" s="63">
        <f>SUM(R29:R33)</f>
        <v>0</v>
      </c>
    </row>
    <row r="35" spans="1:18" s="48" customFormat="1" ht="12.75" customHeight="1">
      <c r="A35" s="7" t="s">
        <v>82</v>
      </c>
      <c r="B35" s="995" t="s">
        <v>152</v>
      </c>
      <c r="C35" s="995"/>
      <c r="D35" s="106">
        <f t="shared" si="1"/>
        <v>0</v>
      </c>
      <c r="E35" s="60">
        <f t="shared" ref="E35:R35" si="9">+E34+E28+E25+E17+E14</f>
        <v>0</v>
      </c>
      <c r="F35" s="60">
        <f t="shared" si="9"/>
        <v>0</v>
      </c>
      <c r="G35" s="60">
        <f t="shared" si="9"/>
        <v>0</v>
      </c>
      <c r="H35" s="60">
        <f t="shared" si="9"/>
        <v>0</v>
      </c>
      <c r="I35" s="60">
        <f t="shared" si="9"/>
        <v>0</v>
      </c>
      <c r="J35" s="60">
        <f t="shared" si="9"/>
        <v>0</v>
      </c>
      <c r="K35" s="60">
        <f t="shared" si="9"/>
        <v>0</v>
      </c>
      <c r="L35" s="60">
        <f t="shared" si="9"/>
        <v>0</v>
      </c>
      <c r="M35" s="60">
        <f t="shared" si="9"/>
        <v>0</v>
      </c>
      <c r="N35" s="60">
        <f t="shared" si="9"/>
        <v>0</v>
      </c>
      <c r="O35" s="60">
        <f t="shared" si="9"/>
        <v>0</v>
      </c>
      <c r="P35" s="60">
        <f t="shared" si="9"/>
        <v>0</v>
      </c>
      <c r="Q35" s="60">
        <f t="shared" si="9"/>
        <v>0</v>
      </c>
      <c r="R35" s="60">
        <f t="shared" si="9"/>
        <v>0</v>
      </c>
    </row>
    <row r="36" spans="1:18" ht="11.25" customHeight="1">
      <c r="A36" s="350"/>
      <c r="B36" s="351"/>
      <c r="C36" s="351"/>
      <c r="D36" s="352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353"/>
      <c r="R36" s="353"/>
    </row>
    <row r="37" spans="1:18" ht="12" customHeight="1">
      <c r="A37" s="8"/>
      <c r="B37" s="1010"/>
      <c r="C37" s="1010"/>
      <c r="D37" s="30"/>
      <c r="E37" s="32"/>
      <c r="F37" s="33"/>
      <c r="G37" s="32"/>
      <c r="H37" s="32"/>
      <c r="I37" s="33"/>
      <c r="J37" s="32"/>
      <c r="K37" s="32"/>
      <c r="L37" s="33"/>
      <c r="M37" s="32"/>
      <c r="N37" s="32"/>
      <c r="O37" s="33"/>
      <c r="P37" s="32"/>
      <c r="Q37" s="32"/>
      <c r="R37" s="32"/>
    </row>
    <row r="38" spans="1:18" ht="12.75" customHeight="1">
      <c r="A38" s="4" t="s">
        <v>97</v>
      </c>
      <c r="B38" s="994" t="s">
        <v>96</v>
      </c>
      <c r="C38" s="994"/>
      <c r="D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ht="12.75" customHeight="1">
      <c r="A39" s="4" t="s">
        <v>99</v>
      </c>
      <c r="B39" s="994" t="s">
        <v>98</v>
      </c>
      <c r="C39" s="994"/>
      <c r="D39" s="30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 ht="23.25" customHeight="1">
      <c r="A40" s="4" t="s">
        <v>102</v>
      </c>
      <c r="B40" s="994" t="s">
        <v>166</v>
      </c>
      <c r="C40" s="994"/>
      <c r="D40" s="30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1:18" ht="25.5" customHeight="1">
      <c r="A41" s="4" t="s">
        <v>104</v>
      </c>
      <c r="B41" s="994" t="s">
        <v>103</v>
      </c>
      <c r="C41" s="994"/>
      <c r="D41" s="30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 ht="27" customHeight="1">
      <c r="A42" s="4" t="s">
        <v>108</v>
      </c>
      <c r="B42" s="994" t="s">
        <v>165</v>
      </c>
      <c r="C42" s="994"/>
      <c r="D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1:18" ht="12.75" customHeight="1">
      <c r="A43" s="4" t="s">
        <v>716</v>
      </c>
      <c r="B43" s="999" t="s">
        <v>107</v>
      </c>
      <c r="C43" s="999"/>
      <c r="D43" s="30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 s="48" customFormat="1" ht="12.75" customHeight="1">
      <c r="A44" s="6" t="s">
        <v>109</v>
      </c>
      <c r="B44" s="998" t="s">
        <v>164</v>
      </c>
      <c r="C44" s="998"/>
      <c r="D44" s="30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</row>
    <row r="45" spans="1:18" ht="12" customHeight="1">
      <c r="A45" s="8"/>
      <c r="B45" s="9"/>
      <c r="C45" s="9"/>
      <c r="D45" s="30"/>
      <c r="E45" s="32"/>
      <c r="F45" s="33"/>
      <c r="G45" s="32"/>
      <c r="H45" s="32"/>
      <c r="I45" s="33"/>
      <c r="J45" s="32"/>
      <c r="K45" s="32"/>
      <c r="L45" s="33"/>
      <c r="M45" s="32"/>
      <c r="N45" s="32"/>
      <c r="O45" s="33"/>
      <c r="P45" s="32"/>
      <c r="Q45" s="32"/>
      <c r="R45" s="32"/>
    </row>
    <row r="46" spans="1:18" ht="12.75" hidden="1" customHeight="1">
      <c r="A46" s="13" t="s">
        <v>111</v>
      </c>
      <c r="B46" s="996" t="s">
        <v>110</v>
      </c>
      <c r="C46" s="996"/>
      <c r="D46" s="30">
        <f t="shared" ref="D46:D52" si="10">+G46+J46+M46+P46</f>
        <v>0</v>
      </c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1:18" ht="12.75" hidden="1" customHeight="1">
      <c r="A47" s="4" t="s">
        <v>112</v>
      </c>
      <c r="B47" s="999" t="s">
        <v>163</v>
      </c>
      <c r="C47" s="999"/>
      <c r="D47" s="30">
        <f t="shared" si="10"/>
        <v>0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4"/>
      <c r="Q47" s="34"/>
      <c r="R47" s="34"/>
    </row>
    <row r="48" spans="1:18" ht="12.75" hidden="1" customHeight="1">
      <c r="A48" s="4" t="s">
        <v>115</v>
      </c>
      <c r="B48" s="999" t="s">
        <v>114</v>
      </c>
      <c r="C48" s="999"/>
      <c r="D48" s="30">
        <f t="shared" si="10"/>
        <v>0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4"/>
      <c r="Q48" s="34"/>
      <c r="R48" s="34"/>
    </row>
    <row r="49" spans="1:20" ht="12.75" hidden="1" customHeight="1">
      <c r="A49" s="4" t="s">
        <v>117</v>
      </c>
      <c r="B49" s="999" t="s">
        <v>116</v>
      </c>
      <c r="C49" s="999"/>
      <c r="D49" s="30">
        <f t="shared" si="10"/>
        <v>0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4"/>
      <c r="Q49" s="34"/>
      <c r="R49" s="34"/>
    </row>
    <row r="50" spans="1:20" ht="12.75" hidden="1" customHeight="1">
      <c r="A50" s="4" t="s">
        <v>119</v>
      </c>
      <c r="B50" s="999" t="s">
        <v>118</v>
      </c>
      <c r="C50" s="999"/>
      <c r="D50" s="30">
        <f t="shared" si="10"/>
        <v>0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4"/>
      <c r="Q50" s="34"/>
      <c r="R50" s="34"/>
    </row>
    <row r="51" spans="1:20" ht="12.75" hidden="1" customHeight="1">
      <c r="A51" s="4" t="s">
        <v>121</v>
      </c>
      <c r="B51" s="999" t="s">
        <v>120</v>
      </c>
      <c r="C51" s="999"/>
      <c r="D51" s="30">
        <f t="shared" si="10"/>
        <v>0</v>
      </c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4"/>
      <c r="Q51" s="34"/>
      <c r="R51" s="34"/>
    </row>
    <row r="52" spans="1:20" ht="12.75" hidden="1" customHeight="1">
      <c r="A52" s="4" t="s">
        <v>123</v>
      </c>
      <c r="B52" s="999" t="s">
        <v>122</v>
      </c>
      <c r="C52" s="999"/>
      <c r="D52" s="30">
        <f t="shared" si="10"/>
        <v>0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4"/>
      <c r="Q52" s="34"/>
      <c r="R52" s="34"/>
    </row>
    <row r="53" spans="1:20" s="48" customFormat="1" ht="12.75" customHeight="1">
      <c r="A53" s="7" t="s">
        <v>124</v>
      </c>
      <c r="B53" s="995" t="s">
        <v>162</v>
      </c>
      <c r="C53" s="995"/>
      <c r="D53" s="60">
        <f t="shared" ref="D53:R53" si="11">+D52+D51+D50+D49+D48+D47+D46</f>
        <v>0</v>
      </c>
      <c r="E53" s="60">
        <f t="shared" si="11"/>
        <v>0</v>
      </c>
      <c r="F53" s="60">
        <f t="shared" si="11"/>
        <v>0</v>
      </c>
      <c r="G53" s="60">
        <f t="shared" si="11"/>
        <v>0</v>
      </c>
      <c r="H53" s="60">
        <f t="shared" si="11"/>
        <v>0</v>
      </c>
      <c r="I53" s="60">
        <f t="shared" si="11"/>
        <v>0</v>
      </c>
      <c r="J53" s="60">
        <f t="shared" si="11"/>
        <v>0</v>
      </c>
      <c r="K53" s="60">
        <f t="shared" si="11"/>
        <v>0</v>
      </c>
      <c r="L53" s="60">
        <f t="shared" si="11"/>
        <v>0</v>
      </c>
      <c r="M53" s="60">
        <f t="shared" si="11"/>
        <v>0</v>
      </c>
      <c r="N53" s="60">
        <f t="shared" si="11"/>
        <v>0</v>
      </c>
      <c r="O53" s="60">
        <f t="shared" si="11"/>
        <v>0</v>
      </c>
      <c r="P53" s="60">
        <f t="shared" si="11"/>
        <v>0</v>
      </c>
      <c r="Q53" s="60">
        <f t="shared" si="11"/>
        <v>0</v>
      </c>
      <c r="R53" s="60">
        <f t="shared" si="11"/>
        <v>0</v>
      </c>
    </row>
    <row r="54" spans="1:20">
      <c r="A54" s="8"/>
      <c r="B54" s="9"/>
      <c r="C54" s="9"/>
      <c r="D54" s="32"/>
      <c r="E54" s="32"/>
      <c r="F54" s="33"/>
      <c r="G54" s="32"/>
      <c r="H54" s="32"/>
      <c r="I54" s="33"/>
      <c r="J54" s="32"/>
      <c r="K54" s="32"/>
      <c r="L54" s="33"/>
      <c r="M54" s="32"/>
      <c r="N54" s="32"/>
      <c r="O54" s="33"/>
      <c r="P54" s="32"/>
      <c r="Q54" s="32"/>
      <c r="R54" s="32"/>
    </row>
    <row r="55" spans="1:20" ht="12.75" hidden="1" customHeight="1">
      <c r="A55" s="4" t="s">
        <v>126</v>
      </c>
      <c r="B55" s="999" t="s">
        <v>125</v>
      </c>
      <c r="C55" s="999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20" ht="12.75" hidden="1" customHeight="1">
      <c r="A56" s="4" t="s">
        <v>128</v>
      </c>
      <c r="B56" s="999" t="s">
        <v>127</v>
      </c>
      <c r="C56" s="999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20" ht="12.75" hidden="1" customHeight="1">
      <c r="A57" s="4" t="s">
        <v>130</v>
      </c>
      <c r="B57" s="999" t="s">
        <v>129</v>
      </c>
      <c r="C57" s="999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20" ht="12.75" hidden="1" customHeight="1">
      <c r="A58" s="4" t="s">
        <v>132</v>
      </c>
      <c r="B58" s="999" t="s">
        <v>131</v>
      </c>
      <c r="C58" s="999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20" s="48" customFormat="1" ht="12.75" customHeight="1">
      <c r="A59" s="7" t="s">
        <v>133</v>
      </c>
      <c r="B59" s="995" t="s">
        <v>161</v>
      </c>
      <c r="C59" s="995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</row>
    <row r="60" spans="1:20">
      <c r="A60" s="8"/>
      <c r="B60" s="9"/>
      <c r="C60" s="9"/>
      <c r="D60" s="32"/>
      <c r="E60" s="32"/>
      <c r="F60" s="33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T60" s="255"/>
    </row>
    <row r="61" spans="1:20" hidden="1">
      <c r="A61" s="203" t="s">
        <v>396</v>
      </c>
      <c r="B61" s="996" t="s">
        <v>397</v>
      </c>
      <c r="C61" s="996"/>
      <c r="D61" s="31">
        <f>+G61+J61+M61+P61</f>
        <v>0</v>
      </c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</row>
    <row r="62" spans="1:20" hidden="1">
      <c r="A62" s="203" t="s">
        <v>412</v>
      </c>
      <c r="B62" s="1002" t="s">
        <v>413</v>
      </c>
      <c r="C62" s="1003"/>
      <c r="D62" s="31">
        <f>+G62+J62+M62+P62</f>
        <v>0</v>
      </c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</row>
    <row r="63" spans="1:20" ht="12.75" hidden="1" customHeight="1">
      <c r="A63" s="13" t="s">
        <v>134</v>
      </c>
      <c r="B63" s="996" t="s">
        <v>414</v>
      </c>
      <c r="C63" s="996"/>
      <c r="D63" s="31">
        <f>+G63+J63+M63+P63</f>
        <v>0</v>
      </c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20" s="48" customFormat="1" ht="12.75" customHeight="1">
      <c r="A64" s="16" t="s">
        <v>135</v>
      </c>
      <c r="B64" s="1000" t="s">
        <v>159</v>
      </c>
      <c r="C64" s="1000"/>
      <c r="D64" s="58">
        <f>SUM(D61:D63)</f>
        <v>0</v>
      </c>
      <c r="E64" s="58">
        <f t="shared" ref="E64:R64" si="12">SUM(E61:E63)</f>
        <v>0</v>
      </c>
      <c r="F64" s="58">
        <f t="shared" si="12"/>
        <v>0</v>
      </c>
      <c r="G64" s="58">
        <f t="shared" si="12"/>
        <v>0</v>
      </c>
      <c r="H64" s="58">
        <f t="shared" si="12"/>
        <v>0</v>
      </c>
      <c r="I64" s="58">
        <f t="shared" si="12"/>
        <v>0</v>
      </c>
      <c r="J64" s="58">
        <f t="shared" si="12"/>
        <v>0</v>
      </c>
      <c r="K64" s="58">
        <f t="shared" si="12"/>
        <v>0</v>
      </c>
      <c r="L64" s="58">
        <f t="shared" si="12"/>
        <v>0</v>
      </c>
      <c r="M64" s="58">
        <f t="shared" si="12"/>
        <v>0</v>
      </c>
      <c r="N64" s="58">
        <f t="shared" si="12"/>
        <v>0</v>
      </c>
      <c r="O64" s="58">
        <f t="shared" si="12"/>
        <v>0</v>
      </c>
      <c r="P64" s="58">
        <f t="shared" si="12"/>
        <v>0</v>
      </c>
      <c r="Q64" s="58">
        <f t="shared" si="12"/>
        <v>0</v>
      </c>
      <c r="R64" s="58">
        <f t="shared" si="12"/>
        <v>0</v>
      </c>
    </row>
    <row r="65" spans="1:18">
      <c r="A65" s="8"/>
      <c r="B65" s="17"/>
      <c r="C65" s="17"/>
      <c r="D65" s="32"/>
      <c r="E65" s="32"/>
      <c r="F65" s="33"/>
      <c r="G65" s="32"/>
      <c r="H65" s="32"/>
      <c r="I65" s="33"/>
      <c r="J65" s="32"/>
      <c r="K65" s="32"/>
      <c r="L65" s="33"/>
      <c r="M65" s="32"/>
      <c r="N65" s="32"/>
      <c r="O65" s="33"/>
      <c r="P65" s="32"/>
      <c r="Q65" s="32"/>
      <c r="R65" s="32"/>
    </row>
    <row r="66" spans="1:18" s="48" customFormat="1" ht="12.75" customHeight="1">
      <c r="A66" s="18" t="s">
        <v>136</v>
      </c>
      <c r="B66" s="1011" t="s">
        <v>158</v>
      </c>
      <c r="C66" s="1011"/>
      <c r="D66" s="59">
        <f>+D64+D59+D53+D44+D35+D9+D7</f>
        <v>0</v>
      </c>
      <c r="E66" s="59">
        <f t="shared" ref="E66:R66" si="13">+E64+E59+E53+E44+E35+E9+E7</f>
        <v>0</v>
      </c>
      <c r="F66" s="59">
        <f t="shared" si="13"/>
        <v>0</v>
      </c>
      <c r="G66" s="59">
        <f t="shared" si="13"/>
        <v>0</v>
      </c>
      <c r="H66" s="59">
        <f t="shared" si="13"/>
        <v>0</v>
      </c>
      <c r="I66" s="59">
        <f t="shared" si="13"/>
        <v>0</v>
      </c>
      <c r="J66" s="59">
        <f t="shared" si="13"/>
        <v>0</v>
      </c>
      <c r="K66" s="59">
        <f t="shared" si="13"/>
        <v>0</v>
      </c>
      <c r="L66" s="59">
        <f t="shared" si="13"/>
        <v>0</v>
      </c>
      <c r="M66" s="59">
        <f t="shared" si="13"/>
        <v>0</v>
      </c>
      <c r="N66" s="59">
        <f t="shared" si="13"/>
        <v>0</v>
      </c>
      <c r="O66" s="59">
        <f t="shared" si="13"/>
        <v>0</v>
      </c>
      <c r="P66" s="59">
        <f t="shared" si="13"/>
        <v>0</v>
      </c>
      <c r="Q66" s="59">
        <f t="shared" si="13"/>
        <v>0</v>
      </c>
      <c r="R66" s="59">
        <f t="shared" si="13"/>
        <v>0</v>
      </c>
    </row>
  </sheetData>
  <mergeCells count="68">
    <mergeCell ref="P1:R1"/>
    <mergeCell ref="B55:C55"/>
    <mergeCell ref="B42:C42"/>
    <mergeCell ref="B43:C43"/>
    <mergeCell ref="B44:C44"/>
    <mergeCell ref="B46:C46"/>
    <mergeCell ref="B47:C47"/>
    <mergeCell ref="B48:C48"/>
    <mergeCell ref="B29:C29"/>
    <mergeCell ref="B32:C32"/>
    <mergeCell ref="B33:C33"/>
    <mergeCell ref="B34:C34"/>
    <mergeCell ref="B30:C30"/>
    <mergeCell ref="B31:C31"/>
    <mergeCell ref="B37:C37"/>
    <mergeCell ref="B52:C52"/>
    <mergeCell ref="B66:C66"/>
    <mergeCell ref="B56:C56"/>
    <mergeCell ref="B57:C57"/>
    <mergeCell ref="B58:C58"/>
    <mergeCell ref="B59:C59"/>
    <mergeCell ref="B63:C63"/>
    <mergeCell ref="B64:C64"/>
    <mergeCell ref="B62:C62"/>
    <mergeCell ref="B61:C61"/>
    <mergeCell ref="B53:C53"/>
    <mergeCell ref="B41:C41"/>
    <mergeCell ref="B49:C49"/>
    <mergeCell ref="B50:C50"/>
    <mergeCell ref="B51:C51"/>
    <mergeCell ref="B40:C40"/>
    <mergeCell ref="B35:C35"/>
    <mergeCell ref="B25:C25"/>
    <mergeCell ref="B26:C26"/>
    <mergeCell ref="B27:C27"/>
    <mergeCell ref="B16:C16"/>
    <mergeCell ref="B17:C17"/>
    <mergeCell ref="B18:C18"/>
    <mergeCell ref="B38:C38"/>
    <mergeCell ref="B39:C39"/>
    <mergeCell ref="B24:C24"/>
    <mergeCell ref="B28:C28"/>
    <mergeCell ref="B19:C19"/>
    <mergeCell ref="B20:C20"/>
    <mergeCell ref="B21:C21"/>
    <mergeCell ref="B22:C22"/>
    <mergeCell ref="B23:C23"/>
    <mergeCell ref="B14:C14"/>
    <mergeCell ref="B15:C15"/>
    <mergeCell ref="M2:O2"/>
    <mergeCell ref="P2:R2"/>
    <mergeCell ref="G3:I3"/>
    <mergeCell ref="J3:L3"/>
    <mergeCell ref="M3:O3"/>
    <mergeCell ref="P3:R3"/>
    <mergeCell ref="D2:F2"/>
    <mergeCell ref="B13:C13"/>
    <mergeCell ref="B5:C5"/>
    <mergeCell ref="B6:C6"/>
    <mergeCell ref="B7:C7"/>
    <mergeCell ref="B9:C9"/>
    <mergeCell ref="B11:C11"/>
    <mergeCell ref="B12:C12"/>
    <mergeCell ref="A2:A4"/>
    <mergeCell ref="B2:C4"/>
    <mergeCell ref="G2:I2"/>
    <mergeCell ref="J2:L2"/>
    <mergeCell ref="D3:F3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86" orientation="landscape" cellComments="asDisplayed" r:id="rId1"/>
  <headerFooter>
    <oddHeader>&amp;C&amp;"Times New Roman,Félkövér"&amp;12Martonvásár Város Önkormányzatának kiadásai 2016.
Városfejlesztési feladatok EU forrásból&amp;R&amp;"Times New Roman,Félkövér"&amp;12 5/c.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U58"/>
  <sheetViews>
    <sheetView workbookViewId="0">
      <pane xSplit="3" ySplit="4" topLeftCell="D8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defaultColWidth="9.109375" defaultRowHeight="13.2"/>
  <cols>
    <col min="1" max="1" width="7.33203125" style="28" customWidth="1"/>
    <col min="2" max="2" width="7.109375" style="29" customWidth="1"/>
    <col min="3" max="3" width="32" style="29" customWidth="1"/>
    <col min="4" max="7" width="7.6640625" style="20" customWidth="1"/>
    <col min="8" max="8" width="6.6640625" style="20" customWidth="1"/>
    <col min="9" max="9" width="7.44140625" style="20" customWidth="1"/>
    <col min="10" max="10" width="7.33203125" style="20" customWidth="1"/>
    <col min="11" max="11" width="7.6640625" style="20" customWidth="1"/>
    <col min="12" max="12" width="7" style="20" customWidth="1"/>
    <col min="13" max="13" width="7.6640625" style="20" customWidth="1"/>
    <col min="14" max="14" width="7.44140625" style="20" customWidth="1"/>
    <col min="15" max="16" width="7.6640625" style="20" customWidth="1"/>
    <col min="17" max="17" width="6.6640625" style="20" customWidth="1"/>
    <col min="18" max="19" width="7.6640625" style="20" customWidth="1"/>
    <col min="20" max="20" width="6.88671875" style="20" customWidth="1"/>
    <col min="21" max="21" width="7.109375" style="20" customWidth="1"/>
    <col min="22" max="16384" width="9.109375" style="20"/>
  </cols>
  <sheetData>
    <row r="1" spans="1:21" s="1" customFormat="1" ht="14.4">
      <c r="A1" s="28"/>
      <c r="B1" s="29"/>
      <c r="C1" s="29"/>
      <c r="S1" s="1009" t="s">
        <v>411</v>
      </c>
      <c r="T1" s="1009"/>
      <c r="U1" s="1009"/>
    </row>
    <row r="2" spans="1:21" s="35" customFormat="1" ht="33.75" customHeight="1">
      <c r="A2" s="997" t="s">
        <v>0</v>
      </c>
      <c r="B2" s="997" t="s">
        <v>183</v>
      </c>
      <c r="C2" s="997"/>
      <c r="D2" s="1013" t="s">
        <v>181</v>
      </c>
      <c r="E2" s="1013"/>
      <c r="F2" s="1013"/>
      <c r="G2" s="1013" t="s">
        <v>187</v>
      </c>
      <c r="H2" s="1013"/>
      <c r="I2" s="1013"/>
      <c r="J2" s="1013" t="s">
        <v>188</v>
      </c>
      <c r="K2" s="1013"/>
      <c r="L2" s="1013"/>
      <c r="M2" s="1020" t="s">
        <v>189</v>
      </c>
      <c r="N2" s="1020"/>
      <c r="O2" s="1020"/>
      <c r="P2" s="1020" t="s">
        <v>192</v>
      </c>
      <c r="Q2" s="1020"/>
      <c r="R2" s="1020"/>
      <c r="S2" s="1020" t="s">
        <v>193</v>
      </c>
      <c r="T2" s="1020"/>
      <c r="U2" s="1020"/>
    </row>
    <row r="3" spans="1:21" s="35" customFormat="1">
      <c r="A3" s="997"/>
      <c r="B3" s="997"/>
      <c r="C3" s="997"/>
      <c r="D3" s="217"/>
      <c r="E3" s="217"/>
      <c r="F3" s="217"/>
      <c r="G3" s="1013" t="s">
        <v>190</v>
      </c>
      <c r="H3" s="1013"/>
      <c r="I3" s="1013"/>
      <c r="J3" s="1013" t="s">
        <v>190</v>
      </c>
      <c r="K3" s="1013"/>
      <c r="L3" s="1013"/>
      <c r="M3" s="1013" t="s">
        <v>191</v>
      </c>
      <c r="N3" s="1013"/>
      <c r="O3" s="1013"/>
      <c r="P3" s="1013" t="s">
        <v>191</v>
      </c>
      <c r="Q3" s="1013"/>
      <c r="R3" s="1013"/>
      <c r="S3" s="1013" t="s">
        <v>191</v>
      </c>
      <c r="T3" s="1013"/>
      <c r="U3" s="1013"/>
    </row>
    <row r="4" spans="1:21" s="19" customFormat="1" ht="26.4">
      <c r="A4" s="997"/>
      <c r="B4" s="997"/>
      <c r="C4" s="997"/>
      <c r="D4" s="3" t="s">
        <v>178</v>
      </c>
      <c r="E4" s="673" t="s">
        <v>750</v>
      </c>
      <c r="F4" s="673" t="s">
        <v>752</v>
      </c>
      <c r="G4" s="673" t="s">
        <v>178</v>
      </c>
      <c r="H4" s="673" t="s">
        <v>750</v>
      </c>
      <c r="I4" s="673" t="s">
        <v>752</v>
      </c>
      <c r="J4" s="673" t="s">
        <v>178</v>
      </c>
      <c r="K4" s="673" t="s">
        <v>750</v>
      </c>
      <c r="L4" s="673" t="s">
        <v>752</v>
      </c>
      <c r="M4" s="673" t="s">
        <v>178</v>
      </c>
      <c r="N4" s="673" t="s">
        <v>750</v>
      </c>
      <c r="O4" s="673" t="s">
        <v>752</v>
      </c>
      <c r="P4" s="673" t="s">
        <v>178</v>
      </c>
      <c r="Q4" s="673" t="s">
        <v>750</v>
      </c>
      <c r="R4" s="673" t="s">
        <v>752</v>
      </c>
      <c r="S4" s="673" t="s">
        <v>178</v>
      </c>
      <c r="T4" s="673" t="s">
        <v>750</v>
      </c>
      <c r="U4" s="673" t="s">
        <v>752</v>
      </c>
    </row>
    <row r="5" spans="1:21" s="48" customFormat="1" ht="12" customHeight="1">
      <c r="A5" s="6" t="s">
        <v>27</v>
      </c>
      <c r="B5" s="998" t="s">
        <v>175</v>
      </c>
      <c r="C5" s="998"/>
      <c r="D5" s="63">
        <f>+G5+J5+M5+P5+S5</f>
        <v>9403</v>
      </c>
      <c r="E5" s="63">
        <f t="shared" ref="E5:F6" si="0">+H5+K5+N5+Q5+T5</f>
        <v>-1204</v>
      </c>
      <c r="F5" s="63">
        <f t="shared" si="0"/>
        <v>8199</v>
      </c>
      <c r="G5" s="63">
        <v>6975</v>
      </c>
      <c r="H5" s="63"/>
      <c r="I5" s="63">
        <f>+G5+H5</f>
        <v>6975</v>
      </c>
      <c r="J5" s="63">
        <v>2428</v>
      </c>
      <c r="K5" s="63">
        <v>-1204</v>
      </c>
      <c r="L5" s="63">
        <f>+J5+K5</f>
        <v>1224</v>
      </c>
      <c r="M5" s="63"/>
      <c r="N5" s="63"/>
      <c r="O5" s="63"/>
      <c r="P5" s="63"/>
      <c r="Q5" s="63"/>
      <c r="R5" s="63"/>
      <c r="S5" s="63"/>
      <c r="T5" s="63"/>
      <c r="U5" s="63"/>
    </row>
    <row r="6" spans="1:21" s="48" customFormat="1" ht="12" customHeight="1">
      <c r="A6" s="6" t="s">
        <v>34</v>
      </c>
      <c r="B6" s="998" t="s">
        <v>174</v>
      </c>
      <c r="C6" s="998"/>
      <c r="D6" s="63">
        <f>+G6+J6+M6+P6+S6</f>
        <v>853</v>
      </c>
      <c r="E6" s="63">
        <f t="shared" si="0"/>
        <v>1204</v>
      </c>
      <c r="F6" s="63">
        <f t="shared" si="0"/>
        <v>2057</v>
      </c>
      <c r="G6" s="63">
        <v>0</v>
      </c>
      <c r="H6" s="63"/>
      <c r="I6" s="63">
        <f>+G6+H6</f>
        <v>0</v>
      </c>
      <c r="J6" s="63">
        <v>0</v>
      </c>
      <c r="K6" s="63">
        <v>1204</v>
      </c>
      <c r="L6" s="63">
        <f>+J6+K6</f>
        <v>1204</v>
      </c>
      <c r="M6" s="63">
        <v>853</v>
      </c>
      <c r="N6" s="63"/>
      <c r="O6" s="63">
        <f>+M6+N6</f>
        <v>853</v>
      </c>
      <c r="P6" s="63"/>
      <c r="Q6" s="63"/>
      <c r="R6" s="63"/>
      <c r="S6" s="63"/>
      <c r="T6" s="63"/>
      <c r="U6" s="63"/>
    </row>
    <row r="7" spans="1:21" s="48" customFormat="1" ht="12" customHeight="1">
      <c r="A7" s="7" t="s">
        <v>35</v>
      </c>
      <c r="B7" s="995" t="s">
        <v>173</v>
      </c>
      <c r="C7" s="995"/>
      <c r="D7" s="60">
        <f>+D6+D5</f>
        <v>10256</v>
      </c>
      <c r="E7" s="60">
        <f t="shared" ref="E7:F7" si="1">+E6+E5</f>
        <v>0</v>
      </c>
      <c r="F7" s="60">
        <f t="shared" si="1"/>
        <v>10256</v>
      </c>
      <c r="G7" s="60">
        <f>+G5+G6</f>
        <v>6975</v>
      </c>
      <c r="H7" s="60">
        <f t="shared" ref="H7:U7" si="2">+H5+H6</f>
        <v>0</v>
      </c>
      <c r="I7" s="60">
        <f t="shared" si="2"/>
        <v>6975</v>
      </c>
      <c r="J7" s="60">
        <f t="shared" si="2"/>
        <v>2428</v>
      </c>
      <c r="K7" s="60">
        <f t="shared" si="2"/>
        <v>0</v>
      </c>
      <c r="L7" s="60">
        <f t="shared" si="2"/>
        <v>2428</v>
      </c>
      <c r="M7" s="60">
        <f t="shared" si="2"/>
        <v>853</v>
      </c>
      <c r="N7" s="60">
        <f t="shared" si="2"/>
        <v>0</v>
      </c>
      <c r="O7" s="60">
        <f t="shared" si="2"/>
        <v>853</v>
      </c>
      <c r="P7" s="60">
        <f t="shared" si="2"/>
        <v>0</v>
      </c>
      <c r="Q7" s="60">
        <f t="shared" si="2"/>
        <v>0</v>
      </c>
      <c r="R7" s="60">
        <f t="shared" si="2"/>
        <v>0</v>
      </c>
      <c r="S7" s="60">
        <f t="shared" si="2"/>
        <v>0</v>
      </c>
      <c r="T7" s="60">
        <f t="shared" si="2"/>
        <v>0</v>
      </c>
      <c r="U7" s="60">
        <f t="shared" si="2"/>
        <v>0</v>
      </c>
    </row>
    <row r="8" spans="1:21" ht="12" customHeight="1">
      <c r="A8" s="8"/>
      <c r="B8" s="9"/>
      <c r="C8" s="9"/>
      <c r="D8" s="30"/>
      <c r="E8" s="32"/>
      <c r="F8" s="33"/>
      <c r="G8" s="32"/>
      <c r="H8" s="32"/>
      <c r="I8" s="33"/>
      <c r="J8" s="32"/>
      <c r="K8" s="32"/>
      <c r="L8" s="33"/>
      <c r="M8" s="32"/>
      <c r="N8" s="32"/>
      <c r="O8" s="33"/>
      <c r="P8" s="32"/>
      <c r="Q8" s="32"/>
      <c r="R8" s="33"/>
      <c r="S8" s="32"/>
      <c r="T8" s="32"/>
      <c r="U8" s="33"/>
    </row>
    <row r="9" spans="1:21" s="48" customFormat="1" ht="12" customHeight="1">
      <c r="A9" s="10" t="s">
        <v>36</v>
      </c>
      <c r="B9" s="995" t="s">
        <v>172</v>
      </c>
      <c r="C9" s="995"/>
      <c r="D9" s="30">
        <f>+G9+J9+M9+P9+S9</f>
        <v>2788</v>
      </c>
      <c r="E9" s="30">
        <f t="shared" ref="E9:F9" si="3">+H9+K9+N9+Q9+T9</f>
        <v>0</v>
      </c>
      <c r="F9" s="30">
        <f t="shared" si="3"/>
        <v>2788</v>
      </c>
      <c r="G9" s="59">
        <v>1896</v>
      </c>
      <c r="H9" s="59"/>
      <c r="I9" s="59">
        <f>+G9+H9</f>
        <v>1896</v>
      </c>
      <c r="J9" s="59">
        <v>662</v>
      </c>
      <c r="K9" s="59"/>
      <c r="L9" s="63">
        <f>+J9+K9</f>
        <v>662</v>
      </c>
      <c r="M9" s="59">
        <v>230</v>
      </c>
      <c r="N9" s="59"/>
      <c r="O9" s="59">
        <f>+M9+N9</f>
        <v>230</v>
      </c>
      <c r="P9" s="59"/>
      <c r="Q9" s="59"/>
      <c r="R9" s="59"/>
      <c r="S9" s="59"/>
      <c r="T9" s="59"/>
      <c r="U9" s="59"/>
    </row>
    <row r="10" spans="1:21" s="44" customFormat="1" ht="11.25" customHeight="1">
      <c r="A10" s="355"/>
      <c r="B10" s="356"/>
      <c r="C10" s="357"/>
      <c r="D10" s="352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4"/>
      <c r="R10" s="354"/>
      <c r="S10" s="354"/>
      <c r="T10" s="354"/>
      <c r="U10" s="354"/>
    </row>
    <row r="11" spans="1:21" ht="12" customHeight="1">
      <c r="A11" s="4" t="s">
        <v>43</v>
      </c>
      <c r="B11" s="999" t="s">
        <v>42</v>
      </c>
      <c r="C11" s="999"/>
      <c r="D11" s="31">
        <f t="shared" ref="D11:D34" si="4">+G11+J11+M11+P11+S11</f>
        <v>100</v>
      </c>
      <c r="E11" s="31">
        <f t="shared" ref="E11:E34" si="5">+H11+K11+N11+Q11+T11</f>
        <v>0</v>
      </c>
      <c r="F11" s="31">
        <f t="shared" ref="F11:F34" si="6">+I11+L11+O11+R11+U11</f>
        <v>100</v>
      </c>
      <c r="G11" s="31">
        <v>100</v>
      </c>
      <c r="H11" s="31"/>
      <c r="I11" s="31">
        <f>+G11+H11</f>
        <v>100</v>
      </c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2" customHeight="1">
      <c r="A12" s="4" t="s">
        <v>45</v>
      </c>
      <c r="B12" s="999" t="s">
        <v>44</v>
      </c>
      <c r="C12" s="999"/>
      <c r="D12" s="31">
        <f t="shared" si="4"/>
        <v>300</v>
      </c>
      <c r="E12" s="31">
        <f t="shared" si="5"/>
        <v>0</v>
      </c>
      <c r="F12" s="31">
        <f t="shared" si="6"/>
        <v>300</v>
      </c>
      <c r="G12" s="31">
        <v>100</v>
      </c>
      <c r="H12" s="31"/>
      <c r="I12" s="31">
        <f t="shared" ref="I12:I33" si="7">+G12+H12</f>
        <v>100</v>
      </c>
      <c r="J12" s="31"/>
      <c r="K12" s="31"/>
      <c r="L12" s="31"/>
      <c r="M12" s="31">
        <v>200</v>
      </c>
      <c r="N12" s="31"/>
      <c r="O12" s="31">
        <f>+M12+N12</f>
        <v>200</v>
      </c>
      <c r="P12" s="31"/>
      <c r="Q12" s="31"/>
      <c r="R12" s="31"/>
      <c r="S12" s="31"/>
      <c r="T12" s="31"/>
      <c r="U12" s="31"/>
    </row>
    <row r="13" spans="1:21" ht="12" customHeight="1">
      <c r="A13" s="4" t="s">
        <v>47</v>
      </c>
      <c r="B13" s="999" t="s">
        <v>46</v>
      </c>
      <c r="C13" s="999"/>
      <c r="D13" s="31">
        <f t="shared" si="4"/>
        <v>0</v>
      </c>
      <c r="E13" s="31">
        <f t="shared" si="5"/>
        <v>0</v>
      </c>
      <c r="F13" s="31">
        <f t="shared" si="6"/>
        <v>0</v>
      </c>
      <c r="G13" s="31"/>
      <c r="H13" s="31"/>
      <c r="I13" s="31">
        <f t="shared" si="7"/>
        <v>0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s="48" customFormat="1" ht="12" customHeight="1">
      <c r="A14" s="6" t="s">
        <v>48</v>
      </c>
      <c r="B14" s="998" t="s">
        <v>171</v>
      </c>
      <c r="C14" s="998"/>
      <c r="D14" s="59">
        <f t="shared" si="4"/>
        <v>400</v>
      </c>
      <c r="E14" s="59">
        <f t="shared" si="5"/>
        <v>0</v>
      </c>
      <c r="F14" s="59">
        <f t="shared" si="6"/>
        <v>400</v>
      </c>
      <c r="G14" s="63">
        <f>SUM(G11:G13)</f>
        <v>200</v>
      </c>
      <c r="H14" s="63">
        <f t="shared" ref="H14:U14" si="8">SUM(H11:H13)</f>
        <v>0</v>
      </c>
      <c r="I14" s="63">
        <f t="shared" si="8"/>
        <v>200</v>
      </c>
      <c r="J14" s="63">
        <f t="shared" si="8"/>
        <v>0</v>
      </c>
      <c r="K14" s="63">
        <f t="shared" si="8"/>
        <v>0</v>
      </c>
      <c r="L14" s="63">
        <f t="shared" si="8"/>
        <v>0</v>
      </c>
      <c r="M14" s="63">
        <f t="shared" si="8"/>
        <v>200</v>
      </c>
      <c r="N14" s="63">
        <f t="shared" si="8"/>
        <v>0</v>
      </c>
      <c r="O14" s="63">
        <f t="shared" si="8"/>
        <v>200</v>
      </c>
      <c r="P14" s="63">
        <f t="shared" si="8"/>
        <v>0</v>
      </c>
      <c r="Q14" s="63">
        <f t="shared" si="8"/>
        <v>0</v>
      </c>
      <c r="R14" s="63">
        <f t="shared" si="8"/>
        <v>0</v>
      </c>
      <c r="S14" s="63">
        <f t="shared" si="8"/>
        <v>0</v>
      </c>
      <c r="T14" s="63">
        <f t="shared" si="8"/>
        <v>0</v>
      </c>
      <c r="U14" s="63">
        <f t="shared" si="8"/>
        <v>0</v>
      </c>
    </row>
    <row r="15" spans="1:21" ht="12" customHeight="1">
      <c r="A15" s="4" t="s">
        <v>50</v>
      </c>
      <c r="B15" s="999" t="s">
        <v>49</v>
      </c>
      <c r="C15" s="999"/>
      <c r="D15" s="34">
        <f t="shared" si="4"/>
        <v>75</v>
      </c>
      <c r="E15" s="34">
        <f t="shared" si="5"/>
        <v>0</v>
      </c>
      <c r="F15" s="34">
        <f t="shared" si="6"/>
        <v>75</v>
      </c>
      <c r="G15" s="31"/>
      <c r="H15" s="31"/>
      <c r="I15" s="31">
        <f t="shared" si="7"/>
        <v>0</v>
      </c>
      <c r="J15" s="31"/>
      <c r="K15" s="31"/>
      <c r="L15" s="31"/>
      <c r="M15" s="31">
        <v>75</v>
      </c>
      <c r="N15" s="31"/>
      <c r="O15" s="31">
        <f t="shared" ref="O15:O16" si="9">+M15+N15</f>
        <v>75</v>
      </c>
      <c r="P15" s="31"/>
      <c r="Q15" s="31"/>
      <c r="R15" s="31"/>
      <c r="S15" s="31"/>
      <c r="T15" s="31"/>
      <c r="U15" s="31"/>
    </row>
    <row r="16" spans="1:21" ht="12" customHeight="1">
      <c r="A16" s="4" t="s">
        <v>52</v>
      </c>
      <c r="B16" s="999" t="s">
        <v>51</v>
      </c>
      <c r="C16" s="999"/>
      <c r="D16" s="34">
        <f t="shared" si="4"/>
        <v>165</v>
      </c>
      <c r="E16" s="34">
        <f t="shared" si="5"/>
        <v>0</v>
      </c>
      <c r="F16" s="34">
        <f t="shared" si="6"/>
        <v>165</v>
      </c>
      <c r="G16" s="31">
        <v>120</v>
      </c>
      <c r="H16" s="31"/>
      <c r="I16" s="31">
        <f t="shared" si="7"/>
        <v>120</v>
      </c>
      <c r="J16" s="31"/>
      <c r="K16" s="31"/>
      <c r="L16" s="31"/>
      <c r="M16" s="31">
        <v>45</v>
      </c>
      <c r="N16" s="31"/>
      <c r="O16" s="31">
        <f t="shared" si="9"/>
        <v>45</v>
      </c>
      <c r="P16" s="31"/>
      <c r="Q16" s="31"/>
      <c r="R16" s="31"/>
      <c r="S16" s="31"/>
      <c r="T16" s="31"/>
      <c r="U16" s="31"/>
    </row>
    <row r="17" spans="1:21" s="48" customFormat="1" ht="12" customHeight="1">
      <c r="A17" s="6" t="s">
        <v>53</v>
      </c>
      <c r="B17" s="998" t="s">
        <v>170</v>
      </c>
      <c r="C17" s="998"/>
      <c r="D17" s="59">
        <f t="shared" si="4"/>
        <v>240</v>
      </c>
      <c r="E17" s="59">
        <f t="shared" si="5"/>
        <v>0</v>
      </c>
      <c r="F17" s="59">
        <f t="shared" si="6"/>
        <v>240</v>
      </c>
      <c r="G17" s="63">
        <f>+G15+G16</f>
        <v>120</v>
      </c>
      <c r="H17" s="63">
        <f t="shared" ref="H17:U17" si="10">+H15+H16</f>
        <v>0</v>
      </c>
      <c r="I17" s="63">
        <f t="shared" si="10"/>
        <v>120</v>
      </c>
      <c r="J17" s="63">
        <f t="shared" si="10"/>
        <v>0</v>
      </c>
      <c r="K17" s="63">
        <f t="shared" si="10"/>
        <v>0</v>
      </c>
      <c r="L17" s="63">
        <f t="shared" si="10"/>
        <v>0</v>
      </c>
      <c r="M17" s="63">
        <f t="shared" si="10"/>
        <v>120</v>
      </c>
      <c r="N17" s="63">
        <f t="shared" si="10"/>
        <v>0</v>
      </c>
      <c r="O17" s="63">
        <f t="shared" si="10"/>
        <v>120</v>
      </c>
      <c r="P17" s="63">
        <f t="shared" si="10"/>
        <v>0</v>
      </c>
      <c r="Q17" s="63">
        <f t="shared" si="10"/>
        <v>0</v>
      </c>
      <c r="R17" s="63">
        <f t="shared" si="10"/>
        <v>0</v>
      </c>
      <c r="S17" s="63">
        <f t="shared" si="10"/>
        <v>0</v>
      </c>
      <c r="T17" s="63">
        <f t="shared" si="10"/>
        <v>0</v>
      </c>
      <c r="U17" s="63">
        <f t="shared" si="10"/>
        <v>0</v>
      </c>
    </row>
    <row r="18" spans="1:21" ht="12" customHeight="1">
      <c r="A18" s="4" t="s">
        <v>55</v>
      </c>
      <c r="B18" s="999" t="s">
        <v>54</v>
      </c>
      <c r="C18" s="999"/>
      <c r="D18" s="34">
        <f t="shared" si="4"/>
        <v>0</v>
      </c>
      <c r="E18" s="34">
        <f t="shared" si="5"/>
        <v>0</v>
      </c>
      <c r="F18" s="34">
        <f t="shared" si="6"/>
        <v>0</v>
      </c>
      <c r="G18" s="31"/>
      <c r="H18" s="31"/>
      <c r="I18" s="31">
        <f t="shared" si="7"/>
        <v>0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2" customHeight="1">
      <c r="A19" s="4" t="s">
        <v>57</v>
      </c>
      <c r="B19" s="999" t="s">
        <v>56</v>
      </c>
      <c r="C19" s="999"/>
      <c r="D19" s="34">
        <f t="shared" si="4"/>
        <v>0</v>
      </c>
      <c r="E19" s="34">
        <f t="shared" si="5"/>
        <v>0</v>
      </c>
      <c r="F19" s="34">
        <f t="shared" si="6"/>
        <v>0</v>
      </c>
      <c r="G19" s="31"/>
      <c r="H19" s="31"/>
      <c r="I19" s="31">
        <f t="shared" si="7"/>
        <v>0</v>
      </c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2" customHeight="1">
      <c r="A20" s="4" t="s">
        <v>58</v>
      </c>
      <c r="B20" s="999" t="s">
        <v>168</v>
      </c>
      <c r="C20" s="999"/>
      <c r="D20" s="34">
        <f t="shared" si="4"/>
        <v>0</v>
      </c>
      <c r="E20" s="34">
        <f t="shared" si="5"/>
        <v>0</v>
      </c>
      <c r="F20" s="34">
        <f t="shared" si="6"/>
        <v>0</v>
      </c>
      <c r="G20" s="31"/>
      <c r="H20" s="31"/>
      <c r="I20" s="31">
        <f t="shared" si="7"/>
        <v>0</v>
      </c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2" customHeight="1">
      <c r="A21" s="4" t="s">
        <v>60</v>
      </c>
      <c r="B21" s="999" t="s">
        <v>59</v>
      </c>
      <c r="C21" s="999"/>
      <c r="D21" s="34">
        <f t="shared" si="4"/>
        <v>0</v>
      </c>
      <c r="E21" s="34">
        <f t="shared" si="5"/>
        <v>0</v>
      </c>
      <c r="F21" s="34">
        <f t="shared" si="6"/>
        <v>0</v>
      </c>
      <c r="G21" s="31"/>
      <c r="H21" s="31"/>
      <c r="I21" s="31">
        <f t="shared" si="7"/>
        <v>0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2" customHeight="1">
      <c r="A22" s="4" t="s">
        <v>61</v>
      </c>
      <c r="B22" s="1012" t="s">
        <v>167</v>
      </c>
      <c r="C22" s="1012"/>
      <c r="D22" s="34">
        <f t="shared" si="4"/>
        <v>0</v>
      </c>
      <c r="E22" s="34">
        <f t="shared" si="5"/>
        <v>0</v>
      </c>
      <c r="F22" s="34">
        <f t="shared" si="6"/>
        <v>0</v>
      </c>
      <c r="G22" s="31"/>
      <c r="H22" s="31"/>
      <c r="I22" s="31">
        <f t="shared" si="7"/>
        <v>0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2" customHeight="1">
      <c r="A23" s="4" t="s">
        <v>64</v>
      </c>
      <c r="B23" s="996" t="s">
        <v>63</v>
      </c>
      <c r="C23" s="996"/>
      <c r="D23" s="34">
        <f t="shared" si="4"/>
        <v>20</v>
      </c>
      <c r="E23" s="34">
        <f t="shared" si="5"/>
        <v>0</v>
      </c>
      <c r="F23" s="34">
        <f t="shared" si="6"/>
        <v>20</v>
      </c>
      <c r="G23" s="31">
        <v>20</v>
      </c>
      <c r="H23" s="31"/>
      <c r="I23" s="31">
        <f t="shared" si="7"/>
        <v>20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2" customHeight="1">
      <c r="A24" s="4" t="s">
        <v>66</v>
      </c>
      <c r="B24" s="999" t="s">
        <v>65</v>
      </c>
      <c r="C24" s="999"/>
      <c r="D24" s="34">
        <f t="shared" si="4"/>
        <v>1060</v>
      </c>
      <c r="E24" s="34">
        <f t="shared" si="5"/>
        <v>0</v>
      </c>
      <c r="F24" s="34">
        <f t="shared" si="6"/>
        <v>1060</v>
      </c>
      <c r="G24" s="31">
        <v>63</v>
      </c>
      <c r="H24" s="31"/>
      <c r="I24" s="31">
        <f t="shared" si="7"/>
        <v>63</v>
      </c>
      <c r="J24" s="31">
        <f>490+7</f>
        <v>497</v>
      </c>
      <c r="K24" s="31"/>
      <c r="L24" s="31">
        <f>+J24+K24</f>
        <v>497</v>
      </c>
      <c r="M24" s="31"/>
      <c r="N24" s="31"/>
      <c r="O24" s="31"/>
      <c r="P24" s="31">
        <v>500</v>
      </c>
      <c r="Q24" s="31"/>
      <c r="R24" s="31">
        <f>+P24+Q24</f>
        <v>500</v>
      </c>
      <c r="S24" s="31"/>
      <c r="T24" s="31"/>
      <c r="U24" s="31"/>
    </row>
    <row r="25" spans="1:21" s="48" customFormat="1" ht="12" customHeight="1">
      <c r="A25" s="6" t="s">
        <v>67</v>
      </c>
      <c r="B25" s="998" t="s">
        <v>157</v>
      </c>
      <c r="C25" s="998"/>
      <c r="D25" s="59">
        <f t="shared" si="4"/>
        <v>1080</v>
      </c>
      <c r="E25" s="59">
        <f t="shared" si="5"/>
        <v>0</v>
      </c>
      <c r="F25" s="59">
        <f t="shared" si="6"/>
        <v>1080</v>
      </c>
      <c r="G25" s="63">
        <f t="shared" ref="G25:U25" si="11">+G24+G23+G22+G21+G20+G19+G18</f>
        <v>83</v>
      </c>
      <c r="H25" s="63">
        <f t="shared" si="11"/>
        <v>0</v>
      </c>
      <c r="I25" s="63">
        <f t="shared" si="11"/>
        <v>83</v>
      </c>
      <c r="J25" s="63">
        <f t="shared" si="11"/>
        <v>497</v>
      </c>
      <c r="K25" s="63">
        <f t="shared" si="11"/>
        <v>0</v>
      </c>
      <c r="L25" s="63">
        <f t="shared" si="11"/>
        <v>497</v>
      </c>
      <c r="M25" s="63">
        <f t="shared" si="11"/>
        <v>0</v>
      </c>
      <c r="N25" s="63">
        <f t="shared" si="11"/>
        <v>0</v>
      </c>
      <c r="O25" s="63">
        <f t="shared" si="11"/>
        <v>0</v>
      </c>
      <c r="P25" s="63">
        <f t="shared" si="11"/>
        <v>500</v>
      </c>
      <c r="Q25" s="63">
        <f t="shared" si="11"/>
        <v>0</v>
      </c>
      <c r="R25" s="63">
        <f t="shared" si="11"/>
        <v>500</v>
      </c>
      <c r="S25" s="63">
        <f t="shared" si="11"/>
        <v>0</v>
      </c>
      <c r="T25" s="63">
        <f t="shared" si="11"/>
        <v>0</v>
      </c>
      <c r="U25" s="63">
        <f t="shared" si="11"/>
        <v>0</v>
      </c>
    </row>
    <row r="26" spans="1:21" ht="12" customHeight="1">
      <c r="A26" s="4" t="s">
        <v>69</v>
      </c>
      <c r="B26" s="999" t="s">
        <v>68</v>
      </c>
      <c r="C26" s="999"/>
      <c r="D26" s="34">
        <f t="shared" si="4"/>
        <v>180</v>
      </c>
      <c r="E26" s="34">
        <f t="shared" si="5"/>
        <v>0</v>
      </c>
      <c r="F26" s="34">
        <f t="shared" si="6"/>
        <v>180</v>
      </c>
      <c r="G26" s="31">
        <v>180</v>
      </c>
      <c r="H26" s="31"/>
      <c r="I26" s="31">
        <f t="shared" si="7"/>
        <v>180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2" customHeight="1">
      <c r="A27" s="4" t="s">
        <v>71</v>
      </c>
      <c r="B27" s="999" t="s">
        <v>70</v>
      </c>
      <c r="C27" s="999"/>
      <c r="D27" s="34">
        <f t="shared" si="4"/>
        <v>0</v>
      </c>
      <c r="E27" s="34">
        <f t="shared" si="5"/>
        <v>0</v>
      </c>
      <c r="F27" s="34">
        <f t="shared" si="6"/>
        <v>0</v>
      </c>
      <c r="G27" s="31"/>
      <c r="H27" s="31"/>
      <c r="I27" s="31">
        <f t="shared" si="7"/>
        <v>0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s="48" customFormat="1" ht="12" customHeight="1">
      <c r="A28" s="6" t="s">
        <v>72</v>
      </c>
      <c r="B28" s="998" t="s">
        <v>156</v>
      </c>
      <c r="C28" s="998"/>
      <c r="D28" s="59">
        <f t="shared" si="4"/>
        <v>180</v>
      </c>
      <c r="E28" s="59">
        <f t="shared" si="5"/>
        <v>0</v>
      </c>
      <c r="F28" s="59">
        <f t="shared" si="6"/>
        <v>180</v>
      </c>
      <c r="G28" s="63">
        <f>+G26+G27</f>
        <v>180</v>
      </c>
      <c r="H28" s="63">
        <f t="shared" ref="H28:U28" si="12">+H26+H27</f>
        <v>0</v>
      </c>
      <c r="I28" s="63">
        <f t="shared" si="12"/>
        <v>180</v>
      </c>
      <c r="J28" s="63">
        <f t="shared" si="12"/>
        <v>0</v>
      </c>
      <c r="K28" s="63">
        <f t="shared" si="12"/>
        <v>0</v>
      </c>
      <c r="L28" s="63">
        <f t="shared" si="12"/>
        <v>0</v>
      </c>
      <c r="M28" s="63">
        <f t="shared" si="12"/>
        <v>0</v>
      </c>
      <c r="N28" s="63">
        <f t="shared" si="12"/>
        <v>0</v>
      </c>
      <c r="O28" s="63">
        <f t="shared" si="12"/>
        <v>0</v>
      </c>
      <c r="P28" s="63">
        <f t="shared" si="12"/>
        <v>0</v>
      </c>
      <c r="Q28" s="63">
        <f t="shared" si="12"/>
        <v>0</v>
      </c>
      <c r="R28" s="63">
        <f t="shared" si="12"/>
        <v>0</v>
      </c>
      <c r="S28" s="63">
        <f t="shared" si="12"/>
        <v>0</v>
      </c>
      <c r="T28" s="63">
        <f t="shared" si="12"/>
        <v>0</v>
      </c>
      <c r="U28" s="63">
        <f t="shared" si="12"/>
        <v>0</v>
      </c>
    </row>
    <row r="29" spans="1:21" ht="12" customHeight="1">
      <c r="A29" s="4" t="s">
        <v>74</v>
      </c>
      <c r="B29" s="999" t="s">
        <v>73</v>
      </c>
      <c r="C29" s="999"/>
      <c r="D29" s="34">
        <f t="shared" si="4"/>
        <v>175</v>
      </c>
      <c r="E29" s="34">
        <f t="shared" si="5"/>
        <v>0</v>
      </c>
      <c r="F29" s="34">
        <f t="shared" si="6"/>
        <v>175</v>
      </c>
      <c r="G29" s="31">
        <v>86</v>
      </c>
      <c r="H29" s="31"/>
      <c r="I29" s="31">
        <f t="shared" si="7"/>
        <v>86</v>
      </c>
      <c r="J29" s="31"/>
      <c r="K29" s="31"/>
      <c r="L29" s="31"/>
      <c r="M29" s="31">
        <v>89</v>
      </c>
      <c r="N29" s="31"/>
      <c r="O29" s="31">
        <f t="shared" ref="O29" si="13">+M29+N29</f>
        <v>89</v>
      </c>
      <c r="P29" s="31"/>
      <c r="Q29" s="31"/>
      <c r="R29" s="31"/>
      <c r="S29" s="31"/>
      <c r="T29" s="31"/>
      <c r="U29" s="31"/>
    </row>
    <row r="30" spans="1:21" ht="12" customHeight="1">
      <c r="A30" s="4" t="s">
        <v>76</v>
      </c>
      <c r="B30" s="999" t="s">
        <v>75</v>
      </c>
      <c r="C30" s="999"/>
      <c r="D30" s="34">
        <f t="shared" si="4"/>
        <v>0</v>
      </c>
      <c r="E30" s="34">
        <f t="shared" si="5"/>
        <v>0</v>
      </c>
      <c r="F30" s="34">
        <f t="shared" si="6"/>
        <v>0</v>
      </c>
      <c r="G30" s="31"/>
      <c r="H30" s="31"/>
      <c r="I30" s="31">
        <f t="shared" si="7"/>
        <v>0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</row>
    <row r="31" spans="1:21" ht="12" customHeight="1">
      <c r="A31" s="4" t="s">
        <v>77</v>
      </c>
      <c r="B31" s="999" t="s">
        <v>155</v>
      </c>
      <c r="C31" s="999"/>
      <c r="D31" s="34">
        <f t="shared" si="4"/>
        <v>0</v>
      </c>
      <c r="E31" s="34">
        <f t="shared" si="5"/>
        <v>0</v>
      </c>
      <c r="F31" s="34">
        <f t="shared" si="6"/>
        <v>0</v>
      </c>
      <c r="G31" s="31"/>
      <c r="H31" s="31"/>
      <c r="I31" s="31">
        <f t="shared" si="7"/>
        <v>0</v>
      </c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</row>
    <row r="32" spans="1:21" ht="12" customHeight="1">
      <c r="A32" s="4" t="s">
        <v>78</v>
      </c>
      <c r="B32" s="999" t="s">
        <v>154</v>
      </c>
      <c r="C32" s="999"/>
      <c r="D32" s="34">
        <f t="shared" si="4"/>
        <v>0</v>
      </c>
      <c r="E32" s="34">
        <f t="shared" si="5"/>
        <v>0</v>
      </c>
      <c r="F32" s="34">
        <f t="shared" si="6"/>
        <v>0</v>
      </c>
      <c r="G32" s="31"/>
      <c r="H32" s="31"/>
      <c r="I32" s="31">
        <f t="shared" si="7"/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</row>
    <row r="33" spans="1:21" ht="12" customHeight="1">
      <c r="A33" s="4" t="s">
        <v>80</v>
      </c>
      <c r="B33" s="999" t="s">
        <v>79</v>
      </c>
      <c r="C33" s="999"/>
      <c r="D33" s="34">
        <f t="shared" si="4"/>
        <v>0</v>
      </c>
      <c r="E33" s="34">
        <f t="shared" si="5"/>
        <v>0</v>
      </c>
      <c r="F33" s="34">
        <f t="shared" si="6"/>
        <v>0</v>
      </c>
      <c r="G33" s="31"/>
      <c r="H33" s="31"/>
      <c r="I33" s="31">
        <f t="shared" si="7"/>
        <v>0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</row>
    <row r="34" spans="1:21" s="48" customFormat="1" ht="12" customHeight="1">
      <c r="A34" s="6" t="s">
        <v>81</v>
      </c>
      <c r="B34" s="998" t="s">
        <v>153</v>
      </c>
      <c r="C34" s="998"/>
      <c r="D34" s="59">
        <f t="shared" si="4"/>
        <v>175</v>
      </c>
      <c r="E34" s="59">
        <f t="shared" si="5"/>
        <v>0</v>
      </c>
      <c r="F34" s="59">
        <f t="shared" si="6"/>
        <v>175</v>
      </c>
      <c r="G34" s="63">
        <f>SUM(G29:G33)</f>
        <v>86</v>
      </c>
      <c r="H34" s="63">
        <f t="shared" ref="H34:U34" si="14">SUM(H29:H33)</f>
        <v>0</v>
      </c>
      <c r="I34" s="63">
        <f t="shared" si="14"/>
        <v>86</v>
      </c>
      <c r="J34" s="63">
        <f t="shared" si="14"/>
        <v>0</v>
      </c>
      <c r="K34" s="63">
        <f t="shared" si="14"/>
        <v>0</v>
      </c>
      <c r="L34" s="63">
        <f t="shared" si="14"/>
        <v>0</v>
      </c>
      <c r="M34" s="63">
        <f t="shared" si="14"/>
        <v>89</v>
      </c>
      <c r="N34" s="63">
        <f t="shared" si="14"/>
        <v>0</v>
      </c>
      <c r="O34" s="63">
        <f t="shared" si="14"/>
        <v>89</v>
      </c>
      <c r="P34" s="63">
        <f t="shared" si="14"/>
        <v>0</v>
      </c>
      <c r="Q34" s="63">
        <f t="shared" si="14"/>
        <v>0</v>
      </c>
      <c r="R34" s="63">
        <f t="shared" si="14"/>
        <v>0</v>
      </c>
      <c r="S34" s="63">
        <f t="shared" si="14"/>
        <v>0</v>
      </c>
      <c r="T34" s="63">
        <f t="shared" si="14"/>
        <v>0</v>
      </c>
      <c r="U34" s="63">
        <f t="shared" si="14"/>
        <v>0</v>
      </c>
    </row>
    <row r="35" spans="1:21" s="48" customFormat="1" ht="12" customHeight="1">
      <c r="A35" s="7" t="s">
        <v>82</v>
      </c>
      <c r="B35" s="995" t="s">
        <v>152</v>
      </c>
      <c r="C35" s="995"/>
      <c r="D35" s="60">
        <f t="shared" ref="D35:U35" si="15">+D34+D28+D25+D17+D14</f>
        <v>2075</v>
      </c>
      <c r="E35" s="60">
        <f t="shared" ref="E35:F35" si="16">+E34+E28+E25+E17+E14</f>
        <v>0</v>
      </c>
      <c r="F35" s="60">
        <f t="shared" si="16"/>
        <v>2075</v>
      </c>
      <c r="G35" s="60">
        <f t="shared" si="15"/>
        <v>669</v>
      </c>
      <c r="H35" s="60">
        <f t="shared" si="15"/>
        <v>0</v>
      </c>
      <c r="I35" s="60">
        <f t="shared" si="15"/>
        <v>669</v>
      </c>
      <c r="J35" s="60">
        <f t="shared" si="15"/>
        <v>497</v>
      </c>
      <c r="K35" s="60">
        <f t="shared" si="15"/>
        <v>0</v>
      </c>
      <c r="L35" s="60">
        <f t="shared" si="15"/>
        <v>497</v>
      </c>
      <c r="M35" s="60">
        <f t="shared" si="15"/>
        <v>409</v>
      </c>
      <c r="N35" s="60">
        <f t="shared" si="15"/>
        <v>0</v>
      </c>
      <c r="O35" s="60">
        <f t="shared" si="15"/>
        <v>409</v>
      </c>
      <c r="P35" s="60">
        <f t="shared" si="15"/>
        <v>500</v>
      </c>
      <c r="Q35" s="60">
        <f t="shared" si="15"/>
        <v>0</v>
      </c>
      <c r="R35" s="60">
        <f t="shared" si="15"/>
        <v>500</v>
      </c>
      <c r="S35" s="60">
        <f t="shared" si="15"/>
        <v>0</v>
      </c>
      <c r="T35" s="60">
        <f t="shared" si="15"/>
        <v>0</v>
      </c>
      <c r="U35" s="60">
        <f t="shared" si="15"/>
        <v>0</v>
      </c>
    </row>
    <row r="36" spans="1:21" ht="9.75" customHeight="1">
      <c r="A36" s="8"/>
      <c r="B36" s="9"/>
      <c r="C36" s="9"/>
      <c r="D36" s="32"/>
      <c r="E36" s="32"/>
      <c r="F36" s="32"/>
      <c r="G36" s="32"/>
      <c r="H36" s="32"/>
      <c r="I36" s="33"/>
      <c r="J36" s="32"/>
      <c r="K36" s="32"/>
      <c r="L36" s="33"/>
      <c r="M36" s="32"/>
      <c r="N36" s="32"/>
      <c r="O36" s="33"/>
      <c r="P36" s="32"/>
      <c r="Q36" s="32"/>
      <c r="R36" s="33"/>
      <c r="S36" s="32"/>
      <c r="T36" s="32"/>
      <c r="U36" s="33"/>
    </row>
    <row r="37" spans="1:21" ht="12" customHeight="1">
      <c r="A37" s="13" t="s">
        <v>111</v>
      </c>
      <c r="B37" s="996" t="s">
        <v>110</v>
      </c>
      <c r="C37" s="996"/>
      <c r="D37" s="34">
        <f t="shared" ref="D37:D44" si="17">+G37+J37+M37+S37</f>
        <v>0</v>
      </c>
      <c r="E37" s="34">
        <f t="shared" ref="E37:E44" si="18">+H37+K37+N37+T37</f>
        <v>0</v>
      </c>
      <c r="F37" s="34">
        <f t="shared" ref="F37:F44" si="19">+I37+L37+O37+U37</f>
        <v>0</v>
      </c>
      <c r="G37" s="34"/>
      <c r="H37" s="34"/>
      <c r="I37" s="31">
        <f t="shared" ref="I37:I44" si="20">+G37+H37</f>
        <v>0</v>
      </c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</row>
    <row r="38" spans="1:21" ht="12" customHeight="1">
      <c r="A38" s="4" t="s">
        <v>112</v>
      </c>
      <c r="B38" s="999" t="s">
        <v>163</v>
      </c>
      <c r="C38" s="999"/>
      <c r="D38" s="34">
        <f t="shared" si="17"/>
        <v>0</v>
      </c>
      <c r="E38" s="34">
        <f t="shared" si="18"/>
        <v>0</v>
      </c>
      <c r="F38" s="34">
        <f t="shared" si="19"/>
        <v>0</v>
      </c>
      <c r="G38" s="31"/>
      <c r="H38" s="31"/>
      <c r="I38" s="31">
        <f t="shared" si="20"/>
        <v>0</v>
      </c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</row>
    <row r="39" spans="1:21" s="44" customFormat="1" ht="12" customHeight="1">
      <c r="A39" s="40" t="s">
        <v>112</v>
      </c>
      <c r="B39" s="43"/>
      <c r="C39" s="46" t="s">
        <v>113</v>
      </c>
      <c r="D39" s="34">
        <f t="shared" si="17"/>
        <v>0</v>
      </c>
      <c r="E39" s="34">
        <f t="shared" si="18"/>
        <v>0</v>
      </c>
      <c r="F39" s="34">
        <f t="shared" si="19"/>
        <v>0</v>
      </c>
      <c r="G39" s="57"/>
      <c r="H39" s="57"/>
      <c r="I39" s="31">
        <f t="shared" si="20"/>
        <v>0</v>
      </c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</row>
    <row r="40" spans="1:21" ht="12" customHeight="1">
      <c r="A40" s="4" t="s">
        <v>115</v>
      </c>
      <c r="B40" s="999" t="s">
        <v>114</v>
      </c>
      <c r="C40" s="999"/>
      <c r="D40" s="34">
        <f t="shared" si="17"/>
        <v>157</v>
      </c>
      <c r="E40" s="34">
        <f t="shared" si="18"/>
        <v>0</v>
      </c>
      <c r="F40" s="34">
        <f t="shared" si="19"/>
        <v>157</v>
      </c>
      <c r="G40" s="31">
        <v>157</v>
      </c>
      <c r="H40" s="31"/>
      <c r="I40" s="31">
        <f t="shared" si="20"/>
        <v>157</v>
      </c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</row>
    <row r="41" spans="1:21" ht="12" customHeight="1">
      <c r="A41" s="4" t="s">
        <v>117</v>
      </c>
      <c r="B41" s="999" t="s">
        <v>116</v>
      </c>
      <c r="C41" s="999"/>
      <c r="D41" s="34">
        <f t="shared" si="17"/>
        <v>95</v>
      </c>
      <c r="E41" s="34">
        <f t="shared" si="18"/>
        <v>0</v>
      </c>
      <c r="F41" s="34">
        <f t="shared" si="19"/>
        <v>95</v>
      </c>
      <c r="G41" s="31">
        <v>95</v>
      </c>
      <c r="H41" s="31"/>
      <c r="I41" s="31">
        <f t="shared" si="20"/>
        <v>95</v>
      </c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</row>
    <row r="42" spans="1:21" ht="12" customHeight="1">
      <c r="A42" s="4" t="s">
        <v>119</v>
      </c>
      <c r="B42" s="999" t="s">
        <v>118</v>
      </c>
      <c r="C42" s="999"/>
      <c r="D42" s="34">
        <f t="shared" si="17"/>
        <v>0</v>
      </c>
      <c r="E42" s="34">
        <f t="shared" si="18"/>
        <v>0</v>
      </c>
      <c r="F42" s="34">
        <f t="shared" si="19"/>
        <v>0</v>
      </c>
      <c r="G42" s="31"/>
      <c r="H42" s="31"/>
      <c r="I42" s="31">
        <f t="shared" si="20"/>
        <v>0</v>
      </c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</row>
    <row r="43" spans="1:21" ht="12" customHeight="1">
      <c r="A43" s="4" t="s">
        <v>121</v>
      </c>
      <c r="B43" s="999" t="s">
        <v>120</v>
      </c>
      <c r="C43" s="999"/>
      <c r="D43" s="34">
        <f t="shared" si="17"/>
        <v>0</v>
      </c>
      <c r="E43" s="34">
        <f t="shared" si="18"/>
        <v>0</v>
      </c>
      <c r="F43" s="34">
        <f t="shared" si="19"/>
        <v>0</v>
      </c>
      <c r="G43" s="31"/>
      <c r="H43" s="31"/>
      <c r="I43" s="31">
        <f t="shared" si="20"/>
        <v>0</v>
      </c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</row>
    <row r="44" spans="1:21" ht="12" customHeight="1">
      <c r="A44" s="4" t="s">
        <v>123</v>
      </c>
      <c r="B44" s="999" t="s">
        <v>122</v>
      </c>
      <c r="C44" s="999"/>
      <c r="D44" s="34">
        <f t="shared" si="17"/>
        <v>68</v>
      </c>
      <c r="E44" s="34">
        <f t="shared" si="18"/>
        <v>0</v>
      </c>
      <c r="F44" s="34">
        <f t="shared" si="19"/>
        <v>68</v>
      </c>
      <c r="G44" s="31">
        <f>25+43</f>
        <v>68</v>
      </c>
      <c r="H44" s="31"/>
      <c r="I44" s="31">
        <f t="shared" si="20"/>
        <v>68</v>
      </c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</row>
    <row r="45" spans="1:21" s="48" customFormat="1" ht="12" customHeight="1">
      <c r="A45" s="7" t="s">
        <v>124</v>
      </c>
      <c r="B45" s="995" t="s">
        <v>162</v>
      </c>
      <c r="C45" s="995"/>
      <c r="D45" s="60">
        <f>+D44+D43+D42+D41+D40+D38+D37</f>
        <v>320</v>
      </c>
      <c r="E45" s="60">
        <f t="shared" ref="E45:F45" si="21">+E44+E43+E42+E41+E40+E38+E37</f>
        <v>0</v>
      </c>
      <c r="F45" s="60">
        <f t="shared" si="21"/>
        <v>320</v>
      </c>
      <c r="G45" s="60">
        <f>+G44+G43+G42+G41+G40+G38+G37</f>
        <v>320</v>
      </c>
      <c r="H45" s="60">
        <f t="shared" ref="H45:U45" si="22">+H44+H43+H42+H41+H40+H38+H37</f>
        <v>0</v>
      </c>
      <c r="I45" s="60">
        <f t="shared" si="22"/>
        <v>320</v>
      </c>
      <c r="J45" s="60">
        <f t="shared" si="22"/>
        <v>0</v>
      </c>
      <c r="K45" s="60">
        <f t="shared" si="22"/>
        <v>0</v>
      </c>
      <c r="L45" s="60">
        <f t="shared" si="22"/>
        <v>0</v>
      </c>
      <c r="M45" s="60">
        <f t="shared" si="22"/>
        <v>0</v>
      </c>
      <c r="N45" s="60">
        <f t="shared" si="22"/>
        <v>0</v>
      </c>
      <c r="O45" s="60">
        <f t="shared" si="22"/>
        <v>0</v>
      </c>
      <c r="P45" s="60">
        <f t="shared" si="22"/>
        <v>0</v>
      </c>
      <c r="Q45" s="60">
        <f t="shared" si="22"/>
        <v>0</v>
      </c>
      <c r="R45" s="60">
        <f t="shared" si="22"/>
        <v>0</v>
      </c>
      <c r="S45" s="60">
        <f t="shared" si="22"/>
        <v>0</v>
      </c>
      <c r="T45" s="60">
        <f t="shared" si="22"/>
        <v>0</v>
      </c>
      <c r="U45" s="60">
        <f t="shared" si="22"/>
        <v>0</v>
      </c>
    </row>
    <row r="46" spans="1:21" ht="9" customHeight="1">
      <c r="A46" s="8"/>
      <c r="B46" s="9"/>
      <c r="C46" s="9"/>
      <c r="D46" s="32"/>
      <c r="E46" s="32"/>
      <c r="F46" s="32"/>
      <c r="G46" s="32"/>
      <c r="H46" s="32"/>
      <c r="I46" s="33"/>
      <c r="J46" s="32"/>
      <c r="K46" s="32"/>
      <c r="L46" s="33"/>
      <c r="M46" s="32"/>
      <c r="N46" s="32"/>
      <c r="O46" s="33"/>
      <c r="P46" s="32"/>
      <c r="Q46" s="32"/>
      <c r="R46" s="33"/>
      <c r="S46" s="32"/>
      <c r="T46" s="32"/>
      <c r="U46" s="33"/>
    </row>
    <row r="47" spans="1:21" ht="12" hidden="1" customHeight="1">
      <c r="A47" s="4" t="s">
        <v>126</v>
      </c>
      <c r="B47" s="999" t="s">
        <v>125</v>
      </c>
      <c r="C47" s="999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</row>
    <row r="48" spans="1:21" ht="12" hidden="1" customHeight="1">
      <c r="A48" s="4" t="s">
        <v>128</v>
      </c>
      <c r="B48" s="999" t="s">
        <v>127</v>
      </c>
      <c r="C48" s="999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</row>
    <row r="49" spans="1:21" ht="12" hidden="1" customHeight="1">
      <c r="A49" s="4" t="s">
        <v>130</v>
      </c>
      <c r="B49" s="999" t="s">
        <v>129</v>
      </c>
      <c r="C49" s="999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</row>
    <row r="50" spans="1:21" ht="15" hidden="1" customHeight="1">
      <c r="A50" s="4" t="s">
        <v>132</v>
      </c>
      <c r="B50" s="999" t="s">
        <v>131</v>
      </c>
      <c r="C50" s="999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</row>
    <row r="51" spans="1:21" s="48" customFormat="1" ht="12" customHeight="1">
      <c r="A51" s="7" t="s">
        <v>133</v>
      </c>
      <c r="B51" s="995" t="s">
        <v>161</v>
      </c>
      <c r="C51" s="995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</row>
    <row r="52" spans="1:21" ht="7.5" customHeight="1">
      <c r="A52" s="8"/>
      <c r="B52" s="9"/>
      <c r="C52" s="9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</row>
    <row r="53" spans="1:21" ht="12" hidden="1" customHeight="1">
      <c r="A53" s="203" t="s">
        <v>396</v>
      </c>
      <c r="B53" s="996" t="s">
        <v>397</v>
      </c>
      <c r="C53" s="996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</row>
    <row r="54" spans="1:21" ht="12" hidden="1" customHeight="1">
      <c r="A54" s="203" t="s">
        <v>412</v>
      </c>
      <c r="B54" s="1002" t="s">
        <v>413</v>
      </c>
      <c r="C54" s="1003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</row>
    <row r="55" spans="1:21" ht="12" hidden="1" customHeight="1">
      <c r="A55" s="13" t="s">
        <v>717</v>
      </c>
      <c r="B55" s="996" t="s">
        <v>160</v>
      </c>
      <c r="C55" s="996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</row>
    <row r="56" spans="1:21" s="48" customFormat="1" ht="12" customHeight="1">
      <c r="A56" s="16" t="s">
        <v>135</v>
      </c>
      <c r="B56" s="1000" t="s">
        <v>159</v>
      </c>
      <c r="C56" s="1000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</row>
    <row r="57" spans="1:21" ht="12" customHeight="1">
      <c r="A57" s="8"/>
      <c r="B57" s="17"/>
      <c r="C57" s="17"/>
      <c r="D57" s="32"/>
      <c r="E57" s="32"/>
      <c r="F57" s="32"/>
      <c r="G57" s="32"/>
      <c r="H57" s="32"/>
      <c r="I57" s="33"/>
      <c r="J57" s="32"/>
      <c r="K57" s="32"/>
      <c r="L57" s="33"/>
      <c r="M57" s="32"/>
      <c r="N57" s="32"/>
      <c r="O57" s="33"/>
      <c r="P57" s="32"/>
      <c r="Q57" s="32"/>
      <c r="R57" s="33"/>
      <c r="S57" s="32"/>
      <c r="T57" s="32"/>
      <c r="U57" s="33"/>
    </row>
    <row r="58" spans="1:21" s="48" customFormat="1" ht="12" customHeight="1">
      <c r="A58" s="18" t="s">
        <v>136</v>
      </c>
      <c r="B58" s="1011" t="s">
        <v>158</v>
      </c>
      <c r="C58" s="1011"/>
      <c r="D58" s="59">
        <f t="shared" ref="D58:U58" si="23">+D56+D51+D45+D35+D9+D7</f>
        <v>15439</v>
      </c>
      <c r="E58" s="59">
        <f t="shared" ref="E58:F58" si="24">+E56+E51+E45+E35+E9+E7</f>
        <v>0</v>
      </c>
      <c r="F58" s="59">
        <f t="shared" si="24"/>
        <v>15439</v>
      </c>
      <c r="G58" s="59">
        <f t="shared" si="23"/>
        <v>9860</v>
      </c>
      <c r="H58" s="59">
        <f t="shared" si="23"/>
        <v>0</v>
      </c>
      <c r="I58" s="59">
        <f t="shared" si="23"/>
        <v>9860</v>
      </c>
      <c r="J58" s="59">
        <f t="shared" si="23"/>
        <v>3587</v>
      </c>
      <c r="K58" s="59">
        <f t="shared" si="23"/>
        <v>0</v>
      </c>
      <c r="L58" s="59">
        <f t="shared" si="23"/>
        <v>3587</v>
      </c>
      <c r="M58" s="59">
        <f t="shared" si="23"/>
        <v>1492</v>
      </c>
      <c r="N58" s="59">
        <f t="shared" si="23"/>
        <v>0</v>
      </c>
      <c r="O58" s="59">
        <f t="shared" si="23"/>
        <v>1492</v>
      </c>
      <c r="P58" s="59">
        <f t="shared" si="23"/>
        <v>500</v>
      </c>
      <c r="Q58" s="59">
        <f t="shared" si="23"/>
        <v>0</v>
      </c>
      <c r="R58" s="59">
        <f t="shared" si="23"/>
        <v>500</v>
      </c>
      <c r="S58" s="59">
        <f t="shared" si="23"/>
        <v>0</v>
      </c>
      <c r="T58" s="59">
        <f t="shared" si="23"/>
        <v>0</v>
      </c>
      <c r="U58" s="59">
        <f t="shared" si="23"/>
        <v>0</v>
      </c>
    </row>
  </sheetData>
  <mergeCells count="61">
    <mergeCell ref="B54:C54"/>
    <mergeCell ref="B20:C20"/>
    <mergeCell ref="B21:C21"/>
    <mergeCell ref="S2:U2"/>
    <mergeCell ref="D2:F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3:C33"/>
    <mergeCell ref="B32:C32"/>
    <mergeCell ref="A2:A4"/>
    <mergeCell ref="B2:C4"/>
    <mergeCell ref="G2:I2"/>
    <mergeCell ref="J2:L2"/>
    <mergeCell ref="S3:U3"/>
    <mergeCell ref="P3:R3"/>
    <mergeCell ref="M3:O3"/>
    <mergeCell ref="M2:O2"/>
    <mergeCell ref="P2:R2"/>
    <mergeCell ref="S1:U1"/>
    <mergeCell ref="B5:C5"/>
    <mergeCell ref="B19:C19"/>
    <mergeCell ref="B6:C6"/>
    <mergeCell ref="B7:C7"/>
    <mergeCell ref="B9:C9"/>
    <mergeCell ref="B11:C11"/>
    <mergeCell ref="B12:C12"/>
    <mergeCell ref="B13:C13"/>
    <mergeCell ref="B14:C14"/>
    <mergeCell ref="B15:C15"/>
    <mergeCell ref="B16:C16"/>
    <mergeCell ref="B17:C17"/>
    <mergeCell ref="B18:C18"/>
    <mergeCell ref="B31:C31"/>
    <mergeCell ref="B41:C41"/>
    <mergeCell ref="B45:C45"/>
    <mergeCell ref="B47:C47"/>
    <mergeCell ref="B34:C34"/>
    <mergeCell ref="B35:C35"/>
    <mergeCell ref="B55:C55"/>
    <mergeCell ref="B58:C58"/>
    <mergeCell ref="G3:I3"/>
    <mergeCell ref="J3:L3"/>
    <mergeCell ref="B38:C38"/>
    <mergeCell ref="B48:C48"/>
    <mergeCell ref="B49:C49"/>
    <mergeCell ref="B50:C50"/>
    <mergeCell ref="B56:C56"/>
    <mergeCell ref="B40:C40"/>
    <mergeCell ref="B37:C37"/>
    <mergeCell ref="B53:C53"/>
    <mergeCell ref="B42:C42"/>
    <mergeCell ref="B43:C43"/>
    <mergeCell ref="B44:C44"/>
    <mergeCell ref="B51:C51"/>
  </mergeCells>
  <printOptions horizontalCentered="1"/>
  <pageMargins left="0.23622047244094491" right="0.27559055118110237" top="0.74803149606299213" bottom="0.15748031496062992" header="0.31496062992125984" footer="0.31496062992125984"/>
  <pageSetup paperSize="9" scale="75" orientation="landscape" r:id="rId1"/>
  <headerFooter>
    <oddHeader>&amp;C&amp;"Times New Roman,Félkövér"&amp;12Martonvásár Város Önkormányzatának kiadásai 2016.
Védőnői, iskola egészségügyi feladatok ellátása&amp;R&amp;"Times New Roman,Félkövér"&amp;12 5/d.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"/>
  <sheetViews>
    <sheetView workbookViewId="0">
      <selection activeCell="B24" sqref="B24:C24"/>
    </sheetView>
  </sheetViews>
  <sheetFormatPr defaultColWidth="9.109375" defaultRowHeight="13.2"/>
  <cols>
    <col min="1" max="1" width="7.5546875" style="464" customWidth="1"/>
    <col min="2" max="2" width="25.44140625" style="463" customWidth="1"/>
    <col min="3" max="3" width="7.44140625" style="463" customWidth="1"/>
    <col min="4" max="4" width="6.5546875" style="463" customWidth="1"/>
    <col min="5" max="5" width="6.6640625" style="463" customWidth="1"/>
    <col min="6" max="16384" width="9.109375" style="463"/>
  </cols>
  <sheetData>
    <row r="1" spans="1:14" ht="12" customHeight="1">
      <c r="C1" s="1009" t="s">
        <v>411</v>
      </c>
      <c r="D1" s="1009"/>
      <c r="E1" s="1009"/>
    </row>
    <row r="2" spans="1:14" s="467" customFormat="1" ht="28.5" customHeight="1">
      <c r="A2" s="1026" t="s">
        <v>284</v>
      </c>
      <c r="B2" s="1027"/>
      <c r="C2" s="1025" t="s">
        <v>527</v>
      </c>
      <c r="D2" s="1025"/>
      <c r="E2" s="1025"/>
      <c r="F2" s="463"/>
      <c r="G2" s="463"/>
      <c r="H2" s="463"/>
      <c r="I2" s="463"/>
      <c r="J2" s="463"/>
      <c r="K2" s="463"/>
      <c r="L2" s="463"/>
      <c r="M2" s="463"/>
      <c r="N2" s="463"/>
    </row>
    <row r="3" spans="1:14" s="467" customFormat="1" ht="26.4">
      <c r="A3" s="1021" t="s">
        <v>525</v>
      </c>
      <c r="B3" s="1022"/>
      <c r="C3" s="459" t="s">
        <v>178</v>
      </c>
      <c r="D3" s="673" t="s">
        <v>750</v>
      </c>
      <c r="E3" s="673" t="s">
        <v>752</v>
      </c>
      <c r="F3" s="463"/>
      <c r="G3" s="463"/>
      <c r="H3" s="463"/>
      <c r="I3" s="463"/>
      <c r="J3" s="463"/>
      <c r="K3" s="463"/>
      <c r="L3" s="463"/>
      <c r="M3" s="463"/>
      <c r="N3" s="463"/>
    </row>
    <row r="4" spans="1:14" s="467" customFormat="1">
      <c r="A4" s="656" t="s">
        <v>528</v>
      </c>
      <c r="B4" s="466" t="s">
        <v>734</v>
      </c>
      <c r="C4" s="478">
        <v>500</v>
      </c>
      <c r="D4" s="655"/>
      <c r="E4" s="604">
        <f>+C4+D4</f>
        <v>500</v>
      </c>
      <c r="F4" s="463"/>
      <c r="G4" s="463"/>
      <c r="H4" s="463"/>
      <c r="I4" s="463"/>
      <c r="J4" s="463"/>
      <c r="K4" s="463"/>
      <c r="L4" s="463"/>
      <c r="M4" s="463"/>
      <c r="N4" s="463"/>
    </row>
    <row r="5" spans="1:14" s="467" customFormat="1" ht="31.5" customHeight="1">
      <c r="A5" s="465" t="s">
        <v>528</v>
      </c>
      <c r="B5" s="466" t="s">
        <v>631</v>
      </c>
      <c r="C5" s="478">
        <v>600</v>
      </c>
      <c r="D5" s="478"/>
      <c r="E5" s="478">
        <f>+C5+D5</f>
        <v>600</v>
      </c>
    </row>
    <row r="6" spans="1:14" ht="39.6">
      <c r="A6" s="465" t="s">
        <v>528</v>
      </c>
      <c r="B6" s="466" t="s">
        <v>630</v>
      </c>
      <c r="C6" s="478">
        <v>21678</v>
      </c>
      <c r="D6" s="478">
        <v>-1158</v>
      </c>
      <c r="E6" s="478">
        <f>+C6+D6</f>
        <v>20520</v>
      </c>
      <c r="F6" s="467"/>
      <c r="G6" s="467"/>
      <c r="H6" s="467"/>
      <c r="I6" s="467"/>
      <c r="J6" s="467"/>
      <c r="K6" s="467"/>
      <c r="L6" s="467"/>
      <c r="M6" s="467"/>
      <c r="N6" s="467"/>
    </row>
    <row r="7" spans="1:14" ht="19.5" customHeight="1">
      <c r="A7" s="1023" t="s">
        <v>181</v>
      </c>
      <c r="B7" s="1024"/>
      <c r="C7" s="479">
        <f>SUM(C4:C6)</f>
        <v>22778</v>
      </c>
      <c r="D7" s="479">
        <f t="shared" ref="D7:E7" si="0">SUM(D4:D6)</f>
        <v>-1158</v>
      </c>
      <c r="E7" s="479">
        <f t="shared" si="0"/>
        <v>21620</v>
      </c>
    </row>
    <row r="8" spans="1:14" ht="19.5" customHeight="1">
      <c r="A8" s="648"/>
      <c r="B8" s="648"/>
      <c r="C8" s="649"/>
      <c r="D8" s="649"/>
      <c r="E8" s="649"/>
    </row>
    <row r="9" spans="1:14">
      <c r="A9" s="1028" t="s">
        <v>284</v>
      </c>
      <c r="B9" s="1028"/>
      <c r="C9" s="1025" t="s">
        <v>726</v>
      </c>
      <c r="D9" s="1025"/>
      <c r="E9" s="1025"/>
    </row>
    <row r="10" spans="1:14" ht="26.4">
      <c r="A10" s="1013" t="s">
        <v>525</v>
      </c>
      <c r="B10" s="1013"/>
      <c r="C10" s="459" t="s">
        <v>178</v>
      </c>
      <c r="D10" s="673" t="s">
        <v>750</v>
      </c>
      <c r="E10" s="673" t="s">
        <v>752</v>
      </c>
    </row>
    <row r="11" spans="1:14" ht="26.4">
      <c r="A11" s="465" t="s">
        <v>699</v>
      </c>
      <c r="B11" s="466" t="s">
        <v>695</v>
      </c>
      <c r="C11" s="758">
        <f>+'5.f. mell. Átadott pénzeszk.'!C8</f>
        <v>1822</v>
      </c>
      <c r="D11" s="758">
        <f>+'5.f. mell. Átadott pénzeszk.'!D8</f>
        <v>-1476</v>
      </c>
      <c r="E11" s="758">
        <f>+'5.f. mell. Átadott pénzeszk.'!E8</f>
        <v>346</v>
      </c>
    </row>
    <row r="12" spans="1:14" ht="26.4">
      <c r="A12" s="465" t="s">
        <v>707</v>
      </c>
      <c r="B12" s="466" t="s">
        <v>691</v>
      </c>
      <c r="C12" s="758">
        <f>+'5.f. mell. Átadott pénzeszk.'!C9</f>
        <v>2395</v>
      </c>
      <c r="D12" s="758">
        <f>+'5.f. mell. Átadott pénzeszk.'!D9</f>
        <v>-399</v>
      </c>
      <c r="E12" s="758">
        <f>+'5.f. mell. Átadott pénzeszk.'!E9</f>
        <v>1996</v>
      </c>
    </row>
    <row r="13" spans="1:14" ht="26.4">
      <c r="A13" s="465" t="s">
        <v>709</v>
      </c>
      <c r="B13" s="466" t="s">
        <v>692</v>
      </c>
      <c r="C13" s="758">
        <f>+'5.f. mell. Átadott pénzeszk.'!C10</f>
        <v>248</v>
      </c>
      <c r="D13" s="758">
        <f>+'5.f. mell. Átadott pénzeszk.'!D10</f>
        <v>2038</v>
      </c>
      <c r="E13" s="758">
        <f>+'5.f. mell. Átadott pénzeszk.'!E10</f>
        <v>2286</v>
      </c>
    </row>
    <row r="14" spans="1:14">
      <c r="A14" s="465" t="s">
        <v>706</v>
      </c>
      <c r="B14" s="466" t="s">
        <v>696</v>
      </c>
      <c r="C14" s="758">
        <f>+'5.f. mell. Átadott pénzeszk.'!C11</f>
        <v>1678</v>
      </c>
      <c r="D14" s="758">
        <f>+'5.f. mell. Átadott pénzeszk.'!D11</f>
        <v>1342</v>
      </c>
      <c r="E14" s="758">
        <f>+'5.f. mell. Átadott pénzeszk.'!E11</f>
        <v>3020</v>
      </c>
    </row>
    <row r="15" spans="1:14" ht="26.4">
      <c r="A15" s="465" t="s">
        <v>704</v>
      </c>
      <c r="B15" s="466" t="s">
        <v>697</v>
      </c>
      <c r="C15" s="758">
        <f>+'5.f. mell. Átadott pénzeszk.'!C12</f>
        <v>1005</v>
      </c>
      <c r="D15" s="758">
        <f>+'5.f. mell. Átadott pénzeszk.'!D12</f>
        <v>-42</v>
      </c>
      <c r="E15" s="758">
        <f>+'5.f. mell. Átadott pénzeszk.'!E12</f>
        <v>963</v>
      </c>
    </row>
    <row r="16" spans="1:14">
      <c r="A16" s="465" t="s">
        <v>710</v>
      </c>
      <c r="B16" s="466" t="s">
        <v>701</v>
      </c>
      <c r="C16" s="758">
        <f>+'5.f. mell. Átadott pénzeszk.'!C13</f>
        <v>1000</v>
      </c>
      <c r="D16" s="758">
        <f>+'5.f. mell. Átadott pénzeszk.'!D13</f>
        <v>-305</v>
      </c>
      <c r="E16" s="758">
        <f>+'5.f. mell. Átadott pénzeszk.'!E13</f>
        <v>695</v>
      </c>
    </row>
    <row r="17" spans="1:5">
      <c r="A17" s="1023" t="s">
        <v>181</v>
      </c>
      <c r="B17" s="1024"/>
      <c r="C17" s="479">
        <f>SUM(C11:C16)</f>
        <v>8148</v>
      </c>
      <c r="D17" s="479">
        <f t="shared" ref="D17:E17" si="1">SUM(D11:D16)</f>
        <v>1158</v>
      </c>
      <c r="E17" s="479">
        <f t="shared" si="1"/>
        <v>9306</v>
      </c>
    </row>
    <row r="18" spans="1:5">
      <c r="A18" s="650"/>
      <c r="B18" s="651"/>
      <c r="C18" s="652"/>
      <c r="D18" s="20"/>
      <c r="E18" s="20"/>
    </row>
    <row r="19" spans="1:5">
      <c r="A19" s="1028" t="s">
        <v>284</v>
      </c>
      <c r="B19" s="1028"/>
      <c r="C19" s="1025"/>
      <c r="D19" s="1025"/>
      <c r="E19" s="1025"/>
    </row>
    <row r="20" spans="1:5" ht="26.4">
      <c r="A20" s="1013" t="s">
        <v>525</v>
      </c>
      <c r="B20" s="1013"/>
      <c r="C20" s="459" t="s">
        <v>178</v>
      </c>
      <c r="D20" s="673" t="s">
        <v>750</v>
      </c>
      <c r="E20" s="673" t="s">
        <v>752</v>
      </c>
    </row>
    <row r="21" spans="1:5">
      <c r="A21" s="653"/>
      <c r="B21" s="21" t="s">
        <v>534</v>
      </c>
      <c r="C21" s="21">
        <v>540</v>
      </c>
      <c r="D21" s="21"/>
      <c r="E21" s="21">
        <f>+C21+D21</f>
        <v>540</v>
      </c>
    </row>
    <row r="22" spans="1:5">
      <c r="A22" s="1023" t="s">
        <v>181</v>
      </c>
      <c r="B22" s="1024"/>
      <c r="C22" s="479">
        <f>SUM(C21)</f>
        <v>540</v>
      </c>
      <c r="D22" s="479">
        <f>SUM(D20:D21)</f>
        <v>0</v>
      </c>
      <c r="E22" s="479">
        <f>SUM(E20:E21)</f>
        <v>540</v>
      </c>
    </row>
  </sheetData>
  <mergeCells count="13">
    <mergeCell ref="A20:B20"/>
    <mergeCell ref="A17:B17"/>
    <mergeCell ref="A22:B22"/>
    <mergeCell ref="A9:B9"/>
    <mergeCell ref="C9:E9"/>
    <mergeCell ref="A10:B10"/>
    <mergeCell ref="A19:B19"/>
    <mergeCell ref="C19:E19"/>
    <mergeCell ref="C1:E1"/>
    <mergeCell ref="A3:B3"/>
    <mergeCell ref="A7:B7"/>
    <mergeCell ref="C2:E2"/>
    <mergeCell ref="A2:B2"/>
  </mergeCells>
  <printOptions horizontalCentered="1"/>
  <pageMargins left="0.70866141732283472" right="0.70866141732283472" top="1.07" bottom="0.74803149606299213" header="0.31496062992125984" footer="0.31496062992125984"/>
  <pageSetup paperSize="9" orientation="portrait" r:id="rId1"/>
  <headerFooter>
    <oddHeader>&amp;C&amp;"Times New Roman,Félkövér"&amp;12Martonvásár Város Önkormányzatának kiadásai 2016.
Szociális feladatok ellátása&amp;R&amp;"Times New Roman,Félkövér"&amp;12 5/e. 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6"/>
  <sheetViews>
    <sheetView workbookViewId="0">
      <selection activeCell="B24" sqref="B24:C24"/>
    </sheetView>
  </sheetViews>
  <sheetFormatPr defaultColWidth="9.109375" defaultRowHeight="13.2"/>
  <cols>
    <col min="1" max="1" width="7.5546875" style="464" customWidth="1"/>
    <col min="2" max="2" width="29" style="463" customWidth="1"/>
    <col min="3" max="3" width="7.6640625" style="463" customWidth="1"/>
    <col min="4" max="4" width="6.5546875" style="463" customWidth="1"/>
    <col min="5" max="5" width="7.5546875" style="463" customWidth="1"/>
    <col min="6" max="6" width="7.88671875" style="463" customWidth="1"/>
    <col min="7" max="7" width="5.88671875" style="463" customWidth="1"/>
    <col min="8" max="11" width="7.44140625" style="463" customWidth="1"/>
    <col min="12" max="12" width="8.109375" style="463" customWidth="1"/>
    <col min="13" max="13" width="6.44140625" style="463" customWidth="1"/>
    <col min="14" max="14" width="7.88671875" style="463" customWidth="1"/>
    <col min="15" max="16384" width="9.109375" style="463"/>
  </cols>
  <sheetData>
    <row r="1" spans="1:14" ht="12.75" customHeight="1">
      <c r="A1" s="1041"/>
      <c r="B1" s="1042" t="s">
        <v>526</v>
      </c>
      <c r="C1" s="1043" t="s">
        <v>102</v>
      </c>
      <c r="D1" s="1043"/>
      <c r="E1" s="1043"/>
      <c r="F1" s="1043" t="s">
        <v>108</v>
      </c>
      <c r="G1" s="1043"/>
      <c r="H1" s="1043"/>
      <c r="I1" s="1043" t="s">
        <v>729</v>
      </c>
      <c r="J1" s="1043"/>
      <c r="K1" s="1043"/>
      <c r="L1" s="1029" t="s">
        <v>181</v>
      </c>
      <c r="M1" s="1030"/>
      <c r="N1" s="1031"/>
    </row>
    <row r="2" spans="1:14" ht="29.25" customHeight="1">
      <c r="A2" s="1041"/>
      <c r="B2" s="1042"/>
      <c r="C2" s="1025" t="s">
        <v>624</v>
      </c>
      <c r="D2" s="1025"/>
      <c r="E2" s="1025"/>
      <c r="F2" s="1025" t="s">
        <v>520</v>
      </c>
      <c r="G2" s="1025"/>
      <c r="H2" s="1025"/>
      <c r="I2" s="1025" t="s">
        <v>730</v>
      </c>
      <c r="J2" s="1025"/>
      <c r="K2" s="1025"/>
      <c r="L2" s="1032"/>
      <c r="M2" s="1033"/>
      <c r="N2" s="1034"/>
    </row>
    <row r="3" spans="1:14" ht="26.25" customHeight="1">
      <c r="A3" s="468" t="s">
        <v>525</v>
      </c>
      <c r="B3" s="469" t="s">
        <v>284</v>
      </c>
      <c r="C3" s="459" t="s">
        <v>178</v>
      </c>
      <c r="D3" s="673" t="s">
        <v>750</v>
      </c>
      <c r="E3" s="673" t="s">
        <v>752</v>
      </c>
      <c r="F3" s="459" t="s">
        <v>178</v>
      </c>
      <c r="G3" s="673" t="s">
        <v>750</v>
      </c>
      <c r="H3" s="673" t="s">
        <v>752</v>
      </c>
      <c r="I3" s="459" t="s">
        <v>178</v>
      </c>
      <c r="J3" s="673" t="s">
        <v>750</v>
      </c>
      <c r="K3" s="673" t="s">
        <v>752</v>
      </c>
      <c r="L3" s="459" t="s">
        <v>178</v>
      </c>
      <c r="M3" s="673" t="s">
        <v>750</v>
      </c>
      <c r="N3" s="673" t="s">
        <v>752</v>
      </c>
    </row>
    <row r="4" spans="1:14" s="467" customFormat="1" ht="15" customHeight="1">
      <c r="A4" s="465" t="s">
        <v>522</v>
      </c>
      <c r="B4" s="466" t="s">
        <v>523</v>
      </c>
      <c r="C4" s="478"/>
      <c r="D4" s="478"/>
      <c r="E4" s="478">
        <f>+C4+D4</f>
        <v>0</v>
      </c>
      <c r="F4" s="478">
        <v>3100</v>
      </c>
      <c r="G4" s="478">
        <v>100</v>
      </c>
      <c r="H4" s="478">
        <f>+F4+G4</f>
        <v>3200</v>
      </c>
      <c r="I4" s="478"/>
      <c r="J4" s="478"/>
      <c r="K4" s="478"/>
      <c r="L4" s="478">
        <f>+C4+F4+I4</f>
        <v>3100</v>
      </c>
      <c r="M4" s="478">
        <f t="shared" ref="M4:N4" si="0">+D4+G4+J4</f>
        <v>100</v>
      </c>
      <c r="N4" s="478">
        <f t="shared" si="0"/>
        <v>3200</v>
      </c>
    </row>
    <row r="5" spans="1:14" s="467" customFormat="1" ht="15" customHeight="1">
      <c r="A5" s="465" t="s">
        <v>522</v>
      </c>
      <c r="B5" s="466" t="s">
        <v>689</v>
      </c>
      <c r="C5" s="478"/>
      <c r="D5" s="478"/>
      <c r="E5" s="478"/>
      <c r="F5" s="478">
        <v>750</v>
      </c>
      <c r="G5" s="478"/>
      <c r="H5" s="478">
        <f t="shared" ref="H5:H6" si="1">+F5+G5</f>
        <v>750</v>
      </c>
      <c r="I5" s="478"/>
      <c r="J5" s="478"/>
      <c r="K5" s="478"/>
      <c r="L5" s="478">
        <f t="shared" ref="L5:L45" si="2">+C5+F5+I5</f>
        <v>750</v>
      </c>
      <c r="M5" s="478">
        <f t="shared" ref="M5:M46" si="3">+D5+G5+J5</f>
        <v>0</v>
      </c>
      <c r="N5" s="478">
        <f t="shared" ref="N5:N46" si="4">+E5+H5+K5</f>
        <v>750</v>
      </c>
    </row>
    <row r="6" spans="1:14" s="467" customFormat="1" ht="15" customHeight="1">
      <c r="A6" s="465" t="s">
        <v>524</v>
      </c>
      <c r="B6" s="466" t="s">
        <v>511</v>
      </c>
      <c r="C6" s="478"/>
      <c r="D6" s="478"/>
      <c r="E6" s="478"/>
      <c r="F6" s="478">
        <v>5500</v>
      </c>
      <c r="G6" s="478"/>
      <c r="H6" s="478">
        <f t="shared" si="1"/>
        <v>5500</v>
      </c>
      <c r="I6" s="478"/>
      <c r="J6" s="478"/>
      <c r="K6" s="478"/>
      <c r="L6" s="478">
        <f t="shared" si="2"/>
        <v>5500</v>
      </c>
      <c r="M6" s="478">
        <f t="shared" si="3"/>
        <v>0</v>
      </c>
      <c r="N6" s="478">
        <f t="shared" si="4"/>
        <v>5500</v>
      </c>
    </row>
    <row r="7" spans="1:14" s="467" customFormat="1" ht="15" customHeight="1">
      <c r="A7" s="1037" t="s">
        <v>529</v>
      </c>
      <c r="B7" s="1038"/>
      <c r="C7" s="478">
        <f>SUM(C8:C14)</f>
        <v>11268</v>
      </c>
      <c r="D7" s="478">
        <f t="shared" ref="D7:E7" si="5">SUM(D8:D14)</f>
        <v>9175</v>
      </c>
      <c r="E7" s="478">
        <f t="shared" si="5"/>
        <v>20443</v>
      </c>
      <c r="F7" s="478"/>
      <c r="G7" s="478"/>
      <c r="H7" s="478"/>
      <c r="I7" s="478"/>
      <c r="J7" s="478"/>
      <c r="K7" s="478"/>
      <c r="L7" s="478">
        <f t="shared" si="2"/>
        <v>11268</v>
      </c>
      <c r="M7" s="478">
        <f t="shared" si="3"/>
        <v>9175</v>
      </c>
      <c r="N7" s="478">
        <f t="shared" si="4"/>
        <v>20443</v>
      </c>
    </row>
    <row r="8" spans="1:14" s="658" customFormat="1" ht="15" customHeight="1">
      <c r="A8" s="657" t="s">
        <v>765</v>
      </c>
      <c r="B8" s="549" t="s">
        <v>695</v>
      </c>
      <c r="C8" s="551">
        <v>1822</v>
      </c>
      <c r="D8" s="551">
        <v>-1476</v>
      </c>
      <c r="E8" s="551">
        <f>+C8+D8</f>
        <v>346</v>
      </c>
      <c r="F8" s="551"/>
      <c r="G8" s="551"/>
      <c r="H8" s="551"/>
      <c r="I8" s="551"/>
      <c r="J8" s="551"/>
      <c r="K8" s="551"/>
      <c r="L8" s="551">
        <f t="shared" si="2"/>
        <v>1822</v>
      </c>
      <c r="M8" s="551">
        <f t="shared" si="3"/>
        <v>-1476</v>
      </c>
      <c r="N8" s="551">
        <f t="shared" si="4"/>
        <v>346</v>
      </c>
    </row>
    <row r="9" spans="1:14" s="658" customFormat="1" ht="15" customHeight="1">
      <c r="A9" s="657" t="s">
        <v>707</v>
      </c>
      <c r="B9" s="549" t="s">
        <v>691</v>
      </c>
      <c r="C9" s="551">
        <v>2395</v>
      </c>
      <c r="D9" s="551">
        <v>-399</v>
      </c>
      <c r="E9" s="551">
        <f t="shared" ref="E9:E14" si="6">+C9+D9</f>
        <v>1996</v>
      </c>
      <c r="F9" s="551"/>
      <c r="G9" s="551"/>
      <c r="H9" s="551"/>
      <c r="I9" s="551"/>
      <c r="J9" s="551"/>
      <c r="K9" s="551"/>
      <c r="L9" s="551">
        <f t="shared" si="2"/>
        <v>2395</v>
      </c>
      <c r="M9" s="551">
        <f t="shared" si="3"/>
        <v>-399</v>
      </c>
      <c r="N9" s="551">
        <f t="shared" si="4"/>
        <v>1996</v>
      </c>
    </row>
    <row r="10" spans="1:14" s="658" customFormat="1" ht="15" customHeight="1">
      <c r="A10" s="657" t="s">
        <v>709</v>
      </c>
      <c r="B10" s="549" t="s">
        <v>692</v>
      </c>
      <c r="C10" s="551">
        <v>248</v>
      </c>
      <c r="D10" s="551">
        <v>2038</v>
      </c>
      <c r="E10" s="551">
        <f t="shared" si="6"/>
        <v>2286</v>
      </c>
      <c r="F10" s="551"/>
      <c r="G10" s="551"/>
      <c r="H10" s="551"/>
      <c r="I10" s="551"/>
      <c r="J10" s="551"/>
      <c r="K10" s="551"/>
      <c r="L10" s="551">
        <f t="shared" si="2"/>
        <v>248</v>
      </c>
      <c r="M10" s="551">
        <f t="shared" si="3"/>
        <v>2038</v>
      </c>
      <c r="N10" s="551">
        <f t="shared" si="4"/>
        <v>2286</v>
      </c>
    </row>
    <row r="11" spans="1:14" s="658" customFormat="1" ht="15" customHeight="1">
      <c r="A11" s="657" t="s">
        <v>706</v>
      </c>
      <c r="B11" s="549" t="s">
        <v>696</v>
      </c>
      <c r="C11" s="551">
        <v>1678</v>
      </c>
      <c r="D11" s="551">
        <v>1342</v>
      </c>
      <c r="E11" s="551">
        <f t="shared" si="6"/>
        <v>3020</v>
      </c>
      <c r="F11" s="551"/>
      <c r="G11" s="551"/>
      <c r="H11" s="551"/>
      <c r="I11" s="551"/>
      <c r="J11" s="551"/>
      <c r="K11" s="551"/>
      <c r="L11" s="551">
        <f t="shared" si="2"/>
        <v>1678</v>
      </c>
      <c r="M11" s="551">
        <f t="shared" si="3"/>
        <v>1342</v>
      </c>
      <c r="N11" s="551">
        <f t="shared" si="4"/>
        <v>3020</v>
      </c>
    </row>
    <row r="12" spans="1:14" s="658" customFormat="1" ht="15" customHeight="1">
      <c r="A12" s="657" t="s">
        <v>704</v>
      </c>
      <c r="B12" s="549" t="s">
        <v>697</v>
      </c>
      <c r="C12" s="551">
        <v>1005</v>
      </c>
      <c r="D12" s="551">
        <v>-42</v>
      </c>
      <c r="E12" s="551">
        <f t="shared" si="6"/>
        <v>963</v>
      </c>
      <c r="F12" s="551"/>
      <c r="G12" s="551"/>
      <c r="H12" s="551"/>
      <c r="I12" s="551"/>
      <c r="J12" s="551"/>
      <c r="K12" s="551"/>
      <c r="L12" s="551">
        <f t="shared" si="2"/>
        <v>1005</v>
      </c>
      <c r="M12" s="551">
        <f t="shared" si="3"/>
        <v>-42</v>
      </c>
      <c r="N12" s="551">
        <f t="shared" si="4"/>
        <v>963</v>
      </c>
    </row>
    <row r="13" spans="1:14" s="658" customFormat="1" ht="15" customHeight="1">
      <c r="A13" s="657" t="s">
        <v>710</v>
      </c>
      <c r="B13" s="549" t="s">
        <v>701</v>
      </c>
      <c r="C13" s="551">
        <v>1000</v>
      </c>
      <c r="D13" s="551">
        <v>-305</v>
      </c>
      <c r="E13" s="551">
        <f t="shared" si="6"/>
        <v>695</v>
      </c>
      <c r="F13" s="551"/>
      <c r="G13" s="551"/>
      <c r="H13" s="551"/>
      <c r="I13" s="551"/>
      <c r="J13" s="551"/>
      <c r="K13" s="551"/>
      <c r="L13" s="551">
        <f t="shared" si="2"/>
        <v>1000</v>
      </c>
      <c r="M13" s="551">
        <f t="shared" si="3"/>
        <v>-305</v>
      </c>
      <c r="N13" s="551">
        <f t="shared" si="4"/>
        <v>695</v>
      </c>
    </row>
    <row r="14" spans="1:14" s="658" customFormat="1" ht="15" customHeight="1">
      <c r="A14" s="657" t="s">
        <v>512</v>
      </c>
      <c r="B14" s="549" t="s">
        <v>1033</v>
      </c>
      <c r="C14" s="551">
        <v>3120</v>
      </c>
      <c r="D14" s="551">
        <f>681+1615+5721</f>
        <v>8017</v>
      </c>
      <c r="E14" s="551">
        <f t="shared" si="6"/>
        <v>11137</v>
      </c>
      <c r="F14" s="551"/>
      <c r="G14" s="551"/>
      <c r="H14" s="551"/>
      <c r="I14" s="551"/>
      <c r="J14" s="551"/>
      <c r="K14" s="551"/>
      <c r="L14" s="551">
        <f t="shared" si="2"/>
        <v>3120</v>
      </c>
      <c r="M14" s="551">
        <f t="shared" si="3"/>
        <v>8017</v>
      </c>
      <c r="N14" s="551">
        <f t="shared" si="4"/>
        <v>11137</v>
      </c>
    </row>
    <row r="15" spans="1:14" s="467" customFormat="1" ht="15" customHeight="1">
      <c r="A15" s="1039" t="s">
        <v>732</v>
      </c>
      <c r="B15" s="1040"/>
      <c r="C15" s="478">
        <f>SUM(C16:C25)</f>
        <v>220069</v>
      </c>
      <c r="D15" s="478">
        <f t="shared" ref="D15:E15" si="7">SUM(D16:D25)</f>
        <v>0</v>
      </c>
      <c r="E15" s="478">
        <f t="shared" si="7"/>
        <v>220069</v>
      </c>
      <c r="F15" s="478"/>
      <c r="G15" s="478"/>
      <c r="H15" s="478"/>
      <c r="I15" s="478"/>
      <c r="J15" s="478"/>
      <c r="K15" s="478"/>
      <c r="L15" s="478">
        <f t="shared" si="2"/>
        <v>220069</v>
      </c>
      <c r="M15" s="478">
        <f t="shared" si="3"/>
        <v>0</v>
      </c>
      <c r="N15" s="478">
        <f t="shared" si="4"/>
        <v>220069</v>
      </c>
    </row>
    <row r="16" spans="1:14" s="467" customFormat="1" ht="15" customHeight="1">
      <c r="A16" s="657" t="s">
        <v>735</v>
      </c>
      <c r="B16" s="549" t="s">
        <v>736</v>
      </c>
      <c r="C16" s="551">
        <v>155601</v>
      </c>
      <c r="D16" s="478"/>
      <c r="E16" s="478">
        <f>+C16+D16</f>
        <v>155601</v>
      </c>
      <c r="F16" s="478"/>
      <c r="G16" s="478"/>
      <c r="H16" s="478"/>
      <c r="I16" s="478"/>
      <c r="J16" s="478"/>
      <c r="K16" s="478"/>
      <c r="L16" s="478">
        <f>SUM(C16:K16)</f>
        <v>311202</v>
      </c>
      <c r="M16" s="478"/>
      <c r="N16" s="478">
        <f t="shared" si="4"/>
        <v>155601</v>
      </c>
    </row>
    <row r="17" spans="1:14" s="658" customFormat="1" ht="15" customHeight="1">
      <c r="A17" s="657" t="s">
        <v>708</v>
      </c>
      <c r="B17" s="549" t="s">
        <v>700</v>
      </c>
      <c r="C17" s="551">
        <v>3886</v>
      </c>
      <c r="D17" s="551"/>
      <c r="E17" s="478">
        <f t="shared" ref="E17:E25" si="8">+C17+D17</f>
        <v>3886</v>
      </c>
      <c r="F17" s="551"/>
      <c r="G17" s="551"/>
      <c r="H17" s="551"/>
      <c r="I17" s="551"/>
      <c r="J17" s="551"/>
      <c r="K17" s="551"/>
      <c r="L17" s="551">
        <f t="shared" si="2"/>
        <v>3886</v>
      </c>
      <c r="M17" s="551">
        <f t="shared" si="3"/>
        <v>0</v>
      </c>
      <c r="N17" s="551">
        <f t="shared" si="4"/>
        <v>3886</v>
      </c>
    </row>
    <row r="18" spans="1:14" s="658" customFormat="1" ht="15" customHeight="1">
      <c r="A18" s="657" t="s">
        <v>707</v>
      </c>
      <c r="B18" s="549" t="s">
        <v>691</v>
      </c>
      <c r="C18" s="551">
        <v>15000</v>
      </c>
      <c r="D18" s="551"/>
      <c r="E18" s="478">
        <f t="shared" si="8"/>
        <v>15000</v>
      </c>
      <c r="F18" s="551"/>
      <c r="G18" s="551"/>
      <c r="H18" s="551"/>
      <c r="I18" s="551"/>
      <c r="J18" s="551"/>
      <c r="K18" s="551"/>
      <c r="L18" s="551">
        <f t="shared" si="2"/>
        <v>15000</v>
      </c>
      <c r="M18" s="551">
        <f t="shared" si="3"/>
        <v>0</v>
      </c>
      <c r="N18" s="551">
        <f t="shared" si="4"/>
        <v>15000</v>
      </c>
    </row>
    <row r="19" spans="1:14" s="658" customFormat="1" ht="15" customHeight="1">
      <c r="A19" s="657" t="s">
        <v>709</v>
      </c>
      <c r="B19" s="549" t="s">
        <v>692</v>
      </c>
      <c r="C19" s="551">
        <v>9900</v>
      </c>
      <c r="D19" s="551"/>
      <c r="E19" s="478">
        <f t="shared" si="8"/>
        <v>9900</v>
      </c>
      <c r="F19" s="551"/>
      <c r="G19" s="551"/>
      <c r="H19" s="551"/>
      <c r="I19" s="551"/>
      <c r="J19" s="551"/>
      <c r="K19" s="551"/>
      <c r="L19" s="551">
        <f t="shared" si="2"/>
        <v>9900</v>
      </c>
      <c r="M19" s="551">
        <f t="shared" si="3"/>
        <v>0</v>
      </c>
      <c r="N19" s="551">
        <f t="shared" si="4"/>
        <v>9900</v>
      </c>
    </row>
    <row r="20" spans="1:14" s="658" customFormat="1" ht="15" customHeight="1">
      <c r="A20" s="657" t="s">
        <v>710</v>
      </c>
      <c r="B20" s="549" t="s">
        <v>701</v>
      </c>
      <c r="C20" s="551">
        <v>996</v>
      </c>
      <c r="D20" s="551"/>
      <c r="E20" s="478">
        <f t="shared" si="8"/>
        <v>996</v>
      </c>
      <c r="F20" s="551"/>
      <c r="G20" s="551"/>
      <c r="H20" s="551"/>
      <c r="I20" s="551"/>
      <c r="J20" s="551"/>
      <c r="K20" s="551"/>
      <c r="L20" s="551">
        <f t="shared" si="2"/>
        <v>996</v>
      </c>
      <c r="M20" s="551">
        <f t="shared" si="3"/>
        <v>0</v>
      </c>
      <c r="N20" s="551">
        <f t="shared" si="4"/>
        <v>996</v>
      </c>
    </row>
    <row r="21" spans="1:14" s="658" customFormat="1" ht="15" customHeight="1">
      <c r="A21" s="657" t="s">
        <v>706</v>
      </c>
      <c r="B21" s="549" t="s">
        <v>696</v>
      </c>
      <c r="C21" s="551">
        <v>20358</v>
      </c>
      <c r="D21" s="551"/>
      <c r="E21" s="478">
        <f t="shared" si="8"/>
        <v>20358</v>
      </c>
      <c r="F21" s="551"/>
      <c r="G21" s="551"/>
      <c r="H21" s="551"/>
      <c r="I21" s="551"/>
      <c r="J21" s="551"/>
      <c r="K21" s="551"/>
      <c r="L21" s="551">
        <f t="shared" si="2"/>
        <v>20358</v>
      </c>
      <c r="M21" s="551">
        <f t="shared" si="3"/>
        <v>0</v>
      </c>
      <c r="N21" s="551">
        <f t="shared" si="4"/>
        <v>20358</v>
      </c>
    </row>
    <row r="22" spans="1:14" s="658" customFormat="1" ht="15" customHeight="1">
      <c r="A22" s="657" t="s">
        <v>705</v>
      </c>
      <c r="B22" s="549" t="s">
        <v>702</v>
      </c>
      <c r="C22" s="551">
        <v>1145</v>
      </c>
      <c r="D22" s="551"/>
      <c r="E22" s="478">
        <f t="shared" si="8"/>
        <v>1145</v>
      </c>
      <c r="F22" s="551"/>
      <c r="G22" s="551"/>
      <c r="H22" s="551"/>
      <c r="I22" s="551"/>
      <c r="J22" s="551"/>
      <c r="K22" s="551"/>
      <c r="L22" s="551">
        <f t="shared" si="2"/>
        <v>1145</v>
      </c>
      <c r="M22" s="551">
        <f t="shared" si="3"/>
        <v>0</v>
      </c>
      <c r="N22" s="551">
        <f t="shared" si="4"/>
        <v>1145</v>
      </c>
    </row>
    <row r="23" spans="1:14" s="658" customFormat="1" ht="15" customHeight="1">
      <c r="A23" s="657" t="s">
        <v>765</v>
      </c>
      <c r="B23" s="549" t="s">
        <v>695</v>
      </c>
      <c r="C23" s="551">
        <v>2500</v>
      </c>
      <c r="D23" s="551"/>
      <c r="E23" s="478">
        <f t="shared" si="8"/>
        <v>2500</v>
      </c>
      <c r="F23" s="551"/>
      <c r="G23" s="551"/>
      <c r="H23" s="551"/>
      <c r="I23" s="551"/>
      <c r="J23" s="551"/>
      <c r="K23" s="551"/>
      <c r="L23" s="551">
        <f t="shared" si="2"/>
        <v>2500</v>
      </c>
      <c r="M23" s="551">
        <f t="shared" si="3"/>
        <v>0</v>
      </c>
      <c r="N23" s="551">
        <f t="shared" si="4"/>
        <v>2500</v>
      </c>
    </row>
    <row r="24" spans="1:14" s="658" customFormat="1" ht="15" customHeight="1">
      <c r="A24" s="657" t="s">
        <v>698</v>
      </c>
      <c r="B24" s="549" t="s">
        <v>703</v>
      </c>
      <c r="C24" s="551">
        <v>1743</v>
      </c>
      <c r="D24" s="551"/>
      <c r="E24" s="478">
        <f t="shared" si="8"/>
        <v>1743</v>
      </c>
      <c r="F24" s="551"/>
      <c r="G24" s="551"/>
      <c r="H24" s="551"/>
      <c r="I24" s="551"/>
      <c r="J24" s="551"/>
      <c r="K24" s="551"/>
      <c r="L24" s="551">
        <f t="shared" si="2"/>
        <v>1743</v>
      </c>
      <c r="M24" s="551">
        <f t="shared" si="3"/>
        <v>0</v>
      </c>
      <c r="N24" s="551">
        <f t="shared" si="4"/>
        <v>1743</v>
      </c>
    </row>
    <row r="25" spans="1:14" s="658" customFormat="1" ht="15" customHeight="1">
      <c r="A25" s="657" t="s">
        <v>704</v>
      </c>
      <c r="B25" s="549" t="s">
        <v>697</v>
      </c>
      <c r="C25" s="551">
        <v>8940</v>
      </c>
      <c r="D25" s="551"/>
      <c r="E25" s="478">
        <f t="shared" si="8"/>
        <v>8940</v>
      </c>
      <c r="F25" s="551"/>
      <c r="G25" s="551"/>
      <c r="H25" s="551"/>
      <c r="I25" s="551"/>
      <c r="J25" s="551"/>
      <c r="K25" s="551"/>
      <c r="L25" s="551">
        <f t="shared" si="2"/>
        <v>8940</v>
      </c>
      <c r="M25" s="551">
        <f t="shared" si="3"/>
        <v>0</v>
      </c>
      <c r="N25" s="551">
        <f t="shared" si="4"/>
        <v>8940</v>
      </c>
    </row>
    <row r="26" spans="1:14" s="467" customFormat="1" ht="15" customHeight="1">
      <c r="A26" s="1039" t="s">
        <v>731</v>
      </c>
      <c r="B26" s="1040"/>
      <c r="C26" s="478"/>
      <c r="D26" s="478"/>
      <c r="E26" s="478"/>
      <c r="F26" s="478"/>
      <c r="G26" s="478"/>
      <c r="H26" s="478"/>
      <c r="I26" s="478">
        <v>2000</v>
      </c>
      <c r="J26" s="478"/>
      <c r="K26" s="478">
        <f>+I26+J26</f>
        <v>2000</v>
      </c>
      <c r="L26" s="478">
        <f t="shared" si="2"/>
        <v>2000</v>
      </c>
      <c r="M26" s="478">
        <f t="shared" si="3"/>
        <v>0</v>
      </c>
      <c r="N26" s="478">
        <f t="shared" si="4"/>
        <v>2000</v>
      </c>
    </row>
    <row r="27" spans="1:14" s="467" customFormat="1" ht="15" customHeight="1">
      <c r="A27" s="465" t="s">
        <v>811</v>
      </c>
      <c r="B27" s="466" t="s">
        <v>1026</v>
      </c>
      <c r="C27" s="478"/>
      <c r="D27" s="478"/>
      <c r="E27" s="478"/>
      <c r="F27" s="478"/>
      <c r="G27" s="478">
        <v>6825</v>
      </c>
      <c r="H27" s="478">
        <f>+F27+G27</f>
        <v>6825</v>
      </c>
      <c r="I27" s="478"/>
      <c r="J27" s="478"/>
      <c r="K27" s="478"/>
      <c r="L27" s="478">
        <f t="shared" si="2"/>
        <v>0</v>
      </c>
      <c r="M27" s="478">
        <f t="shared" si="3"/>
        <v>6825</v>
      </c>
      <c r="N27" s="478">
        <f t="shared" si="4"/>
        <v>6825</v>
      </c>
    </row>
    <row r="28" spans="1:14" s="467" customFormat="1" ht="15" customHeight="1">
      <c r="A28" s="465" t="s">
        <v>814</v>
      </c>
      <c r="B28" s="466" t="s">
        <v>1032</v>
      </c>
      <c r="C28" s="478"/>
      <c r="D28" s="478"/>
      <c r="E28" s="478"/>
      <c r="F28" s="478"/>
      <c r="G28" s="478">
        <v>2583</v>
      </c>
      <c r="H28" s="478">
        <f>+F28+G28</f>
        <v>2583</v>
      </c>
      <c r="I28" s="478"/>
      <c r="J28" s="478"/>
      <c r="K28" s="478"/>
      <c r="L28" s="478">
        <f t="shared" ref="L28" si="9">+C28+F28+I28</f>
        <v>0</v>
      </c>
      <c r="M28" s="478">
        <f t="shared" ref="M28" si="10">+D28+G28+J28</f>
        <v>2583</v>
      </c>
      <c r="N28" s="478">
        <f t="shared" ref="N28" si="11">+E28+H28+K28</f>
        <v>2583</v>
      </c>
    </row>
    <row r="29" spans="1:14" s="467" customFormat="1" ht="15" customHeight="1">
      <c r="A29" s="465"/>
      <c r="B29" s="466" t="s">
        <v>688</v>
      </c>
      <c r="C29" s="478"/>
      <c r="D29" s="478"/>
      <c r="E29" s="478"/>
      <c r="F29" s="478">
        <v>2452</v>
      </c>
      <c r="G29" s="478"/>
      <c r="H29" s="478">
        <f>+F29+G29</f>
        <v>2452</v>
      </c>
      <c r="I29" s="478"/>
      <c r="J29" s="478"/>
      <c r="K29" s="478"/>
      <c r="L29" s="478">
        <f t="shared" ref="L29:L30" si="12">+C29+F29+I29</f>
        <v>2452</v>
      </c>
      <c r="M29" s="478">
        <f t="shared" ref="M29:M30" si="13">+D29+G29+J29</f>
        <v>0</v>
      </c>
      <c r="N29" s="478">
        <f t="shared" ref="N29:N30" si="14">+E29+H29+K29</f>
        <v>2452</v>
      </c>
    </row>
    <row r="30" spans="1:14" s="467" customFormat="1" ht="15" customHeight="1">
      <c r="A30" s="465" t="s">
        <v>814</v>
      </c>
      <c r="B30" s="466" t="s">
        <v>1027</v>
      </c>
      <c r="C30" s="478"/>
      <c r="D30" s="478"/>
      <c r="E30" s="478"/>
      <c r="F30" s="478"/>
      <c r="G30" s="478"/>
      <c r="H30" s="478">
        <f>+F30+G30</f>
        <v>0</v>
      </c>
      <c r="I30" s="478"/>
      <c r="J30" s="478">
        <v>4834</v>
      </c>
      <c r="K30" s="478">
        <f>+I30+J30</f>
        <v>4834</v>
      </c>
      <c r="L30" s="478">
        <f t="shared" si="12"/>
        <v>0</v>
      </c>
      <c r="M30" s="478">
        <f t="shared" si="13"/>
        <v>4834</v>
      </c>
      <c r="N30" s="478">
        <f t="shared" si="14"/>
        <v>4834</v>
      </c>
    </row>
    <row r="31" spans="1:14" s="467" customFormat="1" ht="15" customHeight="1">
      <c r="A31" s="465" t="s">
        <v>524</v>
      </c>
      <c r="B31" s="466" t="s">
        <v>1030</v>
      </c>
      <c r="C31" s="478"/>
      <c r="D31" s="478"/>
      <c r="E31" s="478"/>
      <c r="F31" s="478"/>
      <c r="G31" s="478"/>
      <c r="H31" s="478">
        <f>+F31+G31</f>
        <v>0</v>
      </c>
      <c r="I31" s="478"/>
      <c r="J31" s="478">
        <v>2139</v>
      </c>
      <c r="K31" s="478">
        <f>+I31+J31</f>
        <v>2139</v>
      </c>
      <c r="L31" s="478">
        <f t="shared" si="2"/>
        <v>0</v>
      </c>
      <c r="M31" s="478">
        <f t="shared" si="3"/>
        <v>2139</v>
      </c>
      <c r="N31" s="478">
        <f t="shared" si="4"/>
        <v>2139</v>
      </c>
    </row>
    <row r="32" spans="1:14" s="467" customFormat="1" ht="35.25" customHeight="1">
      <c r="A32" s="1037" t="s">
        <v>621</v>
      </c>
      <c r="B32" s="1038"/>
      <c r="C32" s="478"/>
      <c r="D32" s="478"/>
      <c r="E32" s="478"/>
      <c r="F32" s="478">
        <f>SUM(F33:F44)</f>
        <v>107457</v>
      </c>
      <c r="G32" s="478">
        <f t="shared" ref="G32:H32" si="15">SUM(G33:G44)</f>
        <v>0</v>
      </c>
      <c r="H32" s="478">
        <f t="shared" si="15"/>
        <v>107457</v>
      </c>
      <c r="I32" s="478"/>
      <c r="J32" s="478"/>
      <c r="K32" s="478"/>
      <c r="L32" s="478">
        <f t="shared" si="2"/>
        <v>107457</v>
      </c>
      <c r="M32" s="478">
        <f t="shared" si="3"/>
        <v>0</v>
      </c>
      <c r="N32" s="478">
        <f t="shared" si="4"/>
        <v>107457</v>
      </c>
    </row>
    <row r="33" spans="1:14" s="658" customFormat="1" ht="15" customHeight="1">
      <c r="A33" s="657"/>
      <c r="B33" s="549" t="s">
        <v>521</v>
      </c>
      <c r="C33" s="550"/>
      <c r="D33" s="551"/>
      <c r="E33" s="551"/>
      <c r="F33" s="551">
        <f>1110+2748+3792</f>
        <v>7650</v>
      </c>
      <c r="G33" s="551"/>
      <c r="H33" s="551">
        <f>+F33+G33</f>
        <v>7650</v>
      </c>
      <c r="I33" s="551"/>
      <c r="J33" s="551"/>
      <c r="K33" s="551"/>
      <c r="L33" s="551">
        <f t="shared" si="2"/>
        <v>7650</v>
      </c>
      <c r="M33" s="551">
        <f t="shared" si="3"/>
        <v>0</v>
      </c>
      <c r="N33" s="551">
        <f t="shared" si="4"/>
        <v>7650</v>
      </c>
    </row>
    <row r="34" spans="1:14" s="658" customFormat="1" ht="15" customHeight="1">
      <c r="A34" s="657"/>
      <c r="B34" s="549" t="s">
        <v>476</v>
      </c>
      <c r="C34" s="550"/>
      <c r="D34" s="551"/>
      <c r="E34" s="551"/>
      <c r="F34" s="551">
        <v>4589</v>
      </c>
      <c r="G34" s="551"/>
      <c r="H34" s="551">
        <f t="shared" ref="H34:H44" si="16">+F34+G34</f>
        <v>4589</v>
      </c>
      <c r="I34" s="551"/>
      <c r="J34" s="551"/>
      <c r="K34" s="551"/>
      <c r="L34" s="551">
        <f t="shared" si="2"/>
        <v>4589</v>
      </c>
      <c r="M34" s="551">
        <f t="shared" si="3"/>
        <v>0</v>
      </c>
      <c r="N34" s="551">
        <f t="shared" si="4"/>
        <v>4589</v>
      </c>
    </row>
    <row r="35" spans="1:14" s="658" customFormat="1" ht="15" customHeight="1">
      <c r="A35" s="657"/>
      <c r="B35" s="549" t="s">
        <v>513</v>
      </c>
      <c r="C35" s="550"/>
      <c r="D35" s="551"/>
      <c r="E35" s="551"/>
      <c r="F35" s="551">
        <v>5849</v>
      </c>
      <c r="G35" s="551"/>
      <c r="H35" s="551">
        <f t="shared" si="16"/>
        <v>5849</v>
      </c>
      <c r="I35" s="551"/>
      <c r="J35" s="551"/>
      <c r="K35" s="551"/>
      <c r="L35" s="551">
        <f t="shared" si="2"/>
        <v>5849</v>
      </c>
      <c r="M35" s="551">
        <f t="shared" si="3"/>
        <v>0</v>
      </c>
      <c r="N35" s="551">
        <f t="shared" si="4"/>
        <v>5849</v>
      </c>
    </row>
    <row r="36" spans="1:14" s="658" customFormat="1" ht="15" customHeight="1">
      <c r="A36" s="657"/>
      <c r="B36" s="549" t="s">
        <v>514</v>
      </c>
      <c r="C36" s="550"/>
      <c r="D36" s="551"/>
      <c r="E36" s="551"/>
      <c r="F36" s="551">
        <v>4897</v>
      </c>
      <c r="G36" s="551"/>
      <c r="H36" s="551">
        <f t="shared" si="16"/>
        <v>4897</v>
      </c>
      <c r="I36" s="551"/>
      <c r="J36" s="551"/>
      <c r="K36" s="551"/>
      <c r="L36" s="551">
        <f t="shared" si="2"/>
        <v>4897</v>
      </c>
      <c r="M36" s="551">
        <f t="shared" si="3"/>
        <v>0</v>
      </c>
      <c r="N36" s="551">
        <f t="shared" si="4"/>
        <v>4897</v>
      </c>
    </row>
    <row r="37" spans="1:14" s="658" customFormat="1" ht="15" customHeight="1">
      <c r="A37" s="657"/>
      <c r="B37" s="549" t="s">
        <v>515</v>
      </c>
      <c r="C37" s="550"/>
      <c r="D37" s="551"/>
      <c r="E37" s="551"/>
      <c r="F37" s="551">
        <v>5505</v>
      </c>
      <c r="G37" s="551"/>
      <c r="H37" s="551">
        <f t="shared" si="16"/>
        <v>5505</v>
      </c>
      <c r="I37" s="551"/>
      <c r="J37" s="551"/>
      <c r="K37" s="551"/>
      <c r="L37" s="551">
        <f t="shared" si="2"/>
        <v>5505</v>
      </c>
      <c r="M37" s="551">
        <f t="shared" si="3"/>
        <v>0</v>
      </c>
      <c r="N37" s="551">
        <f t="shared" si="4"/>
        <v>5505</v>
      </c>
    </row>
    <row r="38" spans="1:14" s="658" customFormat="1" ht="15" customHeight="1">
      <c r="A38" s="657"/>
      <c r="B38" s="549" t="s">
        <v>516</v>
      </c>
      <c r="C38" s="550"/>
      <c r="D38" s="551"/>
      <c r="E38" s="551"/>
      <c r="F38" s="551">
        <v>11846</v>
      </c>
      <c r="G38" s="551"/>
      <c r="H38" s="551">
        <f t="shared" si="16"/>
        <v>11846</v>
      </c>
      <c r="I38" s="551"/>
      <c r="J38" s="551"/>
      <c r="K38" s="551"/>
      <c r="L38" s="551">
        <f t="shared" si="2"/>
        <v>11846</v>
      </c>
      <c r="M38" s="551">
        <f t="shared" si="3"/>
        <v>0</v>
      </c>
      <c r="N38" s="551">
        <f t="shared" si="4"/>
        <v>11846</v>
      </c>
    </row>
    <row r="39" spans="1:14" s="658" customFormat="1" ht="15" customHeight="1">
      <c r="A39" s="657"/>
      <c r="B39" s="549" t="s">
        <v>517</v>
      </c>
      <c r="C39" s="550"/>
      <c r="D39" s="551"/>
      <c r="E39" s="551"/>
      <c r="F39" s="551">
        <v>14346</v>
      </c>
      <c r="G39" s="551"/>
      <c r="H39" s="551">
        <f t="shared" si="16"/>
        <v>14346</v>
      </c>
      <c r="I39" s="551"/>
      <c r="J39" s="551"/>
      <c r="K39" s="551"/>
      <c r="L39" s="551">
        <f t="shared" si="2"/>
        <v>14346</v>
      </c>
      <c r="M39" s="551">
        <f t="shared" si="3"/>
        <v>0</v>
      </c>
      <c r="N39" s="551">
        <f t="shared" si="4"/>
        <v>14346</v>
      </c>
    </row>
    <row r="40" spans="1:14" s="658" customFormat="1" ht="15" customHeight="1">
      <c r="A40" s="657"/>
      <c r="B40" s="549" t="s">
        <v>518</v>
      </c>
      <c r="C40" s="550"/>
      <c r="D40" s="551"/>
      <c r="E40" s="551"/>
      <c r="F40" s="551">
        <v>1282</v>
      </c>
      <c r="G40" s="551"/>
      <c r="H40" s="551">
        <f t="shared" si="16"/>
        <v>1282</v>
      </c>
      <c r="I40" s="551"/>
      <c r="J40" s="551"/>
      <c r="K40" s="551"/>
      <c r="L40" s="551">
        <f t="shared" si="2"/>
        <v>1282</v>
      </c>
      <c r="M40" s="551">
        <f t="shared" si="3"/>
        <v>0</v>
      </c>
      <c r="N40" s="551">
        <f t="shared" si="4"/>
        <v>1282</v>
      </c>
    </row>
    <row r="41" spans="1:14" s="658" customFormat="1" ht="15" customHeight="1">
      <c r="A41" s="657"/>
      <c r="B41" s="549" t="s">
        <v>592</v>
      </c>
      <c r="C41" s="550"/>
      <c r="D41" s="551"/>
      <c r="E41" s="551"/>
      <c r="F41" s="551">
        <v>31</v>
      </c>
      <c r="G41" s="551"/>
      <c r="H41" s="551">
        <f t="shared" si="16"/>
        <v>31</v>
      </c>
      <c r="I41" s="551"/>
      <c r="J41" s="551"/>
      <c r="K41" s="551"/>
      <c r="L41" s="551">
        <f t="shared" si="2"/>
        <v>31</v>
      </c>
      <c r="M41" s="551">
        <f t="shared" si="3"/>
        <v>0</v>
      </c>
      <c r="N41" s="551">
        <f t="shared" si="4"/>
        <v>31</v>
      </c>
    </row>
    <row r="42" spans="1:14" s="658" customFormat="1" ht="15" customHeight="1">
      <c r="A42" s="657"/>
      <c r="B42" s="549" t="s">
        <v>519</v>
      </c>
      <c r="C42" s="550"/>
      <c r="D42" s="551"/>
      <c r="E42" s="551"/>
      <c r="F42" s="551">
        <v>2452</v>
      </c>
      <c r="G42" s="551"/>
      <c r="H42" s="551">
        <f t="shared" si="16"/>
        <v>2452</v>
      </c>
      <c r="I42" s="551"/>
      <c r="J42" s="551"/>
      <c r="K42" s="551"/>
      <c r="L42" s="551">
        <f t="shared" si="2"/>
        <v>2452</v>
      </c>
      <c r="M42" s="551">
        <f t="shared" si="3"/>
        <v>0</v>
      </c>
      <c r="N42" s="551">
        <f t="shared" si="4"/>
        <v>2452</v>
      </c>
    </row>
    <row r="43" spans="1:14" s="658" customFormat="1" ht="15" customHeight="1">
      <c r="A43" s="657"/>
      <c r="B43" s="549" t="s">
        <v>535</v>
      </c>
      <c r="C43" s="550"/>
      <c r="D43" s="551"/>
      <c r="E43" s="551"/>
      <c r="F43" s="551">
        <v>38845</v>
      </c>
      <c r="G43" s="551"/>
      <c r="H43" s="551">
        <f t="shared" si="16"/>
        <v>38845</v>
      </c>
      <c r="I43" s="551"/>
      <c r="J43" s="551"/>
      <c r="K43" s="551"/>
      <c r="L43" s="551">
        <f t="shared" si="2"/>
        <v>38845</v>
      </c>
      <c r="M43" s="551">
        <f t="shared" si="3"/>
        <v>0</v>
      </c>
      <c r="N43" s="551">
        <f t="shared" si="4"/>
        <v>38845</v>
      </c>
    </row>
    <row r="44" spans="1:14" s="658" customFormat="1" ht="15" customHeight="1">
      <c r="A44" s="659"/>
      <c r="B44" s="552" t="s">
        <v>536</v>
      </c>
      <c r="C44" s="553"/>
      <c r="D44" s="554"/>
      <c r="E44" s="554"/>
      <c r="F44" s="554">
        <v>10165</v>
      </c>
      <c r="G44" s="554"/>
      <c r="H44" s="551">
        <f t="shared" si="16"/>
        <v>10165</v>
      </c>
      <c r="I44" s="554"/>
      <c r="J44" s="554"/>
      <c r="K44" s="554"/>
      <c r="L44" s="551">
        <f t="shared" si="2"/>
        <v>10165</v>
      </c>
      <c r="M44" s="551">
        <f t="shared" si="3"/>
        <v>0</v>
      </c>
      <c r="N44" s="551">
        <f t="shared" si="4"/>
        <v>10165</v>
      </c>
    </row>
    <row r="45" spans="1:14" s="467" customFormat="1" ht="26.25" customHeight="1" thickBot="1">
      <c r="A45" s="465"/>
      <c r="B45" s="466" t="s">
        <v>733</v>
      </c>
      <c r="C45" s="478"/>
      <c r="D45" s="478"/>
      <c r="E45" s="478"/>
      <c r="F45" s="478"/>
      <c r="G45" s="478"/>
      <c r="H45" s="478"/>
      <c r="I45" s="478">
        <v>2300</v>
      </c>
      <c r="J45" s="478">
        <f>544+800</f>
        <v>1344</v>
      </c>
      <c r="K45" s="478">
        <f>+I45+J45</f>
        <v>3644</v>
      </c>
      <c r="L45" s="478">
        <f t="shared" si="2"/>
        <v>2300</v>
      </c>
      <c r="M45" s="478">
        <f t="shared" si="3"/>
        <v>1344</v>
      </c>
      <c r="N45" s="478">
        <f t="shared" si="4"/>
        <v>3644</v>
      </c>
    </row>
    <row r="46" spans="1:14" ht="13.8" thickBot="1">
      <c r="A46" s="1035" t="s">
        <v>181</v>
      </c>
      <c r="B46" s="1036"/>
      <c r="C46" s="70">
        <f>+C15+C7</f>
        <v>231337</v>
      </c>
      <c r="D46" s="70">
        <f t="shared" ref="D46:E46" si="17">+D15+D7</f>
        <v>9175</v>
      </c>
      <c r="E46" s="70">
        <f t="shared" si="17"/>
        <v>240512</v>
      </c>
      <c r="F46" s="70">
        <f>SUM(F4:F32)</f>
        <v>119259</v>
      </c>
      <c r="G46" s="70">
        <f t="shared" ref="G46:H46" si="18">SUM(G4:G32)</f>
        <v>9508</v>
      </c>
      <c r="H46" s="70">
        <f t="shared" si="18"/>
        <v>128767</v>
      </c>
      <c r="I46" s="70">
        <f>SUM(I4:I45)</f>
        <v>4300</v>
      </c>
      <c r="J46" s="70">
        <f>SUM(J4:J45)</f>
        <v>8317</v>
      </c>
      <c r="K46" s="70">
        <f>SUM(K4:K45)</f>
        <v>12617</v>
      </c>
      <c r="L46" s="555">
        <f>+C46+F46+I46</f>
        <v>354896</v>
      </c>
      <c r="M46" s="555">
        <f t="shared" si="3"/>
        <v>27000</v>
      </c>
      <c r="N46" s="759">
        <f t="shared" si="4"/>
        <v>381896</v>
      </c>
    </row>
  </sheetData>
  <mergeCells count="14">
    <mergeCell ref="L1:N2"/>
    <mergeCell ref="F2:H2"/>
    <mergeCell ref="A46:B46"/>
    <mergeCell ref="A7:B7"/>
    <mergeCell ref="A15:B15"/>
    <mergeCell ref="A32:B32"/>
    <mergeCell ref="A1:A2"/>
    <mergeCell ref="B1:B2"/>
    <mergeCell ref="C1:E1"/>
    <mergeCell ref="F1:H1"/>
    <mergeCell ref="C2:E2"/>
    <mergeCell ref="I1:K1"/>
    <mergeCell ref="I2:K2"/>
    <mergeCell ref="A26:B26"/>
  </mergeCells>
  <pageMargins left="0.70866141732283472" right="0.70866141732283472" top="0.9055118110236221" bottom="0.74803149606299213" header="0.31496062992125984" footer="0.31496062992125984"/>
  <pageSetup paperSize="9" scale="70" orientation="portrait" r:id="rId1"/>
  <headerFooter>
    <oddHeader>&amp;C&amp;"Times New Roman,Félkövér"&amp;12Martonvásár Város Önkormányzatának kiadásai 2016.
Egyéb működési célú támogatások&amp;R&amp;"Times New Roman,Félkövér"&amp;12 5/f. melléklet
&amp;"Times New Roman,Normál"&amp;11Adatok E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AG102"/>
  <sheetViews>
    <sheetView workbookViewId="0">
      <pane xSplit="3" ySplit="5" topLeftCell="D6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AB68" sqref="AB68"/>
    </sheetView>
  </sheetViews>
  <sheetFormatPr defaultColWidth="9.109375" defaultRowHeight="14.4"/>
  <cols>
    <col min="1" max="1" width="6.109375" style="28" customWidth="1"/>
    <col min="2" max="2" width="7.109375" style="29" customWidth="1"/>
    <col min="3" max="3" width="42.44140625" style="29" customWidth="1"/>
    <col min="4" max="4" width="7.6640625" style="20" customWidth="1"/>
    <col min="5" max="5" width="8.33203125" style="20" customWidth="1"/>
    <col min="6" max="6" width="7.6640625" style="20" customWidth="1"/>
    <col min="7" max="7" width="7.33203125" style="20" customWidth="1"/>
    <col min="8" max="8" width="7.6640625" style="20" customWidth="1"/>
    <col min="9" max="10" width="6.88671875" style="20" customWidth="1"/>
    <col min="11" max="11" width="7.6640625" style="20" customWidth="1"/>
    <col min="12" max="12" width="6.5546875" style="20" customWidth="1"/>
    <col min="13" max="14" width="7.6640625" style="20" customWidth="1"/>
    <col min="15" max="15" width="6.88671875" style="20" customWidth="1"/>
    <col min="16" max="16" width="6.109375" style="20" customWidth="1"/>
    <col min="17" max="17" width="6.6640625" style="20" customWidth="1"/>
    <col min="18" max="19" width="7" style="20" customWidth="1"/>
    <col min="20" max="20" width="6.44140625" style="20" customWidth="1"/>
    <col min="21" max="21" width="7.44140625" style="20" customWidth="1"/>
    <col min="22" max="22" width="7.6640625" style="20" customWidth="1"/>
    <col min="23" max="23" width="5.88671875" style="20" customWidth="1"/>
    <col min="24" max="27" width="6.44140625" style="20" customWidth="1"/>
    <col min="28" max="29" width="8" style="20" customWidth="1"/>
    <col min="30" max="30" width="7.44140625" style="20" customWidth="1"/>
    <col min="31" max="33" width="8.88671875" customWidth="1"/>
    <col min="34" max="16384" width="9.109375" style="20"/>
  </cols>
  <sheetData>
    <row r="1" spans="1:30" s="1" customFormat="1" ht="15.6">
      <c r="A1" s="1055"/>
      <c r="B1" s="1055"/>
      <c r="C1" s="1055"/>
      <c r="D1" s="1055"/>
      <c r="E1" s="1055"/>
      <c r="F1" s="1055"/>
      <c r="G1" s="1055"/>
      <c r="H1" s="1055"/>
      <c r="I1" s="1055"/>
      <c r="J1" s="1055"/>
      <c r="K1" s="1055"/>
      <c r="L1" s="1055"/>
      <c r="M1" s="1055"/>
      <c r="N1" s="1055"/>
      <c r="O1" s="1055"/>
      <c r="P1" s="1055"/>
      <c r="Q1" s="1055"/>
      <c r="R1" s="1055"/>
      <c r="S1" s="1055"/>
      <c r="T1" s="1055"/>
      <c r="U1" s="1055"/>
      <c r="V1" s="1055"/>
      <c r="W1" s="1055"/>
      <c r="X1" s="1055"/>
      <c r="Y1" s="1055"/>
      <c r="Z1" s="1055"/>
      <c r="AA1" s="1055"/>
      <c r="AB1" s="1055"/>
      <c r="AC1" s="1055"/>
      <c r="AD1" s="1055"/>
    </row>
    <row r="2" spans="1:30" s="1" customFormat="1" ht="15.6">
      <c r="A2" s="1056"/>
      <c r="B2" s="1056"/>
      <c r="C2" s="1056"/>
      <c r="D2" s="1056"/>
      <c r="E2" s="1056"/>
      <c r="F2" s="1056"/>
      <c r="G2" s="1056"/>
      <c r="H2" s="1056"/>
      <c r="I2" s="1056"/>
      <c r="J2" s="1056"/>
      <c r="K2" s="1056"/>
      <c r="L2" s="1056"/>
      <c r="M2" s="1056"/>
      <c r="N2" s="1056"/>
      <c r="O2" s="1056"/>
      <c r="P2" s="1056"/>
      <c r="Q2" s="1056"/>
      <c r="R2" s="1056"/>
      <c r="S2" s="1056"/>
      <c r="T2" s="1056"/>
      <c r="U2" s="1056"/>
      <c r="V2" s="1056"/>
      <c r="W2" s="1056"/>
      <c r="X2" s="1056"/>
      <c r="Y2" s="1056"/>
      <c r="Z2" s="1056"/>
      <c r="AA2" s="1056"/>
      <c r="AB2" s="1056"/>
      <c r="AC2" s="1056"/>
      <c r="AD2" s="1056"/>
    </row>
    <row r="3" spans="1:30" s="35" customFormat="1" ht="38.25" customHeight="1">
      <c r="A3" s="997" t="s">
        <v>0</v>
      </c>
      <c r="B3" s="997" t="s">
        <v>183</v>
      </c>
      <c r="C3" s="997"/>
      <c r="D3" s="1013" t="s">
        <v>181</v>
      </c>
      <c r="E3" s="1013"/>
      <c r="F3" s="1013"/>
      <c r="G3" s="1020" t="s">
        <v>182</v>
      </c>
      <c r="H3" s="1020"/>
      <c r="I3" s="1020"/>
      <c r="J3" s="1014" t="s">
        <v>625</v>
      </c>
      <c r="K3" s="1015"/>
      <c r="L3" s="1016"/>
      <c r="M3" s="1013" t="s">
        <v>626</v>
      </c>
      <c r="N3" s="1013"/>
      <c r="O3" s="1013"/>
      <c r="P3" s="1014" t="s">
        <v>537</v>
      </c>
      <c r="Q3" s="1015"/>
      <c r="R3" s="1016"/>
      <c r="S3" s="1014" t="s">
        <v>194</v>
      </c>
      <c r="T3" s="1015"/>
      <c r="U3" s="1016"/>
      <c r="V3" s="1021" t="s">
        <v>534</v>
      </c>
      <c r="W3" s="1054"/>
      <c r="X3" s="1022"/>
      <c r="Y3" s="1057" t="s">
        <v>302</v>
      </c>
      <c r="Z3" s="1057"/>
      <c r="AA3" s="1057"/>
      <c r="AB3" s="1013" t="s">
        <v>267</v>
      </c>
      <c r="AC3" s="1013"/>
      <c r="AD3" s="1013"/>
    </row>
    <row r="4" spans="1:30" s="35" customFormat="1" ht="12.75" customHeight="1">
      <c r="A4" s="997"/>
      <c r="B4" s="997"/>
      <c r="C4" s="997"/>
      <c r="D4" s="1013"/>
      <c r="E4" s="1013"/>
      <c r="F4" s="1013"/>
      <c r="G4" s="1013" t="s">
        <v>190</v>
      </c>
      <c r="H4" s="1013"/>
      <c r="I4" s="1013"/>
      <c r="J4" s="1013" t="s">
        <v>190</v>
      </c>
      <c r="K4" s="1013"/>
      <c r="L4" s="1013"/>
      <c r="M4" s="1013" t="s">
        <v>190</v>
      </c>
      <c r="N4" s="1013"/>
      <c r="O4" s="1013"/>
      <c r="P4" s="1013" t="s">
        <v>190</v>
      </c>
      <c r="Q4" s="1013"/>
      <c r="R4" s="1013"/>
      <c r="S4" s="1013" t="s">
        <v>190</v>
      </c>
      <c r="T4" s="1013"/>
      <c r="U4" s="1013"/>
      <c r="V4" s="1013" t="s">
        <v>190</v>
      </c>
      <c r="W4" s="1013"/>
      <c r="X4" s="1013"/>
      <c r="Y4" s="1057" t="s">
        <v>191</v>
      </c>
      <c r="Z4" s="1057"/>
      <c r="AA4" s="1057"/>
      <c r="AB4" s="217"/>
      <c r="AC4" s="217"/>
      <c r="AD4" s="217"/>
    </row>
    <row r="5" spans="1:30" s="19" customFormat="1" ht="26.4">
      <c r="A5" s="997"/>
      <c r="B5" s="997"/>
      <c r="C5" s="997"/>
      <c r="D5" s="3" t="s">
        <v>178</v>
      </c>
      <c r="E5" s="673" t="s">
        <v>750</v>
      </c>
      <c r="F5" s="673" t="s">
        <v>752</v>
      </c>
      <c r="G5" s="673" t="s">
        <v>178</v>
      </c>
      <c r="H5" s="673" t="s">
        <v>750</v>
      </c>
      <c r="I5" s="673" t="s">
        <v>752</v>
      </c>
      <c r="J5" s="673" t="s">
        <v>178</v>
      </c>
      <c r="K5" s="673" t="s">
        <v>750</v>
      </c>
      <c r="L5" s="673" t="s">
        <v>752</v>
      </c>
      <c r="M5" s="673" t="s">
        <v>178</v>
      </c>
      <c r="N5" s="673" t="s">
        <v>750</v>
      </c>
      <c r="O5" s="673" t="s">
        <v>752</v>
      </c>
      <c r="P5" s="673" t="s">
        <v>178</v>
      </c>
      <c r="Q5" s="673" t="s">
        <v>750</v>
      </c>
      <c r="R5" s="673" t="s">
        <v>752</v>
      </c>
      <c r="S5" s="673" t="s">
        <v>178</v>
      </c>
      <c r="T5" s="673" t="s">
        <v>750</v>
      </c>
      <c r="U5" s="673" t="s">
        <v>752</v>
      </c>
      <c r="V5" s="673" t="s">
        <v>178</v>
      </c>
      <c r="W5" s="673" t="s">
        <v>750</v>
      </c>
      <c r="X5" s="673" t="s">
        <v>752</v>
      </c>
      <c r="Y5" s="673" t="s">
        <v>178</v>
      </c>
      <c r="Z5" s="673" t="s">
        <v>750</v>
      </c>
      <c r="AA5" s="673" t="s">
        <v>752</v>
      </c>
      <c r="AB5" s="673" t="s">
        <v>178</v>
      </c>
      <c r="AC5" s="673" t="s">
        <v>750</v>
      </c>
      <c r="AD5" s="673" t="s">
        <v>752</v>
      </c>
    </row>
    <row r="6" spans="1:30" s="48" customFormat="1" ht="12.9" customHeight="1">
      <c r="A6" s="6" t="s">
        <v>27</v>
      </c>
      <c r="B6" s="998" t="s">
        <v>175</v>
      </c>
      <c r="C6" s="998"/>
      <c r="D6" s="63">
        <f>+G6+M6+P6+S6+V6+AB6+J6+Y6</f>
        <v>11131</v>
      </c>
      <c r="E6" s="63">
        <f t="shared" ref="E6:F6" si="0">+H6+N6+Q6+T6+W6+AC6+K6+Z6</f>
        <v>19</v>
      </c>
      <c r="F6" s="63">
        <f t="shared" si="0"/>
        <v>11150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>
        <v>11131</v>
      </c>
      <c r="W6" s="63">
        <f>80-80+19</f>
        <v>19</v>
      </c>
      <c r="X6" s="63">
        <f>+V6+W6</f>
        <v>11150</v>
      </c>
      <c r="Y6" s="63"/>
      <c r="Z6" s="63"/>
      <c r="AA6" s="63"/>
      <c r="AB6" s="63"/>
      <c r="AC6" s="63"/>
      <c r="AD6" s="63"/>
    </row>
    <row r="7" spans="1:30" s="48" customFormat="1" ht="12.9" customHeight="1">
      <c r="A7" s="6" t="s">
        <v>34</v>
      </c>
      <c r="B7" s="998" t="s">
        <v>174</v>
      </c>
      <c r="C7" s="998"/>
      <c r="D7" s="63">
        <f>+G7+M7+P7+S7+V7+AB7+J7+Y7</f>
        <v>0</v>
      </c>
      <c r="E7" s="63">
        <f t="shared" ref="E7:E8" si="1">+H7+N7+Q7+T7+W7+AC7+K7+Z7</f>
        <v>0</v>
      </c>
      <c r="F7" s="63">
        <f t="shared" ref="F7:F8" si="2">+I7+O7+R7+U7+X7+AD7+L7+AA7</f>
        <v>0</v>
      </c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</row>
    <row r="8" spans="1:30" s="48" customFormat="1" ht="12.9" customHeight="1">
      <c r="A8" s="7" t="s">
        <v>35</v>
      </c>
      <c r="B8" s="995" t="s">
        <v>173</v>
      </c>
      <c r="C8" s="995"/>
      <c r="D8" s="63">
        <f>+G8+M8+P8+S8+V8+AB8+J8+Y8</f>
        <v>11131</v>
      </c>
      <c r="E8" s="63">
        <f t="shared" si="1"/>
        <v>19</v>
      </c>
      <c r="F8" s="63">
        <f t="shared" si="2"/>
        <v>11150</v>
      </c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>
        <f>SUM(V6:V7)</f>
        <v>11131</v>
      </c>
      <c r="W8" s="60">
        <f t="shared" ref="W8:X8" si="3">SUM(W6:W7)</f>
        <v>19</v>
      </c>
      <c r="X8" s="60">
        <f t="shared" si="3"/>
        <v>11150</v>
      </c>
      <c r="Y8" s="60"/>
      <c r="Z8" s="60"/>
      <c r="AA8" s="60"/>
      <c r="AB8" s="60"/>
      <c r="AC8" s="60"/>
      <c r="AD8" s="60"/>
    </row>
    <row r="9" spans="1:30" ht="10.5" customHeight="1">
      <c r="A9" s="8"/>
      <c r="B9" s="9"/>
      <c r="C9" s="9"/>
      <c r="D9" s="63"/>
      <c r="E9" s="63"/>
      <c r="F9" s="63"/>
      <c r="G9" s="32"/>
      <c r="H9" s="32"/>
      <c r="I9" s="33"/>
      <c r="J9" s="32"/>
      <c r="K9" s="32"/>
      <c r="L9" s="32"/>
      <c r="M9" s="32"/>
      <c r="N9" s="32"/>
      <c r="O9" s="32"/>
      <c r="P9" s="32"/>
      <c r="Q9" s="32"/>
      <c r="R9" s="33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0" s="48" customFormat="1" ht="12.9" customHeight="1">
      <c r="A10" s="6" t="s">
        <v>36</v>
      </c>
      <c r="B10" s="998" t="s">
        <v>172</v>
      </c>
      <c r="C10" s="998"/>
      <c r="D10" s="63">
        <f>+G10+M10+P10+S10+V10+AB10+J10+Y10</f>
        <v>3005</v>
      </c>
      <c r="E10" s="63">
        <f t="shared" ref="E10" si="4">+H10+N10+Q10+T10+W10+AC10+K10+Z10</f>
        <v>0</v>
      </c>
      <c r="F10" s="63">
        <f t="shared" ref="F10" si="5">+I10+O10+R10+U10+X10+AD10+L10+AA10</f>
        <v>3005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>
        <v>3005</v>
      </c>
      <c r="W10" s="59"/>
      <c r="X10" s="63">
        <f>+V10+W10</f>
        <v>3005</v>
      </c>
      <c r="Y10" s="59"/>
      <c r="Z10" s="59"/>
      <c r="AA10" s="59"/>
      <c r="AB10" s="59"/>
      <c r="AC10" s="59"/>
      <c r="AD10" s="59"/>
    </row>
    <row r="11" spans="1:30" ht="10.5" customHeight="1">
      <c r="A11" s="11"/>
      <c r="B11" s="27"/>
      <c r="C11" s="12"/>
      <c r="D11" s="63"/>
      <c r="E11" s="63"/>
      <c r="F11" s="63"/>
      <c r="G11" s="32"/>
      <c r="H11" s="32"/>
      <c r="I11" s="33"/>
      <c r="J11" s="32"/>
      <c r="K11" s="32"/>
      <c r="L11" s="32"/>
      <c r="M11" s="32"/>
      <c r="N11" s="32"/>
      <c r="O11" s="32"/>
      <c r="P11" s="32"/>
      <c r="Q11" s="32"/>
      <c r="R11" s="33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</row>
    <row r="12" spans="1:30" ht="12.9" customHeight="1">
      <c r="A12" s="13" t="s">
        <v>43</v>
      </c>
      <c r="B12" s="996" t="s">
        <v>42</v>
      </c>
      <c r="C12" s="996"/>
      <c r="D12" s="63">
        <f t="shared" ref="D12:D36" si="6">+G12+M12+P12+S12+V12+AB12+J12+Y12</f>
        <v>0</v>
      </c>
      <c r="E12" s="63">
        <f t="shared" ref="E12:E36" si="7">+H12+N12+Q12+T12+W12+AC12+K12+Z12</f>
        <v>0</v>
      </c>
      <c r="F12" s="63">
        <f t="shared" ref="F12:F36" si="8">+I12+O12+R12+U12+X12+AD12+L12+AA12</f>
        <v>0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</row>
    <row r="13" spans="1:30" ht="12.9" customHeight="1">
      <c r="A13" s="4" t="s">
        <v>45</v>
      </c>
      <c r="B13" s="999" t="s">
        <v>44</v>
      </c>
      <c r="C13" s="999"/>
      <c r="D13" s="63">
        <f t="shared" si="6"/>
        <v>500</v>
      </c>
      <c r="E13" s="63">
        <f t="shared" si="7"/>
        <v>290</v>
      </c>
      <c r="F13" s="63">
        <f t="shared" si="8"/>
        <v>790</v>
      </c>
      <c r="G13" s="31">
        <v>500</v>
      </c>
      <c r="H13" s="31">
        <f>627-200+23-150-10</f>
        <v>290</v>
      </c>
      <c r="I13" s="31">
        <f>+G13+H13</f>
        <v>790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 spans="1:30" ht="12.9" customHeight="1">
      <c r="A14" s="4" t="s">
        <v>47</v>
      </c>
      <c r="B14" s="999" t="s">
        <v>46</v>
      </c>
      <c r="C14" s="999"/>
      <c r="D14" s="63">
        <f t="shared" si="6"/>
        <v>0</v>
      </c>
      <c r="E14" s="63">
        <f t="shared" si="7"/>
        <v>0</v>
      </c>
      <c r="F14" s="63">
        <f t="shared" si="8"/>
        <v>0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 spans="1:30" s="48" customFormat="1" ht="12.9" customHeight="1">
      <c r="A15" s="6" t="s">
        <v>48</v>
      </c>
      <c r="B15" s="998" t="s">
        <v>171</v>
      </c>
      <c r="C15" s="998"/>
      <c r="D15" s="63">
        <f t="shared" si="6"/>
        <v>500</v>
      </c>
      <c r="E15" s="63">
        <f t="shared" si="7"/>
        <v>290</v>
      </c>
      <c r="F15" s="63">
        <f t="shared" si="8"/>
        <v>790</v>
      </c>
      <c r="G15" s="63">
        <f t="shared" ref="G15:I15" si="9">SUM(G12:G14)</f>
        <v>500</v>
      </c>
      <c r="H15" s="63">
        <f t="shared" si="9"/>
        <v>290</v>
      </c>
      <c r="I15" s="63">
        <f t="shared" si="9"/>
        <v>790</v>
      </c>
      <c r="J15" s="63"/>
      <c r="K15" s="63"/>
      <c r="L15" s="63"/>
      <c r="M15" s="63">
        <f>SUM(M12:M14)</f>
        <v>0</v>
      </c>
      <c r="N15" s="63">
        <f>SUM(N12:N14)</f>
        <v>0</v>
      </c>
      <c r="O15" s="63">
        <f>SUM(O12:O14)</f>
        <v>0</v>
      </c>
      <c r="P15" s="63">
        <f t="shared" ref="P15:R15" si="10">SUM(P12:P14)</f>
        <v>0</v>
      </c>
      <c r="Q15" s="63">
        <f t="shared" si="10"/>
        <v>0</v>
      </c>
      <c r="R15" s="63">
        <f t="shared" si="10"/>
        <v>0</v>
      </c>
      <c r="S15" s="63">
        <f t="shared" ref="S15:X15" si="11">SUM(S12:S14)</f>
        <v>0</v>
      </c>
      <c r="T15" s="63">
        <f t="shared" si="11"/>
        <v>0</v>
      </c>
      <c r="U15" s="63">
        <f t="shared" si="11"/>
        <v>0</v>
      </c>
      <c r="V15" s="63">
        <f t="shared" si="11"/>
        <v>0</v>
      </c>
      <c r="W15" s="63">
        <f t="shared" si="11"/>
        <v>0</v>
      </c>
      <c r="X15" s="63">
        <f t="shared" si="11"/>
        <v>0</v>
      </c>
      <c r="Y15" s="63"/>
      <c r="Z15" s="63"/>
      <c r="AA15" s="63"/>
      <c r="AB15" s="63">
        <f>SUM(AB12:AB14)</f>
        <v>0</v>
      </c>
      <c r="AC15" s="63">
        <f>SUM(AC12:AC14)</f>
        <v>0</v>
      </c>
      <c r="AD15" s="63">
        <f>SUM(AD12:AD14)</f>
        <v>0</v>
      </c>
    </row>
    <row r="16" spans="1:30" ht="12.9" customHeight="1">
      <c r="A16" s="4" t="s">
        <v>50</v>
      </c>
      <c r="B16" s="999" t="s">
        <v>49</v>
      </c>
      <c r="C16" s="999"/>
      <c r="D16" s="63">
        <f t="shared" si="6"/>
        <v>0</v>
      </c>
      <c r="E16" s="63">
        <f t="shared" si="7"/>
        <v>0</v>
      </c>
      <c r="F16" s="63">
        <f t="shared" si="8"/>
        <v>0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pans="1:30" ht="12.9" customHeight="1">
      <c r="A17" s="4" t="s">
        <v>52</v>
      </c>
      <c r="B17" s="999" t="s">
        <v>51</v>
      </c>
      <c r="C17" s="999"/>
      <c r="D17" s="63">
        <f t="shared" si="6"/>
        <v>0</v>
      </c>
      <c r="E17" s="63">
        <f t="shared" si="7"/>
        <v>0</v>
      </c>
      <c r="F17" s="63">
        <f t="shared" si="8"/>
        <v>0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 spans="1:30" s="48" customFormat="1" ht="12.9" customHeight="1">
      <c r="A18" s="6" t="s">
        <v>53</v>
      </c>
      <c r="B18" s="998" t="s">
        <v>170</v>
      </c>
      <c r="C18" s="998"/>
      <c r="D18" s="63">
        <f t="shared" si="6"/>
        <v>0</v>
      </c>
      <c r="E18" s="63">
        <f t="shared" si="7"/>
        <v>0</v>
      </c>
      <c r="F18" s="63">
        <f t="shared" si="8"/>
        <v>0</v>
      </c>
      <c r="G18" s="63">
        <f t="shared" ref="G18:I18" si="12">+G16+G17</f>
        <v>0</v>
      </c>
      <c r="H18" s="63">
        <f t="shared" si="12"/>
        <v>0</v>
      </c>
      <c r="I18" s="63">
        <f t="shared" si="12"/>
        <v>0</v>
      </c>
      <c r="J18" s="63"/>
      <c r="K18" s="63"/>
      <c r="L18" s="63"/>
      <c r="M18" s="63">
        <f>+M16+M17</f>
        <v>0</v>
      </c>
      <c r="N18" s="63">
        <f>+N16+N17</f>
        <v>0</v>
      </c>
      <c r="O18" s="63">
        <f>+O16+O17</f>
        <v>0</v>
      </c>
      <c r="P18" s="63">
        <f t="shared" ref="P18:R18" si="13">+P16+P17</f>
        <v>0</v>
      </c>
      <c r="Q18" s="63">
        <f t="shared" si="13"/>
        <v>0</v>
      </c>
      <c r="R18" s="63">
        <f t="shared" si="13"/>
        <v>0</v>
      </c>
      <c r="S18" s="63">
        <f t="shared" ref="S18:X18" si="14">+S16+S17</f>
        <v>0</v>
      </c>
      <c r="T18" s="63">
        <f t="shared" si="14"/>
        <v>0</v>
      </c>
      <c r="U18" s="63">
        <f t="shared" si="14"/>
        <v>0</v>
      </c>
      <c r="V18" s="63">
        <f t="shared" si="14"/>
        <v>0</v>
      </c>
      <c r="W18" s="63">
        <f t="shared" si="14"/>
        <v>0</v>
      </c>
      <c r="X18" s="63">
        <f t="shared" si="14"/>
        <v>0</v>
      </c>
      <c r="Y18" s="63"/>
      <c r="Z18" s="63"/>
      <c r="AA18" s="63"/>
      <c r="AB18" s="63">
        <f>+AB16+AB17</f>
        <v>0</v>
      </c>
      <c r="AC18" s="63">
        <f>+AC16+AC17</f>
        <v>0</v>
      </c>
      <c r="AD18" s="63">
        <f>+AD16+AD17</f>
        <v>0</v>
      </c>
    </row>
    <row r="19" spans="1:30" ht="12.9" customHeight="1">
      <c r="A19" s="4" t="s">
        <v>55</v>
      </c>
      <c r="B19" s="999" t="s">
        <v>54</v>
      </c>
      <c r="C19" s="999"/>
      <c r="D19" s="63">
        <f t="shared" si="6"/>
        <v>0</v>
      </c>
      <c r="E19" s="63">
        <f t="shared" si="7"/>
        <v>0</v>
      </c>
      <c r="F19" s="63">
        <f t="shared" si="8"/>
        <v>0</v>
      </c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pans="1:30" ht="12.9" customHeight="1">
      <c r="A20" s="4" t="s">
        <v>57</v>
      </c>
      <c r="B20" s="999" t="s">
        <v>56</v>
      </c>
      <c r="C20" s="999"/>
      <c r="D20" s="63">
        <f t="shared" si="6"/>
        <v>36872</v>
      </c>
      <c r="E20" s="63">
        <f t="shared" si="7"/>
        <v>2814</v>
      </c>
      <c r="F20" s="63">
        <f t="shared" si="8"/>
        <v>39686</v>
      </c>
      <c r="G20" s="31"/>
      <c r="H20" s="31"/>
      <c r="I20" s="31">
        <f t="shared" ref="I20:I21" si="15">+G20+H20</f>
        <v>0</v>
      </c>
      <c r="J20" s="31">
        <v>25359</v>
      </c>
      <c r="K20" s="31">
        <v>1829</v>
      </c>
      <c r="L20" s="31">
        <f>+J20+K20</f>
        <v>27188</v>
      </c>
      <c r="M20" s="31">
        <v>11513</v>
      </c>
      <c r="N20" s="31">
        <v>884</v>
      </c>
      <c r="O20" s="31">
        <f>+M20+N20</f>
        <v>12397</v>
      </c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>
        <v>101</v>
      </c>
      <c r="AD20" s="31">
        <f>+AB20+AC20</f>
        <v>101</v>
      </c>
    </row>
    <row r="21" spans="1:30" ht="12.9" customHeight="1">
      <c r="A21" s="4" t="s">
        <v>58</v>
      </c>
      <c r="B21" s="999" t="s">
        <v>168</v>
      </c>
      <c r="C21" s="999"/>
      <c r="D21" s="63">
        <f t="shared" si="6"/>
        <v>0</v>
      </c>
      <c r="E21" s="63">
        <f t="shared" si="7"/>
        <v>610</v>
      </c>
      <c r="F21" s="63">
        <f t="shared" si="8"/>
        <v>610</v>
      </c>
      <c r="G21" s="31"/>
      <c r="H21" s="31">
        <v>610</v>
      </c>
      <c r="I21" s="31">
        <f t="shared" si="15"/>
        <v>610</v>
      </c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 spans="1:30" ht="12.9" customHeight="1">
      <c r="A22" s="4" t="s">
        <v>60</v>
      </c>
      <c r="B22" s="999" t="s">
        <v>59</v>
      </c>
      <c r="C22" s="999"/>
      <c r="D22" s="63">
        <f t="shared" si="6"/>
        <v>1800</v>
      </c>
      <c r="E22" s="63">
        <f t="shared" si="7"/>
        <v>421</v>
      </c>
      <c r="F22" s="63">
        <f t="shared" si="8"/>
        <v>2221</v>
      </c>
      <c r="G22" s="31"/>
      <c r="H22" s="31">
        <f>100+77+252</f>
        <v>429</v>
      </c>
      <c r="I22" s="31">
        <f>+G22+H22</f>
        <v>429</v>
      </c>
      <c r="J22" s="31"/>
      <c r="K22" s="31"/>
      <c r="L22" s="31"/>
      <c r="M22" s="31"/>
      <c r="N22" s="31"/>
      <c r="O22" s="31"/>
      <c r="P22" s="31">
        <v>1000</v>
      </c>
      <c r="Q22" s="31">
        <v>-8</v>
      </c>
      <c r="R22" s="31">
        <f>+P22+Q22</f>
        <v>992</v>
      </c>
      <c r="S22" s="31">
        <v>800</v>
      </c>
      <c r="T22" s="31"/>
      <c r="U22" s="31">
        <f>+S22+T22</f>
        <v>800</v>
      </c>
      <c r="V22" s="31"/>
      <c r="W22" s="31"/>
      <c r="X22" s="31"/>
      <c r="Y22" s="31"/>
      <c r="Z22" s="31"/>
      <c r="AA22" s="31"/>
      <c r="AB22" s="31"/>
      <c r="AC22" s="31"/>
      <c r="AD22" s="31"/>
    </row>
    <row r="23" spans="1:30" ht="12.9" customHeight="1">
      <c r="A23" s="4" t="s">
        <v>61</v>
      </c>
      <c r="B23" s="999" t="s">
        <v>167</v>
      </c>
      <c r="C23" s="999"/>
      <c r="D23" s="63">
        <f t="shared" si="6"/>
        <v>2800</v>
      </c>
      <c r="E23" s="63">
        <f t="shared" si="7"/>
        <v>0</v>
      </c>
      <c r="F23" s="63">
        <f t="shared" si="8"/>
        <v>2800</v>
      </c>
      <c r="G23" s="31">
        <v>2800</v>
      </c>
      <c r="H23" s="31"/>
      <c r="I23" s="31">
        <f>+G23+H23</f>
        <v>2800</v>
      </c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>
        <f t="shared" ref="U23:U25" si="16">+S23+T23</f>
        <v>0</v>
      </c>
      <c r="V23" s="31"/>
      <c r="W23" s="31"/>
      <c r="X23" s="31"/>
      <c r="Y23" s="31"/>
      <c r="Z23" s="31"/>
      <c r="AA23" s="31"/>
      <c r="AB23" s="31"/>
      <c r="AC23" s="31"/>
      <c r="AD23" s="31"/>
    </row>
    <row r="24" spans="1:30" ht="12.9" customHeight="1">
      <c r="A24" s="4" t="s">
        <v>64</v>
      </c>
      <c r="B24" s="999" t="s">
        <v>63</v>
      </c>
      <c r="C24" s="999"/>
      <c r="D24" s="63">
        <f t="shared" si="6"/>
        <v>0</v>
      </c>
      <c r="E24" s="63">
        <f t="shared" si="7"/>
        <v>0</v>
      </c>
      <c r="F24" s="63">
        <f t="shared" si="8"/>
        <v>0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>
        <f t="shared" si="16"/>
        <v>0</v>
      </c>
      <c r="V24" s="31"/>
      <c r="W24" s="31"/>
      <c r="X24" s="31"/>
      <c r="Y24" s="31"/>
      <c r="Z24" s="31"/>
      <c r="AA24" s="31"/>
      <c r="AB24" s="31"/>
      <c r="AC24" s="31"/>
      <c r="AD24" s="31"/>
    </row>
    <row r="25" spans="1:30" ht="12.9" customHeight="1">
      <c r="A25" s="4" t="s">
        <v>66</v>
      </c>
      <c r="B25" s="999" t="s">
        <v>65</v>
      </c>
      <c r="C25" s="999"/>
      <c r="D25" s="63">
        <f t="shared" si="6"/>
        <v>9920</v>
      </c>
      <c r="E25" s="63">
        <f t="shared" si="7"/>
        <v>-391</v>
      </c>
      <c r="F25" s="63">
        <f t="shared" si="8"/>
        <v>9529</v>
      </c>
      <c r="G25" s="31">
        <f>4340+2160</f>
        <v>6500</v>
      </c>
      <c r="H25" s="31">
        <f>-1980+303+5+38+14</f>
        <v>-1620</v>
      </c>
      <c r="I25" s="31">
        <f>+G25+H25</f>
        <v>4880</v>
      </c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>
        <v>75</v>
      </c>
      <c r="U25" s="31">
        <f t="shared" si="16"/>
        <v>75</v>
      </c>
      <c r="V25" s="31"/>
      <c r="W25" s="31"/>
      <c r="X25" s="31"/>
      <c r="Y25" s="31">
        <v>3420</v>
      </c>
      <c r="Z25" s="31">
        <v>1154</v>
      </c>
      <c r="AA25" s="31">
        <f>+Y25+Z25</f>
        <v>4574</v>
      </c>
      <c r="AB25" s="31"/>
      <c r="AC25" s="31"/>
      <c r="AD25" s="31"/>
    </row>
    <row r="26" spans="1:30" s="48" customFormat="1" ht="12.9" customHeight="1">
      <c r="A26" s="6" t="s">
        <v>67</v>
      </c>
      <c r="B26" s="998" t="s">
        <v>157</v>
      </c>
      <c r="C26" s="998"/>
      <c r="D26" s="63">
        <f t="shared" si="6"/>
        <v>51392</v>
      </c>
      <c r="E26" s="63">
        <f t="shared" si="7"/>
        <v>3454</v>
      </c>
      <c r="F26" s="63">
        <f t="shared" si="8"/>
        <v>54846</v>
      </c>
      <c r="G26" s="63">
        <f t="shared" ref="G26:AD26" si="17">+G25+G24+G23+G22+G21+G20+G19</f>
        <v>9300</v>
      </c>
      <c r="H26" s="63">
        <f t="shared" si="17"/>
        <v>-581</v>
      </c>
      <c r="I26" s="63">
        <f t="shared" si="17"/>
        <v>8719</v>
      </c>
      <c r="J26" s="63">
        <f t="shared" si="17"/>
        <v>25359</v>
      </c>
      <c r="K26" s="63">
        <f t="shared" si="17"/>
        <v>1829</v>
      </c>
      <c r="L26" s="63">
        <f t="shared" si="17"/>
        <v>27188</v>
      </c>
      <c r="M26" s="63">
        <f t="shared" si="17"/>
        <v>11513</v>
      </c>
      <c r="N26" s="63">
        <f t="shared" si="17"/>
        <v>884</v>
      </c>
      <c r="O26" s="63">
        <f t="shared" si="17"/>
        <v>12397</v>
      </c>
      <c r="P26" s="63">
        <f t="shared" si="17"/>
        <v>1000</v>
      </c>
      <c r="Q26" s="63">
        <f t="shared" si="17"/>
        <v>-8</v>
      </c>
      <c r="R26" s="63">
        <f t="shared" si="17"/>
        <v>992</v>
      </c>
      <c r="S26" s="63">
        <f t="shared" si="17"/>
        <v>800</v>
      </c>
      <c r="T26" s="63">
        <f t="shared" si="17"/>
        <v>75</v>
      </c>
      <c r="U26" s="63">
        <f t="shared" si="17"/>
        <v>875</v>
      </c>
      <c r="V26" s="63">
        <f t="shared" si="17"/>
        <v>0</v>
      </c>
      <c r="W26" s="63">
        <f t="shared" si="17"/>
        <v>0</v>
      </c>
      <c r="X26" s="63">
        <f t="shared" si="17"/>
        <v>0</v>
      </c>
      <c r="Y26" s="63">
        <f t="shared" si="17"/>
        <v>3420</v>
      </c>
      <c r="Z26" s="63">
        <f t="shared" si="17"/>
        <v>1154</v>
      </c>
      <c r="AA26" s="63">
        <f t="shared" si="17"/>
        <v>4574</v>
      </c>
      <c r="AB26" s="63">
        <f t="shared" si="17"/>
        <v>0</v>
      </c>
      <c r="AC26" s="63">
        <f t="shared" si="17"/>
        <v>101</v>
      </c>
      <c r="AD26" s="63">
        <f t="shared" si="17"/>
        <v>101</v>
      </c>
    </row>
    <row r="27" spans="1:30" ht="12.9" customHeight="1">
      <c r="A27" s="4" t="s">
        <v>69</v>
      </c>
      <c r="B27" s="999" t="s">
        <v>68</v>
      </c>
      <c r="C27" s="999"/>
      <c r="D27" s="63">
        <f t="shared" si="6"/>
        <v>0</v>
      </c>
      <c r="E27" s="63">
        <f t="shared" si="7"/>
        <v>0</v>
      </c>
      <c r="F27" s="63">
        <f t="shared" si="8"/>
        <v>0</v>
      </c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1:30" ht="12.9" customHeight="1">
      <c r="A28" s="4" t="s">
        <v>71</v>
      </c>
      <c r="B28" s="999" t="s">
        <v>70</v>
      </c>
      <c r="C28" s="999"/>
      <c r="D28" s="63">
        <f t="shared" si="6"/>
        <v>0</v>
      </c>
      <c r="E28" s="63">
        <f t="shared" si="7"/>
        <v>0</v>
      </c>
      <c r="F28" s="63">
        <f t="shared" si="8"/>
        <v>0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 spans="1:30" s="48" customFormat="1" ht="12.9" customHeight="1">
      <c r="A29" s="6" t="s">
        <v>72</v>
      </c>
      <c r="B29" s="998" t="s">
        <v>156</v>
      </c>
      <c r="C29" s="998"/>
      <c r="D29" s="63">
        <f t="shared" si="6"/>
        <v>0</v>
      </c>
      <c r="E29" s="63">
        <f t="shared" si="7"/>
        <v>0</v>
      </c>
      <c r="F29" s="63">
        <f t="shared" si="8"/>
        <v>0</v>
      </c>
      <c r="G29" s="63">
        <f t="shared" ref="G29:I29" si="18">+G27+G28</f>
        <v>0</v>
      </c>
      <c r="H29" s="63">
        <f t="shared" si="18"/>
        <v>0</v>
      </c>
      <c r="I29" s="63">
        <f t="shared" si="18"/>
        <v>0</v>
      </c>
      <c r="J29" s="63"/>
      <c r="K29" s="63"/>
      <c r="L29" s="63"/>
      <c r="M29" s="63">
        <f>+M27+M28</f>
        <v>0</v>
      </c>
      <c r="N29" s="63">
        <f>+N27+N28</f>
        <v>0</v>
      </c>
      <c r="O29" s="63">
        <f>+O27+O28</f>
        <v>0</v>
      </c>
      <c r="P29" s="63">
        <f t="shared" ref="P29:AA29" si="19">+P27+P28</f>
        <v>0</v>
      </c>
      <c r="Q29" s="63">
        <f t="shared" si="19"/>
        <v>0</v>
      </c>
      <c r="R29" s="63">
        <f t="shared" si="19"/>
        <v>0</v>
      </c>
      <c r="S29" s="63">
        <f t="shared" si="19"/>
        <v>0</v>
      </c>
      <c r="T29" s="63">
        <f t="shared" si="19"/>
        <v>0</v>
      </c>
      <c r="U29" s="63">
        <f t="shared" si="19"/>
        <v>0</v>
      </c>
      <c r="V29" s="63">
        <f t="shared" si="19"/>
        <v>0</v>
      </c>
      <c r="W29" s="63">
        <f t="shared" si="19"/>
        <v>0</v>
      </c>
      <c r="X29" s="63">
        <f t="shared" si="19"/>
        <v>0</v>
      </c>
      <c r="Y29" s="63">
        <f t="shared" si="19"/>
        <v>0</v>
      </c>
      <c r="Z29" s="63">
        <f t="shared" si="19"/>
        <v>0</v>
      </c>
      <c r="AA29" s="63">
        <f t="shared" si="19"/>
        <v>0</v>
      </c>
      <c r="AB29" s="63">
        <f>+AB27+AB28</f>
        <v>0</v>
      </c>
      <c r="AC29" s="63">
        <f>+AC27+AC28</f>
        <v>0</v>
      </c>
      <c r="AD29" s="63">
        <f>+AD27+AD28</f>
        <v>0</v>
      </c>
    </row>
    <row r="30" spans="1:30" ht="12.9" customHeight="1">
      <c r="A30" s="4" t="s">
        <v>74</v>
      </c>
      <c r="B30" s="999" t="s">
        <v>73</v>
      </c>
      <c r="C30" s="999"/>
      <c r="D30" s="63">
        <f t="shared" si="6"/>
        <v>12688</v>
      </c>
      <c r="E30" s="63">
        <f t="shared" si="7"/>
        <v>974</v>
      </c>
      <c r="F30" s="63">
        <f t="shared" si="8"/>
        <v>13662</v>
      </c>
      <c r="G30" s="31">
        <v>1323</v>
      </c>
      <c r="H30" s="31">
        <f>33+82+5+21+10+4+68</f>
        <v>223</v>
      </c>
      <c r="I30" s="31">
        <f>+G30+H30</f>
        <v>1546</v>
      </c>
      <c r="J30" s="608">
        <v>6847</v>
      </c>
      <c r="K30" s="31">
        <v>494</v>
      </c>
      <c r="L30" s="31">
        <f>+J30+K30</f>
        <v>7341</v>
      </c>
      <c r="M30" s="31">
        <v>3109</v>
      </c>
      <c r="N30" s="31">
        <v>239</v>
      </c>
      <c r="O30" s="31">
        <f>+M30+N30</f>
        <v>3348</v>
      </c>
      <c r="P30" s="608">
        <v>270</v>
      </c>
      <c r="Q30" s="31">
        <v>-2</v>
      </c>
      <c r="R30" s="31">
        <f>+P30+Q30</f>
        <v>268</v>
      </c>
      <c r="S30" s="31">
        <v>216</v>
      </c>
      <c r="T30" s="31">
        <v>20</v>
      </c>
      <c r="U30" s="31">
        <f>+S30+T30</f>
        <v>236</v>
      </c>
      <c r="V30" s="31"/>
      <c r="W30" s="31"/>
      <c r="X30" s="31"/>
      <c r="Y30" s="31">
        <v>923</v>
      </c>
      <c r="Z30" s="31"/>
      <c r="AA30" s="31">
        <f t="shared" ref="AA30:AA31" si="20">+Y30+Z30</f>
        <v>923</v>
      </c>
      <c r="AB30" s="31"/>
      <c r="AC30" s="31"/>
      <c r="AD30" s="31"/>
    </row>
    <row r="31" spans="1:30" ht="12.9" customHeight="1">
      <c r="A31" s="4" t="s">
        <v>76</v>
      </c>
      <c r="B31" s="999" t="s">
        <v>75</v>
      </c>
      <c r="C31" s="999"/>
      <c r="D31" s="63">
        <f t="shared" si="6"/>
        <v>5520</v>
      </c>
      <c r="E31" s="63">
        <f t="shared" si="7"/>
        <v>139</v>
      </c>
      <c r="F31" s="63">
        <f t="shared" si="8"/>
        <v>5659</v>
      </c>
      <c r="G31" s="31">
        <f>404+756</f>
        <v>1160</v>
      </c>
      <c r="H31" s="31">
        <f>137+2</f>
        <v>139</v>
      </c>
      <c r="I31" s="31">
        <f>+G31+H31</f>
        <v>1299</v>
      </c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>
        <v>270</v>
      </c>
      <c r="Z31" s="31"/>
      <c r="AA31" s="31">
        <f t="shared" si="20"/>
        <v>270</v>
      </c>
      <c r="AB31" s="31">
        <v>4090</v>
      </c>
      <c r="AC31" s="31"/>
      <c r="AD31" s="31">
        <f>+AB31+AC31</f>
        <v>4090</v>
      </c>
    </row>
    <row r="32" spans="1:30" ht="12.9" customHeight="1">
      <c r="A32" s="4" t="s">
        <v>77</v>
      </c>
      <c r="B32" s="999" t="s">
        <v>155</v>
      </c>
      <c r="C32" s="999"/>
      <c r="D32" s="63">
        <f t="shared" si="6"/>
        <v>0</v>
      </c>
      <c r="E32" s="63">
        <f t="shared" si="7"/>
        <v>0</v>
      </c>
      <c r="F32" s="63">
        <f t="shared" si="8"/>
        <v>0</v>
      </c>
      <c r="G32" s="31"/>
      <c r="H32" s="31"/>
      <c r="I32" s="31">
        <f t="shared" ref="I32:I34" si="21">+G32+H32</f>
        <v>0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 spans="1:30" ht="12.9" customHeight="1">
      <c r="A33" s="4" t="s">
        <v>78</v>
      </c>
      <c r="B33" s="999" t="s">
        <v>154</v>
      </c>
      <c r="C33" s="999"/>
      <c r="D33" s="63">
        <f t="shared" si="6"/>
        <v>0</v>
      </c>
      <c r="E33" s="63">
        <f t="shared" si="7"/>
        <v>0</v>
      </c>
      <c r="F33" s="63">
        <f t="shared" si="8"/>
        <v>0</v>
      </c>
      <c r="G33" s="31"/>
      <c r="H33" s="31"/>
      <c r="I33" s="31">
        <f t="shared" si="21"/>
        <v>0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 spans="1:30" ht="12.9" customHeight="1">
      <c r="A34" s="4" t="s">
        <v>80</v>
      </c>
      <c r="B34" s="999" t="s">
        <v>79</v>
      </c>
      <c r="C34" s="999"/>
      <c r="D34" s="63">
        <f t="shared" si="6"/>
        <v>0</v>
      </c>
      <c r="E34" s="63">
        <f t="shared" si="7"/>
        <v>3844</v>
      </c>
      <c r="F34" s="63">
        <f t="shared" si="8"/>
        <v>3844</v>
      </c>
      <c r="G34" s="31"/>
      <c r="H34" s="31">
        <v>3810</v>
      </c>
      <c r="I34" s="31">
        <f t="shared" si="21"/>
        <v>3810</v>
      </c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>
        <v>34</v>
      </c>
      <c r="X34" s="31">
        <f>+V34+W34</f>
        <v>34</v>
      </c>
      <c r="Y34" s="31"/>
      <c r="Z34" s="31"/>
      <c r="AA34" s="31"/>
      <c r="AB34" s="31"/>
      <c r="AC34" s="31"/>
      <c r="AD34" s="31"/>
    </row>
    <row r="35" spans="1:30" s="48" customFormat="1" ht="12.9" customHeight="1">
      <c r="A35" s="6" t="s">
        <v>81</v>
      </c>
      <c r="B35" s="998" t="s">
        <v>153</v>
      </c>
      <c r="C35" s="998"/>
      <c r="D35" s="63">
        <f t="shared" si="6"/>
        <v>18208</v>
      </c>
      <c r="E35" s="63">
        <f t="shared" si="7"/>
        <v>4957</v>
      </c>
      <c r="F35" s="63">
        <f t="shared" si="8"/>
        <v>23165</v>
      </c>
      <c r="G35" s="63">
        <f t="shared" ref="G35:M35" si="22">SUM(G30:G34)</f>
        <v>2483</v>
      </c>
      <c r="H35" s="63">
        <f t="shared" si="22"/>
        <v>4172</v>
      </c>
      <c r="I35" s="63">
        <f t="shared" si="22"/>
        <v>6655</v>
      </c>
      <c r="J35" s="63">
        <f t="shared" si="22"/>
        <v>6847</v>
      </c>
      <c r="K35" s="63">
        <f t="shared" si="22"/>
        <v>494</v>
      </c>
      <c r="L35" s="63">
        <f t="shared" si="22"/>
        <v>7341</v>
      </c>
      <c r="M35" s="63">
        <f t="shared" si="22"/>
        <v>3109</v>
      </c>
      <c r="N35" s="63">
        <f>SUM(N30:N34)</f>
        <v>239</v>
      </c>
      <c r="O35" s="63">
        <f>SUM(O30:O34)</f>
        <v>3348</v>
      </c>
      <c r="P35" s="63">
        <f t="shared" ref="P35:AA35" si="23">SUM(P30:P34)</f>
        <v>270</v>
      </c>
      <c r="Q35" s="63">
        <f t="shared" si="23"/>
        <v>-2</v>
      </c>
      <c r="R35" s="63">
        <f t="shared" si="23"/>
        <v>268</v>
      </c>
      <c r="S35" s="63">
        <f t="shared" si="23"/>
        <v>216</v>
      </c>
      <c r="T35" s="63">
        <f t="shared" si="23"/>
        <v>20</v>
      </c>
      <c r="U35" s="63">
        <f t="shared" si="23"/>
        <v>236</v>
      </c>
      <c r="V35" s="63">
        <f t="shared" si="23"/>
        <v>0</v>
      </c>
      <c r="W35" s="63">
        <f t="shared" si="23"/>
        <v>34</v>
      </c>
      <c r="X35" s="63">
        <f t="shared" si="23"/>
        <v>34</v>
      </c>
      <c r="Y35" s="63">
        <f t="shared" si="23"/>
        <v>1193</v>
      </c>
      <c r="Z35" s="63">
        <f t="shared" si="23"/>
        <v>0</v>
      </c>
      <c r="AA35" s="63">
        <f t="shared" si="23"/>
        <v>1193</v>
      </c>
      <c r="AB35" s="63">
        <f>SUM(AB30:AB34)</f>
        <v>4090</v>
      </c>
      <c r="AC35" s="63">
        <f>SUM(AC30:AC34)</f>
        <v>0</v>
      </c>
      <c r="AD35" s="63">
        <f>SUM(AD30:AD34)</f>
        <v>4090</v>
      </c>
    </row>
    <row r="36" spans="1:30" s="48" customFormat="1" ht="12.9" customHeight="1">
      <c r="A36" s="7" t="s">
        <v>82</v>
      </c>
      <c r="B36" s="995" t="s">
        <v>152</v>
      </c>
      <c r="C36" s="995"/>
      <c r="D36" s="63">
        <f t="shared" si="6"/>
        <v>70100</v>
      </c>
      <c r="E36" s="63">
        <f t="shared" si="7"/>
        <v>8701</v>
      </c>
      <c r="F36" s="63">
        <f t="shared" si="8"/>
        <v>78801</v>
      </c>
      <c r="G36" s="60">
        <f>+G35+G29+G26+G18+G15</f>
        <v>12283</v>
      </c>
      <c r="H36" s="60">
        <f t="shared" ref="H36:AD36" si="24">+H35+H29+H26+H18+H15</f>
        <v>3881</v>
      </c>
      <c r="I36" s="60">
        <f t="shared" si="24"/>
        <v>16164</v>
      </c>
      <c r="J36" s="60">
        <f t="shared" si="24"/>
        <v>32206</v>
      </c>
      <c r="K36" s="60">
        <f t="shared" si="24"/>
        <v>2323</v>
      </c>
      <c r="L36" s="60">
        <f t="shared" si="24"/>
        <v>34529</v>
      </c>
      <c r="M36" s="60">
        <f t="shared" si="24"/>
        <v>14622</v>
      </c>
      <c r="N36" s="60">
        <f t="shared" si="24"/>
        <v>1123</v>
      </c>
      <c r="O36" s="60">
        <f t="shared" si="24"/>
        <v>15745</v>
      </c>
      <c r="P36" s="60">
        <f t="shared" si="24"/>
        <v>1270</v>
      </c>
      <c r="Q36" s="60">
        <f t="shared" si="24"/>
        <v>-10</v>
      </c>
      <c r="R36" s="60">
        <f t="shared" si="24"/>
        <v>1260</v>
      </c>
      <c r="S36" s="60">
        <f t="shared" si="24"/>
        <v>1016</v>
      </c>
      <c r="T36" s="60">
        <f t="shared" si="24"/>
        <v>95</v>
      </c>
      <c r="U36" s="60">
        <f t="shared" si="24"/>
        <v>1111</v>
      </c>
      <c r="V36" s="60">
        <f t="shared" si="24"/>
        <v>0</v>
      </c>
      <c r="W36" s="60">
        <f t="shared" si="24"/>
        <v>34</v>
      </c>
      <c r="X36" s="60">
        <f t="shared" si="24"/>
        <v>34</v>
      </c>
      <c r="Y36" s="60">
        <f t="shared" si="24"/>
        <v>4613</v>
      </c>
      <c r="Z36" s="60">
        <f t="shared" si="24"/>
        <v>1154</v>
      </c>
      <c r="AA36" s="60">
        <f t="shared" si="24"/>
        <v>5767</v>
      </c>
      <c r="AB36" s="60">
        <f t="shared" si="24"/>
        <v>4090</v>
      </c>
      <c r="AC36" s="60">
        <f t="shared" si="24"/>
        <v>101</v>
      </c>
      <c r="AD36" s="60">
        <f t="shared" si="24"/>
        <v>4191</v>
      </c>
    </row>
    <row r="37" spans="1:30" ht="8.25" customHeight="1">
      <c r="A37" s="8"/>
      <c r="B37" s="9"/>
      <c r="C37" s="9"/>
      <c r="D37" s="63"/>
      <c r="E37" s="63"/>
      <c r="F37" s="63"/>
      <c r="G37" s="32"/>
      <c r="H37" s="32"/>
      <c r="I37" s="33"/>
      <c r="J37" s="32"/>
      <c r="K37" s="32"/>
      <c r="L37" s="32"/>
      <c r="M37" s="32"/>
      <c r="N37" s="32"/>
      <c r="O37" s="32"/>
      <c r="P37" s="32"/>
      <c r="Q37" s="32"/>
      <c r="R37" s="33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1:30" ht="12.9" hidden="1" customHeight="1">
      <c r="A38" s="13" t="s">
        <v>84</v>
      </c>
      <c r="B38" s="996" t="s">
        <v>83</v>
      </c>
      <c r="C38" s="996"/>
      <c r="D38" s="63"/>
      <c r="E38" s="63"/>
      <c r="F38" s="63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</row>
    <row r="39" spans="1:30" ht="12.9" hidden="1" customHeight="1">
      <c r="A39" s="14" t="s">
        <v>85</v>
      </c>
      <c r="B39" s="1012" t="s">
        <v>137</v>
      </c>
      <c r="C39" s="1012"/>
      <c r="D39" s="63"/>
      <c r="E39" s="63"/>
      <c r="F39" s="63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 spans="1:30" s="44" customFormat="1" ht="12.9" hidden="1" customHeight="1">
      <c r="A40" s="36" t="s">
        <v>85</v>
      </c>
      <c r="B40" s="43"/>
      <c r="C40" s="39" t="s">
        <v>139</v>
      </c>
      <c r="D40" s="63"/>
      <c r="E40" s="63"/>
      <c r="F40" s="63"/>
      <c r="G40" s="62"/>
      <c r="H40" s="57"/>
      <c r="I40" s="57"/>
      <c r="J40" s="62"/>
      <c r="K40" s="62"/>
      <c r="L40" s="62"/>
      <c r="M40" s="62"/>
      <c r="N40" s="62"/>
      <c r="O40" s="62"/>
      <c r="P40" s="62"/>
      <c r="Q40" s="57"/>
      <c r="R40" s="57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</row>
    <row r="41" spans="1:30" ht="12.9" hidden="1" customHeight="1">
      <c r="A41" s="4" t="s">
        <v>87</v>
      </c>
      <c r="B41" s="996" t="s">
        <v>86</v>
      </c>
      <c r="C41" s="996"/>
      <c r="D41" s="63"/>
      <c r="E41" s="63"/>
      <c r="F41" s="63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ht="12.9" hidden="1" customHeight="1">
      <c r="A42" s="14" t="s">
        <v>88</v>
      </c>
      <c r="B42" s="1012" t="s">
        <v>140</v>
      </c>
      <c r="C42" s="1012"/>
      <c r="D42" s="63"/>
      <c r="E42" s="63"/>
      <c r="F42" s="63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 spans="1:30" s="44" customFormat="1" ht="12.9" hidden="1" customHeight="1">
      <c r="A43" s="36" t="s">
        <v>88</v>
      </c>
      <c r="B43" s="43"/>
      <c r="C43" s="37" t="s">
        <v>89</v>
      </c>
      <c r="D43" s="63"/>
      <c r="E43" s="63"/>
      <c r="F43" s="63"/>
      <c r="G43" s="62"/>
      <c r="H43" s="57"/>
      <c r="I43" s="57"/>
      <c r="J43" s="62"/>
      <c r="K43" s="62"/>
      <c r="L43" s="62"/>
      <c r="M43" s="62"/>
      <c r="N43" s="62"/>
      <c r="O43" s="62"/>
      <c r="P43" s="62"/>
      <c r="Q43" s="57"/>
      <c r="R43" s="57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</row>
    <row r="44" spans="1:30" s="44" customFormat="1" ht="12.9" hidden="1" customHeight="1">
      <c r="A44" s="36" t="s">
        <v>88</v>
      </c>
      <c r="B44" s="43"/>
      <c r="C44" s="39" t="s">
        <v>141</v>
      </c>
      <c r="D44" s="63"/>
      <c r="E44" s="63"/>
      <c r="F44" s="63"/>
      <c r="G44" s="62"/>
      <c r="H44" s="57"/>
      <c r="I44" s="57"/>
      <c r="J44" s="62"/>
      <c r="K44" s="62"/>
      <c r="L44" s="62"/>
      <c r="M44" s="62"/>
      <c r="N44" s="62"/>
      <c r="O44" s="62"/>
      <c r="P44" s="62"/>
      <c r="Q44" s="57"/>
      <c r="R44" s="57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</row>
    <row r="45" spans="1:30" ht="12.9" hidden="1" customHeight="1">
      <c r="A45" s="14" t="s">
        <v>90</v>
      </c>
      <c r="B45" s="1050" t="s">
        <v>142</v>
      </c>
      <c r="C45" s="1050"/>
      <c r="D45" s="63"/>
      <c r="E45" s="63"/>
      <c r="F45" s="63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 spans="1:30" s="44" customFormat="1" ht="12.9" hidden="1" customHeight="1">
      <c r="A46" s="40" t="s">
        <v>90</v>
      </c>
      <c r="B46" s="43"/>
      <c r="C46" s="39" t="s">
        <v>143</v>
      </c>
      <c r="D46" s="63"/>
      <c r="E46" s="63"/>
      <c r="F46" s="63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</row>
    <row r="47" spans="1:30" ht="12.9" hidden="1" customHeight="1">
      <c r="A47" s="14" t="s">
        <v>91</v>
      </c>
      <c r="B47" s="994" t="s">
        <v>144</v>
      </c>
      <c r="C47" s="994"/>
      <c r="D47" s="63"/>
      <c r="E47" s="63"/>
      <c r="F47" s="63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 spans="1:30" s="44" customFormat="1" ht="12.9" hidden="1" customHeight="1">
      <c r="A48" s="40" t="s">
        <v>91</v>
      </c>
      <c r="B48" s="43"/>
      <c r="C48" s="39" t="s">
        <v>145</v>
      </c>
      <c r="D48" s="63"/>
      <c r="E48" s="63"/>
      <c r="F48" s="63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</row>
    <row r="49" spans="1:30" ht="12.9" hidden="1" customHeight="1">
      <c r="A49" s="4" t="s">
        <v>92</v>
      </c>
      <c r="B49" s="994" t="s">
        <v>146</v>
      </c>
      <c r="C49" s="994"/>
      <c r="D49" s="63"/>
      <c r="E49" s="63"/>
      <c r="F49" s="63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 spans="1:30" s="44" customFormat="1" ht="12.9" hidden="1" customHeight="1">
      <c r="A50" s="40" t="s">
        <v>92</v>
      </c>
      <c r="B50" s="43"/>
      <c r="C50" s="39" t="s">
        <v>93</v>
      </c>
      <c r="D50" s="63"/>
      <c r="E50" s="63"/>
      <c r="F50" s="63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</row>
    <row r="51" spans="1:30" ht="12.9" hidden="1" customHeight="1">
      <c r="A51" s="14" t="s">
        <v>94</v>
      </c>
      <c r="B51" s="1051" t="s">
        <v>147</v>
      </c>
      <c r="C51" s="994"/>
      <c r="D51" s="63"/>
      <c r="E51" s="63"/>
      <c r="F51" s="63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</row>
    <row r="52" spans="1:30" s="44" customFormat="1" ht="12.9" hidden="1" customHeight="1">
      <c r="A52" s="36" t="s">
        <v>94</v>
      </c>
      <c r="B52" s="43"/>
      <c r="C52" s="39" t="s">
        <v>148</v>
      </c>
      <c r="D52" s="63"/>
      <c r="E52" s="63"/>
      <c r="F52" s="63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</row>
    <row r="53" spans="1:30" s="44" customFormat="1" ht="12.9" hidden="1" customHeight="1">
      <c r="A53" s="36" t="s">
        <v>94</v>
      </c>
      <c r="B53" s="43"/>
      <c r="C53" s="39" t="s">
        <v>138</v>
      </c>
      <c r="D53" s="63"/>
      <c r="E53" s="63"/>
      <c r="F53" s="63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</row>
    <row r="54" spans="1:30" s="44" customFormat="1" ht="12.9" hidden="1" customHeight="1">
      <c r="A54" s="41" t="s">
        <v>94</v>
      </c>
      <c r="B54" s="43"/>
      <c r="C54" s="39" t="s">
        <v>149</v>
      </c>
      <c r="D54" s="63"/>
      <c r="E54" s="63"/>
      <c r="F54" s="63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</row>
    <row r="55" spans="1:30" s="44" customFormat="1" ht="12.9" hidden="1" customHeight="1">
      <c r="A55" s="36" t="s">
        <v>94</v>
      </c>
      <c r="B55" s="43"/>
      <c r="C55" s="39" t="s">
        <v>150</v>
      </c>
      <c r="D55" s="63"/>
      <c r="E55" s="63"/>
      <c r="F55" s="63"/>
      <c r="G55" s="64"/>
      <c r="H55" s="64"/>
      <c r="I55" s="64"/>
      <c r="J55" s="64"/>
      <c r="K55" s="64"/>
      <c r="L55" s="64"/>
      <c r="M55" s="64"/>
      <c r="N55" s="64"/>
      <c r="O55" s="64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</row>
    <row r="56" spans="1:30" s="48" customFormat="1" ht="12.9" hidden="1" customHeight="1">
      <c r="A56" s="7" t="s">
        <v>95</v>
      </c>
      <c r="B56" s="1052" t="s">
        <v>151</v>
      </c>
      <c r="C56" s="105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</row>
    <row r="57" spans="1:30" ht="7.5" customHeight="1">
      <c r="A57" s="8"/>
      <c r="B57" s="1010"/>
      <c r="C57" s="1010"/>
      <c r="D57" s="63"/>
      <c r="E57" s="63"/>
      <c r="F57" s="63"/>
      <c r="G57" s="348"/>
      <c r="H57" s="348"/>
      <c r="I57" s="348"/>
      <c r="J57" s="348"/>
      <c r="K57" s="348"/>
      <c r="L57" s="348"/>
      <c r="M57" s="348"/>
      <c r="N57" s="348"/>
      <c r="O57" s="348"/>
      <c r="P57" s="32"/>
      <c r="Q57" s="32"/>
      <c r="R57" s="33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</row>
    <row r="58" spans="1:30" ht="12.9" customHeight="1">
      <c r="A58" s="13" t="s">
        <v>97</v>
      </c>
      <c r="B58" s="994" t="s">
        <v>96</v>
      </c>
      <c r="C58" s="994"/>
      <c r="D58" s="63">
        <f t="shared" ref="D58:D61" si="25">+G58+M58+P58+S58+V58+AB58+J58+Y58</f>
        <v>0</v>
      </c>
      <c r="E58" s="63">
        <f t="shared" ref="E58:E61" si="26">+H58+N58+Q58+T58+W58+AC58+K58+Z58</f>
        <v>5347</v>
      </c>
      <c r="F58" s="63">
        <f t="shared" ref="F58:F61" si="27">+I58+O58+R58+U58+X58+AD58+L58+AA58</f>
        <v>5347</v>
      </c>
      <c r="G58" s="31"/>
      <c r="H58" s="31"/>
      <c r="I58" s="31"/>
      <c r="J58" s="31"/>
      <c r="K58" s="31"/>
      <c r="L58" s="31"/>
      <c r="M58" s="31"/>
      <c r="N58" s="31"/>
      <c r="O58" s="31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>
        <v>5347</v>
      </c>
      <c r="AD58" s="31">
        <f t="shared" ref="AD58:AD62" si="28">+AB58+AC58</f>
        <v>5347</v>
      </c>
    </row>
    <row r="59" spans="1:30" ht="12.9" customHeight="1">
      <c r="A59" s="4" t="s">
        <v>99</v>
      </c>
      <c r="B59" s="994" t="s">
        <v>98</v>
      </c>
      <c r="C59" s="994"/>
      <c r="D59" s="63">
        <f t="shared" si="25"/>
        <v>0</v>
      </c>
      <c r="E59" s="63">
        <f t="shared" si="26"/>
        <v>0</v>
      </c>
      <c r="F59" s="63">
        <f t="shared" si="27"/>
        <v>0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4"/>
      <c r="Z59" s="34"/>
      <c r="AA59" s="34"/>
      <c r="AB59" s="34"/>
      <c r="AC59" s="34"/>
      <c r="AD59" s="31">
        <f t="shared" si="28"/>
        <v>0</v>
      </c>
    </row>
    <row r="60" spans="1:30" ht="12.9" customHeight="1">
      <c r="A60" s="4" t="s">
        <v>102</v>
      </c>
      <c r="B60" s="994" t="s">
        <v>166</v>
      </c>
      <c r="C60" s="994"/>
      <c r="D60" s="63">
        <f t="shared" si="25"/>
        <v>0</v>
      </c>
      <c r="E60" s="63">
        <f t="shared" si="26"/>
        <v>0</v>
      </c>
      <c r="F60" s="63">
        <f t="shared" si="27"/>
        <v>0</v>
      </c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4"/>
      <c r="Z60" s="34"/>
      <c r="AA60" s="34"/>
      <c r="AB60" s="34"/>
      <c r="AC60" s="34"/>
      <c r="AD60" s="31">
        <f t="shared" si="28"/>
        <v>0</v>
      </c>
    </row>
    <row r="61" spans="1:30" ht="12.9" customHeight="1">
      <c r="A61" s="4" t="s">
        <v>104</v>
      </c>
      <c r="B61" s="994" t="s">
        <v>103</v>
      </c>
      <c r="C61" s="994"/>
      <c r="D61" s="63">
        <f t="shared" si="25"/>
        <v>0</v>
      </c>
      <c r="E61" s="63">
        <f t="shared" si="26"/>
        <v>0</v>
      </c>
      <c r="F61" s="63">
        <f t="shared" si="27"/>
        <v>0</v>
      </c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4"/>
      <c r="Z61" s="34"/>
      <c r="AA61" s="34"/>
      <c r="AB61" s="34"/>
      <c r="AC61" s="34"/>
      <c r="AD61" s="31">
        <f t="shared" si="28"/>
        <v>0</v>
      </c>
    </row>
    <row r="62" spans="1:30" ht="12.9" customHeight="1">
      <c r="A62" s="4" t="s">
        <v>106</v>
      </c>
      <c r="B62" s="994" t="s">
        <v>165</v>
      </c>
      <c r="C62" s="994"/>
      <c r="D62" s="63">
        <f t="shared" ref="D62:D70" si="29">+G62+M62+P62+S62+V62+AB62+J62+Y62</f>
        <v>0</v>
      </c>
      <c r="E62" s="63">
        <f t="shared" ref="E62:E70" si="30">+H62+N62+Q62+T62+W62+AC62+K62+Z62</f>
        <v>0</v>
      </c>
      <c r="F62" s="63">
        <f t="shared" ref="F62:F70" si="31">+I62+O62+R62+U62+X62+AD62+L62+AA62</f>
        <v>0</v>
      </c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4"/>
      <c r="Z62" s="34"/>
      <c r="AA62" s="34"/>
      <c r="AB62" s="34"/>
      <c r="AC62" s="34"/>
      <c r="AD62" s="31">
        <f t="shared" si="28"/>
        <v>0</v>
      </c>
    </row>
    <row r="63" spans="1:30" ht="12.9" customHeight="1">
      <c r="A63" s="4" t="s">
        <v>108</v>
      </c>
      <c r="B63" s="999" t="s">
        <v>107</v>
      </c>
      <c r="C63" s="999"/>
      <c r="D63" s="63">
        <f t="shared" si="29"/>
        <v>451617</v>
      </c>
      <c r="E63" s="63">
        <f t="shared" si="30"/>
        <v>-101951</v>
      </c>
      <c r="F63" s="63">
        <f t="shared" si="31"/>
        <v>349666</v>
      </c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4"/>
      <c r="Z63" s="34"/>
      <c r="AA63" s="34"/>
      <c r="AB63" s="34">
        <f>SUM(AB64:AB70)</f>
        <v>451617</v>
      </c>
      <c r="AC63" s="34">
        <f t="shared" ref="AC63:AD63" si="32">SUM(AC64:AC70)</f>
        <v>-101951</v>
      </c>
      <c r="AD63" s="34">
        <f t="shared" si="32"/>
        <v>349666</v>
      </c>
    </row>
    <row r="64" spans="1:30" ht="12.9" customHeight="1">
      <c r="A64" s="481"/>
      <c r="B64" s="480"/>
      <c r="C64" s="641" t="s">
        <v>711</v>
      </c>
      <c r="D64" s="31">
        <f t="shared" si="29"/>
        <v>9084</v>
      </c>
      <c r="E64" s="31">
        <f t="shared" si="30"/>
        <v>0</v>
      </c>
      <c r="F64" s="31">
        <f t="shared" si="31"/>
        <v>9084</v>
      </c>
      <c r="G64" s="482"/>
      <c r="H64" s="482"/>
      <c r="I64" s="482"/>
      <c r="J64" s="482"/>
      <c r="K64" s="482"/>
      <c r="L64" s="482"/>
      <c r="M64" s="482"/>
      <c r="N64" s="482"/>
      <c r="O64" s="482"/>
      <c r="P64" s="482"/>
      <c r="Q64" s="482"/>
      <c r="R64" s="482"/>
      <c r="S64" s="482"/>
      <c r="T64" s="482"/>
      <c r="U64" s="482"/>
      <c r="V64" s="482"/>
      <c r="W64" s="482"/>
      <c r="X64" s="482"/>
      <c r="Y64" s="482"/>
      <c r="Z64" s="482"/>
      <c r="AA64" s="482"/>
      <c r="AB64" s="31">
        <f>4084+5000</f>
        <v>9084</v>
      </c>
      <c r="AC64" s="31"/>
      <c r="AD64" s="31">
        <f>+AB64+AC64</f>
        <v>9084</v>
      </c>
    </row>
    <row r="65" spans="1:30" ht="12.9" customHeight="1">
      <c r="A65" s="481"/>
      <c r="B65" s="641"/>
      <c r="C65" s="641" t="s">
        <v>712</v>
      </c>
      <c r="D65" s="31">
        <f t="shared" si="29"/>
        <v>14800</v>
      </c>
      <c r="E65" s="31">
        <f t="shared" si="30"/>
        <v>-274</v>
      </c>
      <c r="F65" s="31">
        <f t="shared" si="31"/>
        <v>14526</v>
      </c>
      <c r="G65" s="482"/>
      <c r="H65" s="482"/>
      <c r="I65" s="482"/>
      <c r="J65" s="482"/>
      <c r="K65" s="482"/>
      <c r="L65" s="482"/>
      <c r="M65" s="482"/>
      <c r="N65" s="482"/>
      <c r="O65" s="482"/>
      <c r="P65" s="482"/>
      <c r="Q65" s="482"/>
      <c r="R65" s="482"/>
      <c r="S65" s="482"/>
      <c r="T65" s="482"/>
      <c r="U65" s="482"/>
      <c r="V65" s="482"/>
      <c r="W65" s="482"/>
      <c r="X65" s="482"/>
      <c r="Y65" s="482"/>
      <c r="Z65" s="482"/>
      <c r="AA65" s="482"/>
      <c r="AB65" s="482">
        <v>14800</v>
      </c>
      <c r="AC65" s="482">
        <f>-140-7-127</f>
        <v>-274</v>
      </c>
      <c r="AD65" s="31">
        <f t="shared" ref="AD65:AD70" si="33">+AB65+AC65</f>
        <v>14526</v>
      </c>
    </row>
    <row r="66" spans="1:30" ht="12.9" customHeight="1">
      <c r="A66" s="481"/>
      <c r="B66" s="635"/>
      <c r="C66" s="643" t="s">
        <v>724</v>
      </c>
      <c r="D66" s="31">
        <f t="shared" si="29"/>
        <v>173502</v>
      </c>
      <c r="E66" s="31">
        <f t="shared" si="30"/>
        <v>-93753</v>
      </c>
      <c r="F66" s="31">
        <f t="shared" si="31"/>
        <v>79749</v>
      </c>
      <c r="G66" s="482"/>
      <c r="H66" s="482"/>
      <c r="I66" s="482"/>
      <c r="J66" s="482"/>
      <c r="K66" s="482"/>
      <c r="L66" s="482"/>
      <c r="M66" s="482"/>
      <c r="N66" s="482"/>
      <c r="O66" s="482"/>
      <c r="P66" s="482"/>
      <c r="Q66" s="482"/>
      <c r="R66" s="482"/>
      <c r="S66" s="482"/>
      <c r="T66" s="482"/>
      <c r="U66" s="482"/>
      <c r="V66" s="482"/>
      <c r="W66" s="482"/>
      <c r="X66" s="482"/>
      <c r="Y66" s="482"/>
      <c r="Z66" s="482"/>
      <c r="AA66" s="482"/>
      <c r="AB66" s="482">
        <v>173502</v>
      </c>
      <c r="AC66" s="482">
        <f>-152-953-150-245-797-953-381-1270-15000-665-100-6825-544-300-4834-4000-95-494-565-1156-55-2159-385-35-1499-1499-98-1346-48-18-53-14-320-476-3175-198-279-1199-2139-787-6750-31742</f>
        <v>-93753</v>
      </c>
      <c r="AD66" s="31">
        <f t="shared" si="33"/>
        <v>79749</v>
      </c>
    </row>
    <row r="67" spans="1:30" ht="12.9" customHeight="1">
      <c r="A67" s="481"/>
      <c r="B67" s="640"/>
      <c r="C67" s="641" t="s">
        <v>715</v>
      </c>
      <c r="D67" s="31">
        <f t="shared" si="29"/>
        <v>156331</v>
      </c>
      <c r="E67" s="31">
        <f t="shared" si="30"/>
        <v>0</v>
      </c>
      <c r="F67" s="31">
        <f t="shared" si="31"/>
        <v>156331</v>
      </c>
      <c r="G67" s="482"/>
      <c r="H67" s="482"/>
      <c r="I67" s="482"/>
      <c r="J67" s="482"/>
      <c r="K67" s="482"/>
      <c r="L67" s="482"/>
      <c r="M67" s="482"/>
      <c r="N67" s="482"/>
      <c r="O67" s="482"/>
      <c r="P67" s="482"/>
      <c r="Q67" s="482"/>
      <c r="R67" s="482"/>
      <c r="S67" s="482"/>
      <c r="T67" s="482"/>
      <c r="U67" s="482"/>
      <c r="V67" s="482"/>
      <c r="W67" s="482"/>
      <c r="X67" s="482"/>
      <c r="Y67" s="482"/>
      <c r="Z67" s="482"/>
      <c r="AA67" s="482"/>
      <c r="AB67" s="482">
        <f>156331</f>
        <v>156331</v>
      </c>
      <c r="AC67" s="482"/>
      <c r="AD67" s="31">
        <f t="shared" si="33"/>
        <v>156331</v>
      </c>
    </row>
    <row r="68" spans="1:30" ht="12.9" customHeight="1">
      <c r="A68" s="481"/>
      <c r="B68" s="635"/>
      <c r="C68" s="641" t="s">
        <v>713</v>
      </c>
      <c r="D68" s="31">
        <f t="shared" si="29"/>
        <v>18000</v>
      </c>
      <c r="E68" s="31">
        <f t="shared" si="30"/>
        <v>0</v>
      </c>
      <c r="F68" s="31">
        <f t="shared" si="31"/>
        <v>18000</v>
      </c>
      <c r="G68" s="482"/>
      <c r="H68" s="482"/>
      <c r="I68" s="482"/>
      <c r="J68" s="482"/>
      <c r="K68" s="482"/>
      <c r="L68" s="482"/>
      <c r="M68" s="482"/>
      <c r="N68" s="482"/>
      <c r="O68" s="482"/>
      <c r="P68" s="482"/>
      <c r="Q68" s="482"/>
      <c r="R68" s="482"/>
      <c r="S68" s="482"/>
      <c r="T68" s="482"/>
      <c r="U68" s="482"/>
      <c r="V68" s="482"/>
      <c r="W68" s="482"/>
      <c r="X68" s="482"/>
      <c r="Y68" s="482"/>
      <c r="Z68" s="482"/>
      <c r="AA68" s="482"/>
      <c r="AB68" s="482">
        <v>18000</v>
      </c>
      <c r="AC68" s="482"/>
      <c r="AD68" s="31">
        <f t="shared" si="33"/>
        <v>18000</v>
      </c>
    </row>
    <row r="69" spans="1:30" ht="12.9" customHeight="1">
      <c r="A69" s="481"/>
      <c r="B69" s="480"/>
      <c r="C69" s="641" t="s">
        <v>714</v>
      </c>
      <c r="D69" s="31">
        <f t="shared" si="29"/>
        <v>20490</v>
      </c>
      <c r="E69" s="31">
        <f t="shared" si="30"/>
        <v>-2506</v>
      </c>
      <c r="F69" s="31">
        <f t="shared" si="31"/>
        <v>17984</v>
      </c>
      <c r="G69" s="482"/>
      <c r="H69" s="482"/>
      <c r="I69" s="482"/>
      <c r="J69" s="482"/>
      <c r="K69" s="482"/>
      <c r="L69" s="482"/>
      <c r="M69" s="482"/>
      <c r="N69" s="482"/>
      <c r="O69" s="482"/>
      <c r="P69" s="482"/>
      <c r="Q69" s="482"/>
      <c r="R69" s="482"/>
      <c r="S69" s="482"/>
      <c r="T69" s="482"/>
      <c r="U69" s="482"/>
      <c r="V69" s="482"/>
      <c r="W69" s="482"/>
      <c r="X69" s="482"/>
      <c r="Y69" s="482"/>
      <c r="Z69" s="482"/>
      <c r="AA69" s="482"/>
      <c r="AB69" s="482">
        <f>10000+1000+7149+540+1416+1449+704-1768</f>
        <v>20490</v>
      </c>
      <c r="AC69" s="482">
        <f>-100-85-681-316-99-610-952-3810-10205-5-3547-19584-114-449-5347-13-34-100-295-150-800-1668+217+48535-2294</f>
        <v>-2506</v>
      </c>
      <c r="AD69" s="31">
        <f t="shared" si="33"/>
        <v>17984</v>
      </c>
    </row>
    <row r="70" spans="1:30" ht="12.9" customHeight="1">
      <c r="A70" s="481"/>
      <c r="B70" s="635"/>
      <c r="C70" s="635" t="s">
        <v>686</v>
      </c>
      <c r="D70" s="31">
        <f t="shared" si="29"/>
        <v>59410</v>
      </c>
      <c r="E70" s="31">
        <f t="shared" si="30"/>
        <v>-5418</v>
      </c>
      <c r="F70" s="31">
        <f t="shared" si="31"/>
        <v>53992</v>
      </c>
      <c r="G70" s="482"/>
      <c r="H70" s="482"/>
      <c r="I70" s="482"/>
      <c r="J70" s="482"/>
      <c r="K70" s="482"/>
      <c r="L70" s="482"/>
      <c r="M70" s="482"/>
      <c r="N70" s="482"/>
      <c r="O70" s="482"/>
      <c r="P70" s="482"/>
      <c r="Q70" s="482"/>
      <c r="R70" s="482"/>
      <c r="S70" s="482"/>
      <c r="T70" s="482"/>
      <c r="U70" s="482"/>
      <c r="V70" s="482"/>
      <c r="W70" s="482"/>
      <c r="X70" s="482"/>
      <c r="Y70" s="482"/>
      <c r="Z70" s="482"/>
      <c r="AA70" s="482"/>
      <c r="AB70" s="482">
        <f>40360+19050</f>
        <v>59410</v>
      </c>
      <c r="AC70" s="482">
        <v>-5418</v>
      </c>
      <c r="AD70" s="31">
        <f t="shared" si="33"/>
        <v>53992</v>
      </c>
    </row>
    <row r="71" spans="1:30" s="48" customFormat="1" ht="12.9" customHeight="1">
      <c r="A71" s="7" t="s">
        <v>109</v>
      </c>
      <c r="B71" s="995" t="s">
        <v>164</v>
      </c>
      <c r="C71" s="995"/>
      <c r="D71" s="63">
        <f t="shared" ref="D71" si="34">+G71+M71+P71+S71+V71+AB71+J71+Y71</f>
        <v>451617</v>
      </c>
      <c r="E71" s="63">
        <f t="shared" ref="E71" si="35">+H71+N71+Q71+T71+W71+AC71+K71+Z71</f>
        <v>-96604</v>
      </c>
      <c r="F71" s="63">
        <f t="shared" ref="F71" si="36">+I71+O71+R71+U71+X71+AD71+L71+AA71</f>
        <v>355013</v>
      </c>
      <c r="G71" s="60">
        <f>+G63+G62+G61+G60+G59+G58</f>
        <v>0</v>
      </c>
      <c r="H71" s="60">
        <f>+H63+H62+H61+H60+H59+H58</f>
        <v>0</v>
      </c>
      <c r="I71" s="60">
        <f>+I63+I62+I61+I60+I59+I58</f>
        <v>0</v>
      </c>
      <c r="J71" s="60"/>
      <c r="K71" s="60"/>
      <c r="L71" s="60"/>
      <c r="M71" s="60"/>
      <c r="N71" s="60"/>
      <c r="O71" s="60"/>
      <c r="P71" s="60">
        <f t="shared" ref="P71:X71" si="37">+P63+P62+P61+P60+P59+P58</f>
        <v>0</v>
      </c>
      <c r="Q71" s="60">
        <f t="shared" si="37"/>
        <v>0</v>
      </c>
      <c r="R71" s="60">
        <f t="shared" si="37"/>
        <v>0</v>
      </c>
      <c r="S71" s="60">
        <f t="shared" si="37"/>
        <v>0</v>
      </c>
      <c r="T71" s="60">
        <f t="shared" si="37"/>
        <v>0</v>
      </c>
      <c r="U71" s="60">
        <f t="shared" si="37"/>
        <v>0</v>
      </c>
      <c r="V71" s="60">
        <f t="shared" si="37"/>
        <v>0</v>
      </c>
      <c r="W71" s="60">
        <f t="shared" si="37"/>
        <v>0</v>
      </c>
      <c r="X71" s="60">
        <f t="shared" si="37"/>
        <v>0</v>
      </c>
      <c r="Y71" s="60">
        <f t="shared" ref="Y71:AA71" si="38">+Y63+Y62+Y61+Y60+Y59+Y58</f>
        <v>0</v>
      </c>
      <c r="Z71" s="60">
        <f t="shared" si="38"/>
        <v>0</v>
      </c>
      <c r="AA71" s="60">
        <f t="shared" si="38"/>
        <v>0</v>
      </c>
      <c r="AB71" s="60">
        <f>+AB63+AB62+AB61+AB60+AB59+AB58</f>
        <v>451617</v>
      </c>
      <c r="AC71" s="60">
        <f>+AC63+AC62+AC61+AC60+AC59+AC58</f>
        <v>-96604</v>
      </c>
      <c r="AD71" s="60">
        <f>+AD63+AD62+AD61+AD60+AD59+AD58</f>
        <v>355013</v>
      </c>
    </row>
    <row r="72" spans="1:30" ht="11.25" customHeight="1">
      <c r="A72" s="8"/>
      <c r="B72" s="9"/>
      <c r="C72" s="9"/>
      <c r="D72" s="63"/>
      <c r="E72" s="63"/>
      <c r="F72" s="63"/>
      <c r="G72" s="32"/>
      <c r="H72" s="32"/>
      <c r="I72" s="33"/>
      <c r="J72" s="32"/>
      <c r="K72" s="32"/>
      <c r="L72" s="32"/>
      <c r="M72" s="32"/>
      <c r="N72" s="32"/>
      <c r="O72" s="32"/>
      <c r="P72" s="32"/>
      <c r="Q72" s="32"/>
      <c r="R72" s="33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</row>
    <row r="73" spans="1:30" ht="12.9" hidden="1" customHeight="1">
      <c r="A73" s="13" t="s">
        <v>111</v>
      </c>
      <c r="B73" s="996" t="s">
        <v>110</v>
      </c>
      <c r="C73" s="996"/>
      <c r="D73" s="63"/>
      <c r="E73" s="63"/>
      <c r="F73" s="63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</row>
    <row r="74" spans="1:30" ht="12.9" hidden="1" customHeight="1">
      <c r="A74" s="4" t="s">
        <v>112</v>
      </c>
      <c r="B74" s="999" t="s">
        <v>163</v>
      </c>
      <c r="C74" s="999"/>
      <c r="D74" s="63"/>
      <c r="E74" s="63"/>
      <c r="F74" s="63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</row>
    <row r="75" spans="1:30" s="44" customFormat="1" ht="12.9" hidden="1" customHeight="1">
      <c r="A75" s="40" t="s">
        <v>112</v>
      </c>
      <c r="B75" s="43"/>
      <c r="C75" s="46" t="s">
        <v>113</v>
      </c>
      <c r="D75" s="63"/>
      <c r="E75" s="63"/>
      <c r="F75" s="63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</row>
    <row r="76" spans="1:30" ht="12.9" hidden="1" customHeight="1">
      <c r="A76" s="4" t="s">
        <v>115</v>
      </c>
      <c r="B76" s="999" t="s">
        <v>114</v>
      </c>
      <c r="C76" s="999"/>
      <c r="D76" s="63"/>
      <c r="E76" s="63"/>
      <c r="F76" s="63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</row>
    <row r="77" spans="1:30" ht="12.9" hidden="1" customHeight="1">
      <c r="A77" s="4" t="s">
        <v>117</v>
      </c>
      <c r="B77" s="999" t="s">
        <v>116</v>
      </c>
      <c r="C77" s="999"/>
      <c r="D77" s="63"/>
      <c r="E77" s="63"/>
      <c r="F77" s="63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</row>
    <row r="78" spans="1:30" ht="12.9" hidden="1" customHeight="1">
      <c r="A78" s="4" t="s">
        <v>119</v>
      </c>
      <c r="B78" s="999" t="s">
        <v>118</v>
      </c>
      <c r="C78" s="999"/>
      <c r="D78" s="63"/>
      <c r="E78" s="63"/>
      <c r="F78" s="63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</row>
    <row r="79" spans="1:30" ht="12.9" hidden="1" customHeight="1">
      <c r="A79" s="4" t="s">
        <v>121</v>
      </c>
      <c r="B79" s="999" t="s">
        <v>120</v>
      </c>
      <c r="C79" s="999"/>
      <c r="D79" s="63"/>
      <c r="E79" s="63"/>
      <c r="F79" s="63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</row>
    <row r="80" spans="1:30" ht="12.9" hidden="1" customHeight="1">
      <c r="A80" s="4" t="s">
        <v>123</v>
      </c>
      <c r="B80" s="999" t="s">
        <v>122</v>
      </c>
      <c r="C80" s="999"/>
      <c r="D80" s="63"/>
      <c r="E80" s="63"/>
      <c r="F80" s="63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</row>
    <row r="81" spans="1:30" s="48" customFormat="1" ht="12.9" hidden="1" customHeight="1">
      <c r="A81" s="7" t="s">
        <v>124</v>
      </c>
      <c r="B81" s="995" t="s">
        <v>162</v>
      </c>
      <c r="C81" s="995"/>
      <c r="D81" s="63"/>
      <c r="E81" s="63"/>
      <c r="F81" s="63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</row>
    <row r="82" spans="1:30" ht="5.25" hidden="1" customHeight="1">
      <c r="A82" s="8"/>
      <c r="B82" s="9"/>
      <c r="C82" s="9"/>
      <c r="D82" s="63"/>
      <c r="E82" s="63"/>
      <c r="F82" s="63"/>
      <c r="G82" s="32"/>
      <c r="H82" s="32"/>
      <c r="I82" s="33"/>
      <c r="J82" s="32"/>
      <c r="K82" s="32"/>
      <c r="L82" s="32"/>
      <c r="M82" s="32"/>
      <c r="N82" s="32"/>
      <c r="O82" s="32"/>
      <c r="P82" s="32"/>
      <c r="Q82" s="32"/>
      <c r="R82" s="33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</row>
    <row r="83" spans="1:30" ht="12.9" hidden="1" customHeight="1">
      <c r="A83" s="4" t="s">
        <v>126</v>
      </c>
      <c r="B83" s="999" t="s">
        <v>125</v>
      </c>
      <c r="C83" s="999"/>
      <c r="D83" s="63"/>
      <c r="E83" s="63"/>
      <c r="F83" s="63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</row>
    <row r="84" spans="1:30" ht="12.9" hidden="1" customHeight="1">
      <c r="A84" s="4" t="s">
        <v>128</v>
      </c>
      <c r="B84" s="999" t="s">
        <v>127</v>
      </c>
      <c r="C84" s="999"/>
      <c r="D84" s="63"/>
      <c r="E84" s="63"/>
      <c r="F84" s="63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</row>
    <row r="85" spans="1:30" ht="12.9" hidden="1" customHeight="1">
      <c r="A85" s="4" t="s">
        <v>130</v>
      </c>
      <c r="B85" s="999" t="s">
        <v>129</v>
      </c>
      <c r="C85" s="999"/>
      <c r="D85" s="63"/>
      <c r="E85" s="63"/>
      <c r="F85" s="63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</row>
    <row r="86" spans="1:30" ht="12.9" hidden="1" customHeight="1">
      <c r="A86" s="4" t="s">
        <v>132</v>
      </c>
      <c r="B86" s="999" t="s">
        <v>131</v>
      </c>
      <c r="C86" s="999"/>
      <c r="D86" s="63"/>
      <c r="E86" s="63"/>
      <c r="F86" s="63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</row>
    <row r="87" spans="1:30" s="48" customFormat="1" ht="12.9" hidden="1" customHeight="1">
      <c r="A87" s="7" t="s">
        <v>133</v>
      </c>
      <c r="B87" s="995" t="s">
        <v>161</v>
      </c>
      <c r="C87" s="995"/>
      <c r="D87" s="63"/>
      <c r="E87" s="63"/>
      <c r="F87" s="63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</row>
    <row r="88" spans="1:30" ht="12.9" hidden="1" customHeight="1">
      <c r="A88" s="8"/>
      <c r="B88" s="9"/>
      <c r="C88" s="9"/>
      <c r="D88" s="63"/>
      <c r="E88" s="63"/>
      <c r="F88" s="63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</row>
    <row r="89" spans="1:30" ht="12.9" hidden="1" customHeight="1">
      <c r="A89" s="203" t="s">
        <v>396</v>
      </c>
      <c r="B89" s="996" t="s">
        <v>397</v>
      </c>
      <c r="C89" s="996"/>
      <c r="D89" s="63"/>
      <c r="E89" s="63"/>
      <c r="F89" s="63"/>
      <c r="G89" s="204"/>
      <c r="H89" s="204"/>
      <c r="I89" s="204"/>
      <c r="J89" s="204"/>
      <c r="K89" s="204"/>
      <c r="L89" s="204"/>
      <c r="M89" s="204"/>
      <c r="N89" s="204"/>
      <c r="O89" s="204"/>
      <c r="P89" s="204"/>
      <c r="Q89" s="204"/>
      <c r="R89" s="204"/>
      <c r="S89" s="204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204"/>
    </row>
    <row r="90" spans="1:30" ht="12.9" hidden="1" customHeight="1">
      <c r="A90" s="203" t="s">
        <v>412</v>
      </c>
      <c r="B90" s="1002" t="s">
        <v>413</v>
      </c>
      <c r="C90" s="1003"/>
      <c r="D90" s="63"/>
      <c r="E90" s="63"/>
      <c r="F90" s="63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204"/>
    </row>
    <row r="91" spans="1:30" ht="12.9" hidden="1" customHeight="1">
      <c r="A91" s="13" t="s">
        <v>134</v>
      </c>
      <c r="B91" s="996" t="s">
        <v>160</v>
      </c>
      <c r="C91" s="996"/>
      <c r="D91" s="63"/>
      <c r="E91" s="63"/>
      <c r="F91" s="63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</row>
    <row r="92" spans="1:30" s="48" customFormat="1" ht="12.9" hidden="1" customHeight="1">
      <c r="A92" s="16" t="s">
        <v>135</v>
      </c>
      <c r="B92" s="1000" t="s">
        <v>159</v>
      </c>
      <c r="C92" s="1000"/>
      <c r="D92" s="63"/>
      <c r="E92" s="63"/>
      <c r="F92" s="63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  <c r="Z92" s="58"/>
      <c r="AA92" s="58"/>
      <c r="AB92" s="58"/>
      <c r="AC92" s="58"/>
      <c r="AD92" s="58"/>
    </row>
    <row r="93" spans="1:30" ht="12.9" customHeight="1">
      <c r="A93" s="8"/>
      <c r="B93" s="17"/>
      <c r="C93" s="17"/>
      <c r="D93" s="63"/>
      <c r="E93" s="63"/>
      <c r="F93" s="63"/>
      <c r="G93" s="32"/>
      <c r="H93" s="32"/>
      <c r="I93" s="33"/>
      <c r="J93" s="32"/>
      <c r="K93" s="32"/>
      <c r="L93" s="32"/>
      <c r="M93" s="32"/>
      <c r="N93" s="32"/>
      <c r="O93" s="32"/>
      <c r="P93" s="32"/>
      <c r="Q93" s="32"/>
      <c r="R93" s="33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</row>
    <row r="94" spans="1:30" s="48" customFormat="1" ht="12.9" customHeight="1">
      <c r="A94" s="18" t="s">
        <v>136</v>
      </c>
      <c r="B94" s="1011" t="s">
        <v>158</v>
      </c>
      <c r="C94" s="1011"/>
      <c r="D94" s="63">
        <f t="shared" ref="D94" si="39">+G94+M94+P94+S94+V94+AB94+J94+Y94</f>
        <v>535853</v>
      </c>
      <c r="E94" s="63">
        <f t="shared" ref="E94" si="40">+H94+N94+Q94+T94+W94+AC94+K94+Z94</f>
        <v>-87884</v>
      </c>
      <c r="F94" s="63">
        <f t="shared" ref="F94" si="41">+I94+O94+R94+U94+X94+AD94+L94+AA94</f>
        <v>447969</v>
      </c>
      <c r="G94" s="59">
        <f t="shared" ref="G94:AD94" si="42">+G92+G87+G81+G71+G56+G36+G10+G8</f>
        <v>12283</v>
      </c>
      <c r="H94" s="59">
        <f t="shared" si="42"/>
        <v>3881</v>
      </c>
      <c r="I94" s="59">
        <f t="shared" si="42"/>
        <v>16164</v>
      </c>
      <c r="J94" s="59">
        <f t="shared" si="42"/>
        <v>32206</v>
      </c>
      <c r="K94" s="59">
        <f t="shared" si="42"/>
        <v>2323</v>
      </c>
      <c r="L94" s="59">
        <f t="shared" si="42"/>
        <v>34529</v>
      </c>
      <c r="M94" s="59">
        <f t="shared" si="42"/>
        <v>14622</v>
      </c>
      <c r="N94" s="59">
        <f t="shared" si="42"/>
        <v>1123</v>
      </c>
      <c r="O94" s="59">
        <f t="shared" si="42"/>
        <v>15745</v>
      </c>
      <c r="P94" s="59">
        <f t="shared" si="42"/>
        <v>1270</v>
      </c>
      <c r="Q94" s="59">
        <f t="shared" si="42"/>
        <v>-10</v>
      </c>
      <c r="R94" s="59">
        <f t="shared" si="42"/>
        <v>1260</v>
      </c>
      <c r="S94" s="59">
        <f t="shared" si="42"/>
        <v>1016</v>
      </c>
      <c r="T94" s="59">
        <f t="shared" si="42"/>
        <v>95</v>
      </c>
      <c r="U94" s="59">
        <f t="shared" si="42"/>
        <v>1111</v>
      </c>
      <c r="V94" s="59">
        <f t="shared" si="42"/>
        <v>14136</v>
      </c>
      <c r="W94" s="59">
        <f t="shared" si="42"/>
        <v>53</v>
      </c>
      <c r="X94" s="59">
        <f t="shared" si="42"/>
        <v>14189</v>
      </c>
      <c r="Y94" s="59">
        <f t="shared" si="42"/>
        <v>4613</v>
      </c>
      <c r="Z94" s="59">
        <f t="shared" si="42"/>
        <v>1154</v>
      </c>
      <c r="AA94" s="59">
        <f t="shared" si="42"/>
        <v>5767</v>
      </c>
      <c r="AB94" s="59">
        <f t="shared" si="42"/>
        <v>455707</v>
      </c>
      <c r="AC94" s="59">
        <f t="shared" si="42"/>
        <v>-96503</v>
      </c>
      <c r="AD94" s="59">
        <f t="shared" si="42"/>
        <v>359204</v>
      </c>
    </row>
    <row r="95" spans="1:30" ht="12.9" customHeight="1">
      <c r="D95" s="63"/>
      <c r="E95" s="63"/>
      <c r="F95" s="63"/>
    </row>
    <row r="96" spans="1:30" ht="12.9" customHeight="1">
      <c r="A96" s="73" t="s">
        <v>269</v>
      </c>
      <c r="B96" s="1044" t="s">
        <v>268</v>
      </c>
      <c r="C96" s="1045"/>
      <c r="D96" s="63">
        <f t="shared" ref="D96:D102" si="43">+G96+M96+P96+S96+V96+AB96+J96+Y96</f>
        <v>6673</v>
      </c>
      <c r="E96" s="63">
        <f t="shared" ref="E96:E102" si="44">+H96+N96+Q96+T96+W96+AC96+K96+Z96</f>
        <v>0</v>
      </c>
      <c r="F96" s="63">
        <f t="shared" ref="F96:F102" si="45">+I96+O96+R96+U96+X96+AD96+L96+AA96</f>
        <v>6673</v>
      </c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>
        <v>6673</v>
      </c>
      <c r="AC96" s="21"/>
      <c r="AD96" s="21">
        <f>+AB96+AC96</f>
        <v>6673</v>
      </c>
    </row>
    <row r="97" spans="1:30" ht="12.9" customHeight="1">
      <c r="A97" s="73" t="s">
        <v>389</v>
      </c>
      <c r="B97" s="1044" t="s">
        <v>392</v>
      </c>
      <c r="C97" s="1045"/>
      <c r="D97" s="63">
        <f t="shared" si="43"/>
        <v>0</v>
      </c>
      <c r="E97" s="63">
        <f t="shared" si="44"/>
        <v>0</v>
      </c>
      <c r="F97" s="63">
        <f t="shared" si="45"/>
        <v>0</v>
      </c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1:30" ht="12.9" customHeight="1">
      <c r="A98" s="73" t="s">
        <v>390</v>
      </c>
      <c r="B98" s="1044" t="s">
        <v>391</v>
      </c>
      <c r="C98" s="1045"/>
      <c r="D98" s="63">
        <f t="shared" si="43"/>
        <v>0</v>
      </c>
      <c r="E98" s="63">
        <f t="shared" si="44"/>
        <v>0</v>
      </c>
      <c r="F98" s="63">
        <f t="shared" si="45"/>
        <v>0</v>
      </c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1:30" s="48" customFormat="1" ht="12.9" customHeight="1">
      <c r="A99" s="72" t="s">
        <v>271</v>
      </c>
      <c r="B99" s="1048" t="s">
        <v>270</v>
      </c>
      <c r="C99" s="1048"/>
      <c r="D99" s="63">
        <f t="shared" si="43"/>
        <v>6673</v>
      </c>
      <c r="E99" s="63">
        <f t="shared" si="44"/>
        <v>0</v>
      </c>
      <c r="F99" s="63">
        <f t="shared" si="45"/>
        <v>6673</v>
      </c>
      <c r="G99" s="49"/>
      <c r="H99" s="49"/>
      <c r="I99" s="49"/>
      <c r="J99" s="49"/>
      <c r="K99" s="49"/>
      <c r="L99" s="49"/>
      <c r="M99" s="49"/>
      <c r="N99" s="49"/>
      <c r="O99" s="49"/>
      <c r="P99" s="49">
        <f t="shared" ref="P99:AB99" si="46">SUM(P96:P98)</f>
        <v>0</v>
      </c>
      <c r="Q99" s="49">
        <f t="shared" si="46"/>
        <v>0</v>
      </c>
      <c r="R99" s="49">
        <f t="shared" si="46"/>
        <v>0</v>
      </c>
      <c r="S99" s="49">
        <f t="shared" si="46"/>
        <v>0</v>
      </c>
      <c r="T99" s="49">
        <f t="shared" si="46"/>
        <v>0</v>
      </c>
      <c r="U99" s="49">
        <f t="shared" si="46"/>
        <v>0</v>
      </c>
      <c r="V99" s="49">
        <f t="shared" si="46"/>
        <v>0</v>
      </c>
      <c r="W99" s="49">
        <f t="shared" si="46"/>
        <v>0</v>
      </c>
      <c r="X99" s="49">
        <f t="shared" si="46"/>
        <v>0</v>
      </c>
      <c r="Y99" s="49"/>
      <c r="Z99" s="49"/>
      <c r="AA99" s="49"/>
      <c r="AB99" s="49">
        <f t="shared" si="46"/>
        <v>6673</v>
      </c>
      <c r="AC99" s="49">
        <f>SUM(AC96:AC98)</f>
        <v>0</v>
      </c>
      <c r="AD99" s="49">
        <f>SUM(AD96:AD98)</f>
        <v>6673</v>
      </c>
    </row>
    <row r="100" spans="1:30" s="48" customFormat="1" ht="12.9" customHeight="1">
      <c r="A100" s="72" t="s">
        <v>766</v>
      </c>
      <c r="B100" s="1049" t="s">
        <v>767</v>
      </c>
      <c r="C100" s="1049"/>
      <c r="D100" s="63">
        <f t="shared" si="43"/>
        <v>0</v>
      </c>
      <c r="E100" s="63">
        <f t="shared" si="44"/>
        <v>19584</v>
      </c>
      <c r="F100" s="63">
        <f t="shared" si="45"/>
        <v>19584</v>
      </c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>
        <v>19584</v>
      </c>
      <c r="AD100" s="49">
        <f>+AB100+AC100</f>
        <v>19584</v>
      </c>
    </row>
    <row r="101" spans="1:30" s="48" customFormat="1" ht="12.9" customHeight="1">
      <c r="A101" s="72" t="s">
        <v>393</v>
      </c>
      <c r="B101" s="1046" t="s">
        <v>394</v>
      </c>
      <c r="C101" s="1047"/>
      <c r="D101" s="63">
        <f t="shared" si="43"/>
        <v>377510</v>
      </c>
      <c r="E101" s="63">
        <f t="shared" si="44"/>
        <v>3200</v>
      </c>
      <c r="F101" s="63">
        <f t="shared" si="45"/>
        <v>380710</v>
      </c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>
        <v>377510</v>
      </c>
      <c r="AC101" s="49">
        <f>-1154+85+316+360-360+179+150+1668+1199+757</f>
        <v>3200</v>
      </c>
      <c r="AD101" s="49">
        <f>+AB101+AC101</f>
        <v>380710</v>
      </c>
    </row>
    <row r="102" spans="1:30" s="48" customFormat="1" ht="12.9" customHeight="1">
      <c r="A102" s="72" t="s">
        <v>272</v>
      </c>
      <c r="B102" s="86" t="s">
        <v>278</v>
      </c>
      <c r="C102" s="98"/>
      <c r="D102" s="63">
        <f t="shared" si="43"/>
        <v>384183</v>
      </c>
      <c r="E102" s="63">
        <f t="shared" si="44"/>
        <v>22784</v>
      </c>
      <c r="F102" s="63">
        <f t="shared" si="45"/>
        <v>406967</v>
      </c>
      <c r="G102" s="49"/>
      <c r="H102" s="49"/>
      <c r="I102" s="49"/>
      <c r="J102" s="49"/>
      <c r="K102" s="49"/>
      <c r="L102" s="49"/>
      <c r="M102" s="49"/>
      <c r="N102" s="49"/>
      <c r="O102" s="49"/>
      <c r="P102" s="49">
        <f t="shared" ref="P102:AA102" si="47">+P101+P99</f>
        <v>0</v>
      </c>
      <c r="Q102" s="49">
        <f t="shared" si="47"/>
        <v>0</v>
      </c>
      <c r="R102" s="49">
        <f t="shared" si="47"/>
        <v>0</v>
      </c>
      <c r="S102" s="49">
        <f t="shared" si="47"/>
        <v>0</v>
      </c>
      <c r="T102" s="49">
        <f t="shared" si="47"/>
        <v>0</v>
      </c>
      <c r="U102" s="49">
        <f t="shared" si="47"/>
        <v>0</v>
      </c>
      <c r="V102" s="49">
        <f t="shared" si="47"/>
        <v>0</v>
      </c>
      <c r="W102" s="49">
        <f t="shared" si="47"/>
        <v>0</v>
      </c>
      <c r="X102" s="49">
        <f t="shared" si="47"/>
        <v>0</v>
      </c>
      <c r="Y102" s="49">
        <f t="shared" si="47"/>
        <v>0</v>
      </c>
      <c r="Z102" s="49">
        <f t="shared" si="47"/>
        <v>0</v>
      </c>
      <c r="AA102" s="49">
        <f t="shared" si="47"/>
        <v>0</v>
      </c>
      <c r="AB102" s="49">
        <f>+AB101+AB99+AB100</f>
        <v>384183</v>
      </c>
      <c r="AC102" s="49">
        <f>+AC101+AC99+AC100</f>
        <v>22784</v>
      </c>
      <c r="AD102" s="49">
        <f>+AD101+AD99+AD100</f>
        <v>406967</v>
      </c>
    </row>
  </sheetData>
  <mergeCells count="91">
    <mergeCell ref="A1:AD1"/>
    <mergeCell ref="A2:AD2"/>
    <mergeCell ref="G3:I3"/>
    <mergeCell ref="M3:O3"/>
    <mergeCell ref="G4:I4"/>
    <mergeCell ref="M4:O4"/>
    <mergeCell ref="AB3:AD3"/>
    <mergeCell ref="D3:F3"/>
    <mergeCell ref="D4:F4"/>
    <mergeCell ref="A3:A5"/>
    <mergeCell ref="J4:L4"/>
    <mergeCell ref="Y3:AA3"/>
    <mergeCell ref="Y4:AA4"/>
    <mergeCell ref="B20:C20"/>
    <mergeCell ref="B21:C21"/>
    <mergeCell ref="B17:C17"/>
    <mergeCell ref="B18:C18"/>
    <mergeCell ref="B14:C14"/>
    <mergeCell ref="B19:C19"/>
    <mergeCell ref="B13:C13"/>
    <mergeCell ref="B15:C15"/>
    <mergeCell ref="B16:C16"/>
    <mergeCell ref="S4:U4"/>
    <mergeCell ref="V4:X4"/>
    <mergeCell ref="B3:C5"/>
    <mergeCell ref="P3:R3"/>
    <mergeCell ref="P4:R4"/>
    <mergeCell ref="S3:U3"/>
    <mergeCell ref="V3:X3"/>
    <mergeCell ref="B6:C6"/>
    <mergeCell ref="B7:C7"/>
    <mergeCell ref="B8:C8"/>
    <mergeCell ref="B10:C10"/>
    <mergeCell ref="B12:C12"/>
    <mergeCell ref="J3:L3"/>
    <mergeCell ref="B28:C28"/>
    <mergeCell ref="B96:C96"/>
    <mergeCell ref="B22:C22"/>
    <mergeCell ref="B90:C90"/>
    <mergeCell ref="B59:C59"/>
    <mergeCell ref="B60:C60"/>
    <mergeCell ref="B39:C39"/>
    <mergeCell ref="B27:C27"/>
    <mergeCell ref="B24:C24"/>
    <mergeCell ref="B25:C25"/>
    <mergeCell ref="B34:C34"/>
    <mergeCell ref="B35:C35"/>
    <mergeCell ref="B36:C36"/>
    <mergeCell ref="B51:C51"/>
    <mergeCell ref="B56:C56"/>
    <mergeCell ref="B57:C57"/>
    <mergeCell ref="B42:C42"/>
    <mergeCell ref="B45:C45"/>
    <mergeCell ref="B47:C47"/>
    <mergeCell ref="B49:C49"/>
    <mergeCell ref="B38:C38"/>
    <mergeCell ref="B87:C87"/>
    <mergeCell ref="B91:C91"/>
    <mergeCell ref="B92:C92"/>
    <mergeCell ref="B77:C77"/>
    <mergeCell ref="B78:C78"/>
    <mergeCell ref="B79:C79"/>
    <mergeCell ref="B80:C80"/>
    <mergeCell ref="B81:C81"/>
    <mergeCell ref="B83:C83"/>
    <mergeCell ref="B84:C84"/>
    <mergeCell ref="B85:C85"/>
    <mergeCell ref="B86:C86"/>
    <mergeCell ref="B26:C26"/>
    <mergeCell ref="B33:C33"/>
    <mergeCell ref="B23:C23"/>
    <mergeCell ref="B76:C76"/>
    <mergeCell ref="B61:C61"/>
    <mergeCell ref="B62:C62"/>
    <mergeCell ref="B63:C63"/>
    <mergeCell ref="B71:C71"/>
    <mergeCell ref="B73:C73"/>
    <mergeCell ref="B74:C74"/>
    <mergeCell ref="B58:C58"/>
    <mergeCell ref="B29:C29"/>
    <mergeCell ref="B30:C30"/>
    <mergeCell ref="B31:C31"/>
    <mergeCell ref="B32:C32"/>
    <mergeCell ref="B41:C41"/>
    <mergeCell ref="B97:C97"/>
    <mergeCell ref="B98:C98"/>
    <mergeCell ref="B101:C101"/>
    <mergeCell ref="B89:C89"/>
    <mergeCell ref="B94:C94"/>
    <mergeCell ref="B99:C99"/>
    <mergeCell ref="B100:C100"/>
  </mergeCells>
  <printOptions horizontalCentered="1"/>
  <pageMargins left="0.31496062992125984" right="0.31496062992125984" top="0.74803149606299213" bottom="0.15748031496062992" header="0.31496062992125984" footer="0.31496062992125984"/>
  <pageSetup paperSize="8" scale="80" orientation="landscape" r:id="rId1"/>
  <headerFooter>
    <oddHeader>&amp;C&amp;"Times New Roman,Félkövér"&amp;14Martonvásár Város Önkormányzatának kiadásai 2016.
Egyéb tevékenység&amp;R&amp;"-,Félkövér"&amp;12 5.g melléklet&amp;"-,Normál"&amp;11
Adatok E 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AA112"/>
  <sheetViews>
    <sheetView workbookViewId="0">
      <pane xSplit="3" ySplit="3" topLeftCell="D4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B24" sqref="B24:C24"/>
    </sheetView>
  </sheetViews>
  <sheetFormatPr defaultColWidth="9.109375" defaultRowHeight="13.2"/>
  <cols>
    <col min="1" max="1" width="7.44140625" style="852" customWidth="1"/>
    <col min="2" max="2" width="9.44140625" style="79" customWidth="1"/>
    <col min="3" max="3" width="32.33203125" style="79" customWidth="1"/>
    <col min="4" max="4" width="9.44140625" style="20" customWidth="1"/>
    <col min="5" max="5" width="7.5546875" style="20" customWidth="1"/>
    <col min="6" max="6" width="7.44140625" style="20" customWidth="1"/>
    <col min="7" max="7" width="9.44140625" style="20" customWidth="1"/>
    <col min="8" max="8" width="6.33203125" style="20" customWidth="1"/>
    <col min="9" max="9" width="7.33203125" style="20" customWidth="1"/>
    <col min="10" max="10" width="8.88671875" style="20" customWidth="1"/>
    <col min="11" max="11" width="6.5546875" style="20" customWidth="1"/>
    <col min="12" max="12" width="7.33203125" style="20" customWidth="1"/>
    <col min="13" max="13" width="8.88671875" style="20" bestFit="1" customWidth="1"/>
    <col min="14" max="15" width="7" style="20" customWidth="1"/>
    <col min="16" max="16384" width="9.109375" style="20"/>
  </cols>
  <sheetData>
    <row r="1" spans="1:27" s="1" customFormat="1" ht="3.75" customHeight="1">
      <c r="A1" s="852"/>
      <c r="B1" s="29"/>
      <c r="C1" s="29"/>
      <c r="M1" s="1009" t="s">
        <v>411</v>
      </c>
      <c r="N1" s="1009"/>
      <c r="O1" s="1009"/>
      <c r="Z1" s="79"/>
      <c r="AA1" s="79"/>
    </row>
    <row r="2" spans="1:27" ht="29.4" customHeight="1">
      <c r="A2" s="997" t="s">
        <v>0</v>
      </c>
      <c r="B2" s="1072" t="s">
        <v>284</v>
      </c>
      <c r="C2" s="1095"/>
      <c r="D2" s="1063" t="s">
        <v>301</v>
      </c>
      <c r="E2" s="1063"/>
      <c r="F2" s="1063"/>
      <c r="G2" s="1063" t="s">
        <v>293</v>
      </c>
      <c r="H2" s="1063"/>
      <c r="I2" s="1063"/>
      <c r="J2" s="1063" t="s">
        <v>294</v>
      </c>
      <c r="K2" s="1063"/>
      <c r="L2" s="1063"/>
      <c r="M2" s="1063" t="s">
        <v>761</v>
      </c>
      <c r="N2" s="1063"/>
      <c r="O2" s="1063"/>
    </row>
    <row r="3" spans="1:27" ht="26.4" customHeight="1">
      <c r="A3" s="997"/>
      <c r="B3" s="1074"/>
      <c r="C3" s="1096"/>
      <c r="D3" s="76" t="s">
        <v>178</v>
      </c>
      <c r="E3" s="76" t="s">
        <v>750</v>
      </c>
      <c r="F3" s="76" t="s">
        <v>752</v>
      </c>
      <c r="G3" s="76" t="s">
        <v>178</v>
      </c>
      <c r="H3" s="76" t="s">
        <v>750</v>
      </c>
      <c r="I3" s="76" t="s">
        <v>752</v>
      </c>
      <c r="J3" s="76" t="s">
        <v>178</v>
      </c>
      <c r="K3" s="76" t="s">
        <v>750</v>
      </c>
      <c r="L3" s="76" t="s">
        <v>752</v>
      </c>
      <c r="M3" s="76" t="s">
        <v>178</v>
      </c>
      <c r="N3" s="76" t="s">
        <v>750</v>
      </c>
      <c r="O3" s="76" t="s">
        <v>752</v>
      </c>
    </row>
    <row r="4" spans="1:27">
      <c r="A4" s="81" t="s">
        <v>207</v>
      </c>
      <c r="B4" s="1081" t="s">
        <v>206</v>
      </c>
      <c r="C4" s="1085"/>
      <c r="D4" s="604">
        <f>+G4+J4+M4</f>
        <v>0</v>
      </c>
      <c r="E4" s="604">
        <f t="shared" ref="E4:F19" si="0">+H4+K4+N4</f>
        <v>0</v>
      </c>
      <c r="F4" s="604">
        <f t="shared" si="0"/>
        <v>0</v>
      </c>
      <c r="G4" s="113"/>
      <c r="H4" s="113"/>
      <c r="I4" s="113"/>
      <c r="J4" s="113">
        <f>SUM(J5:J14)</f>
        <v>0</v>
      </c>
      <c r="K4" s="113"/>
      <c r="L4" s="113"/>
      <c r="M4" s="113">
        <f>SUM(M5:M14)</f>
        <v>0</v>
      </c>
      <c r="N4" s="113"/>
      <c r="O4" s="76"/>
    </row>
    <row r="5" spans="1:27" s="44" customFormat="1">
      <c r="A5" s="112"/>
      <c r="B5" s="1079" t="s">
        <v>335</v>
      </c>
      <c r="C5" s="1080"/>
      <c r="D5" s="604">
        <f t="shared" ref="D5:F27" si="1">+G5+J5+M5</f>
        <v>0</v>
      </c>
      <c r="E5" s="604">
        <f t="shared" si="0"/>
        <v>0</v>
      </c>
      <c r="F5" s="604">
        <f t="shared" si="0"/>
        <v>0</v>
      </c>
      <c r="G5" s="114"/>
      <c r="H5" s="114"/>
      <c r="I5" s="114"/>
      <c r="J5" s="114"/>
      <c r="K5" s="114"/>
      <c r="L5" s="114"/>
      <c r="M5" s="114"/>
      <c r="N5" s="114"/>
      <c r="O5" s="111"/>
    </row>
    <row r="6" spans="1:27" s="44" customFormat="1">
      <c r="A6" s="112"/>
      <c r="B6" s="1079" t="s">
        <v>325</v>
      </c>
      <c r="C6" s="1080"/>
      <c r="D6" s="604">
        <f t="shared" si="1"/>
        <v>0</v>
      </c>
      <c r="E6" s="604">
        <f t="shared" si="0"/>
        <v>0</v>
      </c>
      <c r="F6" s="604">
        <f t="shared" si="0"/>
        <v>0</v>
      </c>
      <c r="G6" s="114"/>
      <c r="H6" s="114"/>
      <c r="I6" s="114"/>
      <c r="J6" s="114"/>
      <c r="K6" s="114"/>
      <c r="L6" s="114"/>
      <c r="M6" s="114"/>
      <c r="N6" s="114"/>
      <c r="O6" s="111"/>
    </row>
    <row r="7" spans="1:27" s="44" customFormat="1">
      <c r="A7" s="112"/>
      <c r="B7" s="1079" t="s">
        <v>326</v>
      </c>
      <c r="C7" s="1080"/>
      <c r="D7" s="604">
        <f t="shared" si="1"/>
        <v>0</v>
      </c>
      <c r="E7" s="604">
        <f t="shared" si="0"/>
        <v>0</v>
      </c>
      <c r="F7" s="604">
        <f t="shared" si="0"/>
        <v>0</v>
      </c>
      <c r="G7" s="114"/>
      <c r="H7" s="114"/>
      <c r="I7" s="114"/>
      <c r="J7" s="114"/>
      <c r="K7" s="114"/>
      <c r="L7" s="114"/>
      <c r="M7" s="114"/>
      <c r="N7" s="114"/>
      <c r="O7" s="111"/>
    </row>
    <row r="8" spans="1:27" s="44" customFormat="1">
      <c r="A8" s="112"/>
      <c r="B8" s="1079" t="s">
        <v>327</v>
      </c>
      <c r="C8" s="1080"/>
      <c r="D8" s="604">
        <f t="shared" si="1"/>
        <v>0</v>
      </c>
      <c r="E8" s="604">
        <f t="shared" si="0"/>
        <v>0</v>
      </c>
      <c r="F8" s="604">
        <f t="shared" si="0"/>
        <v>0</v>
      </c>
      <c r="G8" s="114"/>
      <c r="H8" s="114"/>
      <c r="I8" s="114"/>
      <c r="J8" s="114"/>
      <c r="K8" s="114"/>
      <c r="L8" s="114"/>
      <c r="M8" s="114"/>
      <c r="N8" s="114"/>
      <c r="O8" s="111"/>
    </row>
    <row r="9" spans="1:27" s="44" customFormat="1">
      <c r="A9" s="112"/>
      <c r="B9" s="1079" t="s">
        <v>328</v>
      </c>
      <c r="C9" s="1080"/>
      <c r="D9" s="604">
        <f t="shared" si="1"/>
        <v>0</v>
      </c>
      <c r="E9" s="604">
        <f t="shared" si="0"/>
        <v>0</v>
      </c>
      <c r="F9" s="604">
        <f t="shared" si="0"/>
        <v>0</v>
      </c>
      <c r="G9" s="114"/>
      <c r="H9" s="114"/>
      <c r="I9" s="114"/>
      <c r="J9" s="114"/>
      <c r="K9" s="114"/>
      <c r="L9" s="114"/>
      <c r="M9" s="114"/>
      <c r="N9" s="114"/>
      <c r="O9" s="111"/>
    </row>
    <row r="10" spans="1:27" s="44" customFormat="1">
      <c r="A10" s="112"/>
      <c r="B10" s="1079" t="s">
        <v>329</v>
      </c>
      <c r="C10" s="1080"/>
      <c r="D10" s="604">
        <f t="shared" si="1"/>
        <v>0</v>
      </c>
      <c r="E10" s="604">
        <f t="shared" si="0"/>
        <v>0</v>
      </c>
      <c r="F10" s="604">
        <f t="shared" si="0"/>
        <v>0</v>
      </c>
      <c r="G10" s="114"/>
      <c r="H10" s="114"/>
      <c r="I10" s="114"/>
      <c r="J10" s="114"/>
      <c r="K10" s="114"/>
      <c r="L10" s="114"/>
      <c r="M10" s="114"/>
      <c r="N10" s="114"/>
      <c r="O10" s="111"/>
    </row>
    <row r="11" spans="1:27" s="44" customFormat="1">
      <c r="A11" s="112"/>
      <c r="B11" s="1079" t="s">
        <v>100</v>
      </c>
      <c r="C11" s="1080"/>
      <c r="D11" s="604">
        <f t="shared" si="1"/>
        <v>0</v>
      </c>
      <c r="E11" s="604">
        <f t="shared" si="0"/>
        <v>0</v>
      </c>
      <c r="F11" s="604">
        <f t="shared" si="0"/>
        <v>0</v>
      </c>
      <c r="G11" s="114"/>
      <c r="H11" s="114"/>
      <c r="I11" s="114"/>
      <c r="J11" s="114"/>
      <c r="K11" s="114"/>
      <c r="L11" s="114"/>
      <c r="M11" s="114"/>
      <c r="N11" s="114"/>
      <c r="O11" s="111"/>
    </row>
    <row r="12" spans="1:27" s="44" customFormat="1">
      <c r="A12" s="112"/>
      <c r="B12" s="1079" t="s">
        <v>101</v>
      </c>
      <c r="C12" s="1080"/>
      <c r="D12" s="604">
        <f t="shared" si="1"/>
        <v>0</v>
      </c>
      <c r="E12" s="604">
        <f t="shared" si="0"/>
        <v>0</v>
      </c>
      <c r="F12" s="604">
        <f t="shared" si="0"/>
        <v>0</v>
      </c>
      <c r="G12" s="114"/>
      <c r="H12" s="114"/>
      <c r="I12" s="114"/>
      <c r="J12" s="114"/>
      <c r="K12" s="114"/>
      <c r="L12" s="114"/>
      <c r="M12" s="114"/>
      <c r="N12" s="114"/>
      <c r="O12" s="111"/>
    </row>
    <row r="13" spans="1:27" s="44" customFormat="1">
      <c r="A13" s="112"/>
      <c r="B13" s="1079" t="s">
        <v>330</v>
      </c>
      <c r="C13" s="1080"/>
      <c r="D13" s="604">
        <f t="shared" si="1"/>
        <v>0</v>
      </c>
      <c r="E13" s="604">
        <f t="shared" si="0"/>
        <v>0</v>
      </c>
      <c r="F13" s="604">
        <f t="shared" si="0"/>
        <v>0</v>
      </c>
      <c r="G13" s="114"/>
      <c r="H13" s="114"/>
      <c r="I13" s="114"/>
      <c r="J13" s="114"/>
      <c r="K13" s="114"/>
      <c r="L13" s="114"/>
      <c r="M13" s="114"/>
      <c r="N13" s="114"/>
      <c r="O13" s="111"/>
    </row>
    <row r="14" spans="1:27" s="44" customFormat="1">
      <c r="A14" s="112"/>
      <c r="B14" s="1079" t="s">
        <v>331</v>
      </c>
      <c r="C14" s="1080"/>
      <c r="D14" s="604">
        <f t="shared" si="1"/>
        <v>0</v>
      </c>
      <c r="E14" s="604">
        <f t="shared" si="0"/>
        <v>0</v>
      </c>
      <c r="F14" s="604">
        <f t="shared" si="0"/>
        <v>0</v>
      </c>
      <c r="G14" s="114"/>
      <c r="H14" s="114"/>
      <c r="I14" s="114"/>
      <c r="J14" s="114"/>
      <c r="K14" s="114"/>
      <c r="L14" s="114"/>
      <c r="M14" s="114"/>
      <c r="N14" s="114"/>
      <c r="O14" s="111"/>
    </row>
    <row r="15" spans="1:27" s="48" customFormat="1">
      <c r="A15" s="82" t="s">
        <v>208</v>
      </c>
      <c r="B15" s="1083" t="s">
        <v>428</v>
      </c>
      <c r="C15" s="1084"/>
      <c r="D15" s="245">
        <f t="shared" si="1"/>
        <v>0</v>
      </c>
      <c r="E15" s="245">
        <f t="shared" si="0"/>
        <v>0</v>
      </c>
      <c r="F15" s="245">
        <f t="shared" si="0"/>
        <v>0</v>
      </c>
      <c r="G15" s="115"/>
      <c r="H15" s="115"/>
      <c r="I15" s="115"/>
      <c r="J15" s="115">
        <f>+J4</f>
        <v>0</v>
      </c>
      <c r="K15" s="115"/>
      <c r="L15" s="115"/>
      <c r="M15" s="115">
        <f>+M4</f>
        <v>0</v>
      </c>
      <c r="N15" s="115"/>
      <c r="O15" s="847"/>
    </row>
    <row r="16" spans="1:27">
      <c r="A16" s="81" t="s">
        <v>210</v>
      </c>
      <c r="B16" s="1081" t="s">
        <v>209</v>
      </c>
      <c r="C16" s="1085"/>
      <c r="D16" s="604">
        <f t="shared" si="1"/>
        <v>0</v>
      </c>
      <c r="E16" s="604">
        <f t="shared" si="0"/>
        <v>0</v>
      </c>
      <c r="F16" s="604">
        <f t="shared" si="0"/>
        <v>0</v>
      </c>
      <c r="G16" s="113"/>
      <c r="H16" s="113"/>
      <c r="I16" s="113"/>
      <c r="J16" s="113">
        <f>+J19</f>
        <v>0</v>
      </c>
      <c r="K16" s="113"/>
      <c r="L16" s="113"/>
      <c r="M16" s="113">
        <f>+M19</f>
        <v>0</v>
      </c>
      <c r="N16" s="113"/>
      <c r="O16" s="76"/>
    </row>
    <row r="17" spans="1:15" s="44" customFormat="1" ht="12.75" customHeight="1">
      <c r="A17" s="112"/>
      <c r="B17" s="1079" t="s">
        <v>335</v>
      </c>
      <c r="C17" s="1080"/>
      <c r="D17" s="604">
        <f t="shared" si="1"/>
        <v>0</v>
      </c>
      <c r="E17" s="604">
        <f t="shared" si="0"/>
        <v>0</v>
      </c>
      <c r="F17" s="604">
        <f t="shared" si="0"/>
        <v>0</v>
      </c>
      <c r="G17" s="114"/>
      <c r="H17" s="114"/>
      <c r="I17" s="114"/>
      <c r="J17" s="114"/>
      <c r="K17" s="114"/>
      <c r="L17" s="114"/>
      <c r="M17" s="114"/>
      <c r="N17" s="114"/>
      <c r="O17" s="111"/>
    </row>
    <row r="18" spans="1:15" s="44" customFormat="1" ht="12.75" customHeight="1">
      <c r="A18" s="112"/>
      <c r="B18" s="1079" t="s">
        <v>325</v>
      </c>
      <c r="C18" s="1080"/>
      <c r="D18" s="604">
        <f t="shared" si="1"/>
        <v>0</v>
      </c>
      <c r="E18" s="604">
        <f t="shared" si="0"/>
        <v>0</v>
      </c>
      <c r="F18" s="604">
        <f t="shared" si="0"/>
        <v>0</v>
      </c>
      <c r="G18" s="114"/>
      <c r="H18" s="114"/>
      <c r="I18" s="114"/>
      <c r="J18" s="114"/>
      <c r="K18" s="114"/>
      <c r="L18" s="114"/>
      <c r="M18" s="114"/>
      <c r="N18" s="114"/>
      <c r="O18" s="111"/>
    </row>
    <row r="19" spans="1:15" s="44" customFormat="1" ht="12.75" customHeight="1">
      <c r="A19" s="112"/>
      <c r="B19" s="1079" t="s">
        <v>326</v>
      </c>
      <c r="C19" s="1080"/>
      <c r="D19" s="604">
        <f t="shared" si="1"/>
        <v>0</v>
      </c>
      <c r="E19" s="604">
        <f t="shared" si="0"/>
        <v>0</v>
      </c>
      <c r="F19" s="604">
        <f t="shared" si="0"/>
        <v>0</v>
      </c>
      <c r="G19" s="114"/>
      <c r="H19" s="114"/>
      <c r="I19" s="114"/>
      <c r="J19" s="114"/>
      <c r="K19" s="114"/>
      <c r="L19" s="114"/>
      <c r="M19" s="114"/>
      <c r="N19" s="114"/>
      <c r="O19" s="111"/>
    </row>
    <row r="20" spans="1:15" s="44" customFormat="1" ht="12.75" customHeight="1">
      <c r="A20" s="112"/>
      <c r="B20" s="1079" t="s">
        <v>327</v>
      </c>
      <c r="C20" s="1080"/>
      <c r="D20" s="604">
        <f t="shared" si="1"/>
        <v>0</v>
      </c>
      <c r="E20" s="604">
        <f t="shared" si="1"/>
        <v>0</v>
      </c>
      <c r="F20" s="604">
        <f t="shared" si="1"/>
        <v>0</v>
      </c>
      <c r="G20" s="114"/>
      <c r="H20" s="114"/>
      <c r="I20" s="114"/>
      <c r="J20" s="114"/>
      <c r="K20" s="114"/>
      <c r="L20" s="114"/>
      <c r="M20" s="114"/>
      <c r="N20" s="114"/>
      <c r="O20" s="111"/>
    </row>
    <row r="21" spans="1:15" s="44" customFormat="1" ht="12.75" customHeight="1">
      <c r="A21" s="112"/>
      <c r="B21" s="1079" t="s">
        <v>328</v>
      </c>
      <c r="C21" s="1080"/>
      <c r="D21" s="604">
        <f t="shared" si="1"/>
        <v>0</v>
      </c>
      <c r="E21" s="604">
        <f t="shared" si="1"/>
        <v>0</v>
      </c>
      <c r="F21" s="604">
        <f t="shared" si="1"/>
        <v>0</v>
      </c>
      <c r="G21" s="114"/>
      <c r="H21" s="114"/>
      <c r="I21" s="114"/>
      <c r="J21" s="114"/>
      <c r="K21" s="114"/>
      <c r="L21" s="114"/>
      <c r="M21" s="114"/>
      <c r="N21" s="114"/>
      <c r="O21" s="111"/>
    </row>
    <row r="22" spans="1:15" s="44" customFormat="1" ht="12.75" customHeight="1">
      <c r="A22" s="112"/>
      <c r="B22" s="1079" t="s">
        <v>329</v>
      </c>
      <c r="C22" s="1080"/>
      <c r="D22" s="604">
        <f t="shared" si="1"/>
        <v>0</v>
      </c>
      <c r="E22" s="604">
        <f t="shared" si="1"/>
        <v>0</v>
      </c>
      <c r="F22" s="604">
        <f t="shared" si="1"/>
        <v>0</v>
      </c>
      <c r="G22" s="114"/>
      <c r="H22" s="114"/>
      <c r="I22" s="114"/>
      <c r="J22" s="114"/>
      <c r="K22" s="114"/>
      <c r="L22" s="114"/>
      <c r="M22" s="114"/>
      <c r="N22" s="114"/>
      <c r="O22" s="111"/>
    </row>
    <row r="23" spans="1:15" s="44" customFormat="1" ht="12.75" customHeight="1">
      <c r="A23" s="112"/>
      <c r="B23" s="1079" t="s">
        <v>100</v>
      </c>
      <c r="C23" s="1080"/>
      <c r="D23" s="604">
        <f t="shared" si="1"/>
        <v>0</v>
      </c>
      <c r="E23" s="604">
        <f t="shared" si="1"/>
        <v>0</v>
      </c>
      <c r="F23" s="604">
        <f t="shared" si="1"/>
        <v>0</v>
      </c>
      <c r="G23" s="114"/>
      <c r="H23" s="114"/>
      <c r="I23" s="114"/>
      <c r="J23" s="114"/>
      <c r="K23" s="114"/>
      <c r="L23" s="114"/>
      <c r="M23" s="114"/>
      <c r="N23" s="114"/>
      <c r="O23" s="111"/>
    </row>
    <row r="24" spans="1:15" s="44" customFormat="1" ht="12.75" customHeight="1">
      <c r="A24" s="112"/>
      <c r="B24" s="1079" t="s">
        <v>101</v>
      </c>
      <c r="C24" s="1080"/>
      <c r="D24" s="604">
        <f t="shared" si="1"/>
        <v>0</v>
      </c>
      <c r="E24" s="604">
        <f t="shared" si="1"/>
        <v>0</v>
      </c>
      <c r="F24" s="604">
        <f t="shared" si="1"/>
        <v>0</v>
      </c>
      <c r="G24" s="114"/>
      <c r="H24" s="114"/>
      <c r="I24" s="114"/>
      <c r="J24" s="114"/>
      <c r="K24" s="114"/>
      <c r="L24" s="114"/>
      <c r="M24" s="114"/>
      <c r="N24" s="114"/>
      <c r="O24" s="111"/>
    </row>
    <row r="25" spans="1:15" s="44" customFormat="1" ht="12.75" customHeight="1">
      <c r="A25" s="112"/>
      <c r="B25" s="1079" t="s">
        <v>330</v>
      </c>
      <c r="C25" s="1080"/>
      <c r="D25" s="604">
        <f t="shared" si="1"/>
        <v>0</v>
      </c>
      <c r="E25" s="604">
        <f t="shared" si="1"/>
        <v>0</v>
      </c>
      <c r="F25" s="604">
        <f t="shared" si="1"/>
        <v>0</v>
      </c>
      <c r="G25" s="114"/>
      <c r="H25" s="114"/>
      <c r="I25" s="114"/>
      <c r="J25" s="114"/>
      <c r="K25" s="114"/>
      <c r="L25" s="114"/>
      <c r="M25" s="114"/>
      <c r="N25" s="114"/>
      <c r="O25" s="111"/>
    </row>
    <row r="26" spans="1:15" s="44" customFormat="1" ht="12.75" customHeight="1">
      <c r="A26" s="112"/>
      <c r="B26" s="1079" t="s">
        <v>331</v>
      </c>
      <c r="C26" s="1080"/>
      <c r="D26" s="604">
        <f t="shared" si="1"/>
        <v>0</v>
      </c>
      <c r="E26" s="604">
        <f t="shared" si="1"/>
        <v>0</v>
      </c>
      <c r="F26" s="604">
        <f t="shared" si="1"/>
        <v>0</v>
      </c>
      <c r="G26" s="114"/>
      <c r="H26" s="114"/>
      <c r="I26" s="114"/>
      <c r="J26" s="114"/>
      <c r="K26" s="114"/>
      <c r="L26" s="114"/>
      <c r="M26" s="114"/>
      <c r="N26" s="114"/>
      <c r="O26" s="111"/>
    </row>
    <row r="27" spans="1:15" s="48" customFormat="1" ht="13.2" customHeight="1">
      <c r="A27" s="82" t="s">
        <v>211</v>
      </c>
      <c r="B27" s="1083" t="s">
        <v>333</v>
      </c>
      <c r="C27" s="1084"/>
      <c r="D27" s="245">
        <f t="shared" si="1"/>
        <v>0</v>
      </c>
      <c r="E27" s="245">
        <f t="shared" si="1"/>
        <v>0</v>
      </c>
      <c r="F27" s="245">
        <f t="shared" si="1"/>
        <v>0</v>
      </c>
      <c r="G27" s="115"/>
      <c r="H27" s="115"/>
      <c r="I27" s="115"/>
      <c r="J27" s="115">
        <f>+J16</f>
        <v>0</v>
      </c>
      <c r="K27" s="115"/>
      <c r="L27" s="115"/>
      <c r="M27" s="115">
        <f>+M16</f>
        <v>0</v>
      </c>
      <c r="N27" s="115"/>
      <c r="O27" s="847"/>
    </row>
    <row r="28" spans="1:15" s="48" customFormat="1" ht="15" customHeight="1">
      <c r="A28" s="82" t="s">
        <v>236</v>
      </c>
      <c r="B28" s="1046" t="s">
        <v>400</v>
      </c>
      <c r="C28" s="1047"/>
      <c r="D28" s="245">
        <f>+G28+J28+M28</f>
        <v>0</v>
      </c>
      <c r="E28" s="245">
        <f t="shared" ref="E28:F35" si="2">+H28+K28+N28</f>
        <v>0</v>
      </c>
      <c r="F28" s="245">
        <f t="shared" si="2"/>
        <v>0</v>
      </c>
      <c r="G28" s="115"/>
      <c r="H28" s="115"/>
      <c r="I28" s="115"/>
      <c r="J28" s="115"/>
      <c r="K28" s="115"/>
      <c r="L28" s="115"/>
      <c r="M28" s="115"/>
      <c r="N28" s="115"/>
      <c r="O28" s="847"/>
    </row>
    <row r="29" spans="1:15" ht="13.2" customHeight="1">
      <c r="A29" s="81" t="s">
        <v>240</v>
      </c>
      <c r="B29" s="1081" t="s">
        <v>239</v>
      </c>
      <c r="C29" s="1085"/>
      <c r="D29" s="65">
        <f>+G29+J29+M29</f>
        <v>1800</v>
      </c>
      <c r="E29" s="65">
        <f t="shared" si="2"/>
        <v>471</v>
      </c>
      <c r="F29" s="65">
        <f>+I29+L29+O29</f>
        <v>2271</v>
      </c>
      <c r="G29" s="65">
        <v>250</v>
      </c>
      <c r="H29" s="65">
        <v>192</v>
      </c>
      <c r="I29" s="31">
        <f>+G29+H29</f>
        <v>442</v>
      </c>
      <c r="J29" s="65"/>
      <c r="K29" s="65">
        <v>123</v>
      </c>
      <c r="L29" s="31">
        <f>SUM(K29)</f>
        <v>123</v>
      </c>
      <c r="M29" s="65">
        <f>100+1000+150+300</f>
        <v>1550</v>
      </c>
      <c r="N29" s="65">
        <v>156</v>
      </c>
      <c r="O29" s="31">
        <f>+M29+N29</f>
        <v>1706</v>
      </c>
    </row>
    <row r="30" spans="1:15" ht="13.2" customHeight="1">
      <c r="A30" s="81" t="s">
        <v>242</v>
      </c>
      <c r="B30" s="1081" t="s">
        <v>241</v>
      </c>
      <c r="C30" s="1082"/>
      <c r="D30" s="65"/>
      <c r="E30" s="65">
        <f t="shared" si="2"/>
        <v>80</v>
      </c>
      <c r="F30" s="65">
        <f>+I30+L30+O30</f>
        <v>80</v>
      </c>
      <c r="G30" s="65"/>
      <c r="H30" s="65">
        <v>40</v>
      </c>
      <c r="I30" s="31">
        <f>+G30+H30</f>
        <v>40</v>
      </c>
      <c r="J30" s="65"/>
      <c r="K30" s="65"/>
      <c r="L30" s="31"/>
      <c r="M30" s="65"/>
      <c r="N30" s="65">
        <v>40</v>
      </c>
      <c r="O30" s="31">
        <f t="shared" ref="O30:O33" si="3">+M30+N30</f>
        <v>40</v>
      </c>
    </row>
    <row r="31" spans="1:15" ht="13.2" customHeight="1">
      <c r="A31" s="81" t="s">
        <v>244</v>
      </c>
      <c r="B31" s="1081" t="s">
        <v>243</v>
      </c>
      <c r="C31" s="1082"/>
      <c r="D31" s="65"/>
      <c r="E31" s="65">
        <f t="shared" si="2"/>
        <v>478</v>
      </c>
      <c r="F31" s="65">
        <f>+I31+L31+O31</f>
        <v>478</v>
      </c>
      <c r="G31" s="65"/>
      <c r="H31" s="65"/>
      <c r="I31" s="31"/>
      <c r="J31" s="65"/>
      <c r="K31" s="65"/>
      <c r="L31" s="31"/>
      <c r="M31" s="65"/>
      <c r="N31" s="65">
        <v>478</v>
      </c>
      <c r="O31" s="31">
        <f t="shared" si="3"/>
        <v>478</v>
      </c>
    </row>
    <row r="32" spans="1:15" ht="13.2" customHeight="1">
      <c r="A32" s="81" t="s">
        <v>248</v>
      </c>
      <c r="B32" s="1044" t="s">
        <v>247</v>
      </c>
      <c r="C32" s="1045"/>
      <c r="D32" s="65">
        <f t="shared" ref="D32:D35" si="4">+G32+J32+M32</f>
        <v>338</v>
      </c>
      <c r="E32" s="65">
        <f t="shared" si="2"/>
        <v>11</v>
      </c>
      <c r="F32" s="65">
        <f t="shared" si="2"/>
        <v>349</v>
      </c>
      <c r="G32" s="65"/>
      <c r="H32" s="65"/>
      <c r="I32" s="21"/>
      <c r="J32" s="65"/>
      <c r="K32" s="65"/>
      <c r="L32" s="21"/>
      <c r="M32" s="65">
        <f>27+270+41</f>
        <v>338</v>
      </c>
      <c r="N32" s="65">
        <v>11</v>
      </c>
      <c r="O32" s="31">
        <f t="shared" si="3"/>
        <v>349</v>
      </c>
    </row>
    <row r="33" spans="1:15" ht="13.2" customHeight="1">
      <c r="A33" s="81" t="s">
        <v>250</v>
      </c>
      <c r="B33" s="1044" t="s">
        <v>249</v>
      </c>
      <c r="C33" s="1045"/>
      <c r="D33" s="65">
        <f t="shared" si="4"/>
        <v>338</v>
      </c>
      <c r="E33" s="65">
        <f t="shared" si="2"/>
        <v>0</v>
      </c>
      <c r="F33" s="65">
        <f t="shared" si="2"/>
        <v>338</v>
      </c>
      <c r="G33" s="65"/>
      <c r="H33" s="65"/>
      <c r="I33" s="21"/>
      <c r="J33" s="65"/>
      <c r="K33" s="65"/>
      <c r="L33" s="21"/>
      <c r="M33" s="65">
        <f>27+270+41</f>
        <v>338</v>
      </c>
      <c r="N33" s="65"/>
      <c r="O33" s="31">
        <f t="shared" si="3"/>
        <v>338</v>
      </c>
    </row>
    <row r="34" spans="1:15" ht="13.2" customHeight="1">
      <c r="A34" s="81" t="s">
        <v>252</v>
      </c>
      <c r="B34" s="1081" t="s">
        <v>251</v>
      </c>
      <c r="C34" s="1085"/>
      <c r="D34" s="65">
        <f t="shared" si="4"/>
        <v>0</v>
      </c>
      <c r="E34" s="65">
        <f t="shared" si="2"/>
        <v>0</v>
      </c>
      <c r="F34" s="65">
        <f t="shared" si="2"/>
        <v>0</v>
      </c>
      <c r="G34" s="65"/>
      <c r="H34" s="65"/>
      <c r="I34" s="21"/>
      <c r="J34" s="65"/>
      <c r="K34" s="65"/>
      <c r="L34" s="21"/>
      <c r="M34" s="65"/>
      <c r="N34" s="65"/>
      <c r="O34" s="21"/>
    </row>
    <row r="35" spans="1:15" ht="13.2" customHeight="1">
      <c r="A35" s="81" t="s">
        <v>718</v>
      </c>
      <c r="B35" s="1081" t="s">
        <v>255</v>
      </c>
      <c r="C35" s="1085"/>
      <c r="D35" s="65">
        <f t="shared" si="4"/>
        <v>0</v>
      </c>
      <c r="E35" s="65">
        <f t="shared" si="2"/>
        <v>0</v>
      </c>
      <c r="F35" s="65">
        <f t="shared" si="2"/>
        <v>0</v>
      </c>
      <c r="G35" s="65"/>
      <c r="H35" s="65"/>
      <c r="I35" s="21"/>
      <c r="J35" s="65"/>
      <c r="K35" s="65"/>
      <c r="L35" s="21"/>
      <c r="M35" s="65"/>
      <c r="N35" s="65"/>
      <c r="O35" s="21"/>
    </row>
    <row r="36" spans="1:15" ht="13.2" customHeight="1">
      <c r="A36" s="82" t="s">
        <v>256</v>
      </c>
      <c r="B36" s="1087" t="s">
        <v>281</v>
      </c>
      <c r="C36" s="1087"/>
      <c r="D36" s="74">
        <f>SUM(D29:D35)</f>
        <v>2476</v>
      </c>
      <c r="E36" s="74">
        <f>SUM(E29:E35)</f>
        <v>1040</v>
      </c>
      <c r="F36" s="74">
        <f t="shared" ref="F36" si="5">SUM(F29:F35)</f>
        <v>3516</v>
      </c>
      <c r="G36" s="74">
        <f>SUM(G29:G35)</f>
        <v>250</v>
      </c>
      <c r="H36" s="74">
        <f>SUM(H29:H35)</f>
        <v>232</v>
      </c>
      <c r="I36" s="74">
        <f>SUM(I29:I35)</f>
        <v>482</v>
      </c>
      <c r="J36" s="74">
        <f>SUM(J29:J35)</f>
        <v>0</v>
      </c>
      <c r="K36" s="74">
        <f t="shared" ref="K36:L36" si="6">SUM(K29:K35)</f>
        <v>123</v>
      </c>
      <c r="L36" s="74">
        <f t="shared" si="6"/>
        <v>123</v>
      </c>
      <c r="M36" s="74">
        <f>SUM(M29:M35)</f>
        <v>2226</v>
      </c>
      <c r="N36" s="74">
        <f>SUM(N29:N35)</f>
        <v>685</v>
      </c>
      <c r="O36" s="74">
        <f t="shared" ref="O36" si="7">SUM(O29:O35)</f>
        <v>2911</v>
      </c>
    </row>
    <row r="37" spans="1:15" ht="13.2" customHeight="1">
      <c r="A37" s="82" t="s">
        <v>257</v>
      </c>
      <c r="B37" s="1087" t="s">
        <v>280</v>
      </c>
      <c r="C37" s="1087">
        <v>0</v>
      </c>
      <c r="D37" s="74">
        <f>+G37+J37+M37</f>
        <v>0</v>
      </c>
      <c r="E37" s="74">
        <f t="shared" ref="E37:F38" si="8">+H37+K37+N37</f>
        <v>0</v>
      </c>
      <c r="F37" s="74">
        <f t="shared" si="8"/>
        <v>0</v>
      </c>
      <c r="G37" s="74"/>
      <c r="H37" s="74"/>
      <c r="I37" s="49"/>
      <c r="J37" s="74"/>
      <c r="K37" s="74"/>
      <c r="L37" s="49"/>
      <c r="M37" s="74"/>
      <c r="N37" s="74"/>
      <c r="O37" s="49"/>
    </row>
    <row r="38" spans="1:15" ht="13.2" customHeight="1">
      <c r="A38" s="81" t="s">
        <v>259</v>
      </c>
      <c r="B38" s="1094" t="s">
        <v>258</v>
      </c>
      <c r="C38" s="1094">
        <v>42</v>
      </c>
      <c r="D38" s="65">
        <f>+G38+J38+M38</f>
        <v>0</v>
      </c>
      <c r="E38" s="65">
        <f t="shared" si="8"/>
        <v>0</v>
      </c>
      <c r="F38" s="65">
        <f t="shared" si="8"/>
        <v>0</v>
      </c>
      <c r="G38" s="65"/>
      <c r="H38" s="65"/>
      <c r="I38" s="21"/>
      <c r="J38" s="65">
        <v>0</v>
      </c>
      <c r="K38" s="65"/>
      <c r="L38" s="21"/>
      <c r="M38" s="65">
        <v>0</v>
      </c>
      <c r="N38" s="65"/>
      <c r="O38" s="21"/>
    </row>
    <row r="39" spans="1:15" ht="13.2" customHeight="1">
      <c r="A39" s="82" t="s">
        <v>260</v>
      </c>
      <c r="B39" s="1087" t="s">
        <v>279</v>
      </c>
      <c r="C39" s="1087">
        <f>+C38</f>
        <v>42</v>
      </c>
      <c r="D39" s="74">
        <f>SUM(D38)</f>
        <v>0</v>
      </c>
      <c r="E39" s="74">
        <f t="shared" ref="E39:F39" si="9">SUM(E38)</f>
        <v>0</v>
      </c>
      <c r="F39" s="74">
        <f t="shared" si="9"/>
        <v>0</v>
      </c>
      <c r="G39" s="74">
        <f>+G38</f>
        <v>0</v>
      </c>
      <c r="H39" s="74"/>
      <c r="I39" s="49"/>
      <c r="J39" s="74">
        <f>+J38</f>
        <v>0</v>
      </c>
      <c r="K39" s="74"/>
      <c r="L39" s="49"/>
      <c r="M39" s="74">
        <f>+M38</f>
        <v>0</v>
      </c>
      <c r="N39" s="74"/>
      <c r="O39" s="49"/>
    </row>
    <row r="40" spans="1:15" ht="13.2" customHeight="1">
      <c r="A40" s="81" t="s">
        <v>262</v>
      </c>
      <c r="B40" s="1094" t="s">
        <v>261</v>
      </c>
      <c r="C40" s="1094"/>
      <c r="D40" s="65">
        <f>+G40+J40+M40</f>
        <v>0</v>
      </c>
      <c r="E40" s="65">
        <f t="shared" ref="E40:F40" si="10">+H40+K40+N40</f>
        <v>0</v>
      </c>
      <c r="F40" s="65">
        <f t="shared" si="10"/>
        <v>0</v>
      </c>
      <c r="G40" s="65"/>
      <c r="H40" s="65"/>
      <c r="I40" s="21"/>
      <c r="J40" s="65"/>
      <c r="K40" s="65"/>
      <c r="L40" s="21"/>
      <c r="M40" s="65">
        <v>0</v>
      </c>
      <c r="N40" s="65"/>
      <c r="O40" s="21"/>
    </row>
    <row r="41" spans="1:15" ht="13.2" customHeight="1">
      <c r="A41" s="82" t="s">
        <v>263</v>
      </c>
      <c r="B41" s="1087" t="s">
        <v>285</v>
      </c>
      <c r="C41" s="1087"/>
      <c r="D41" s="74">
        <f>+D40</f>
        <v>0</v>
      </c>
      <c r="E41" s="74">
        <f t="shared" ref="E41:F41" si="11">+E40</f>
        <v>0</v>
      </c>
      <c r="F41" s="74">
        <f t="shared" si="11"/>
        <v>0</v>
      </c>
      <c r="G41" s="74">
        <f>+G40</f>
        <v>0</v>
      </c>
      <c r="H41" s="74"/>
      <c r="I41" s="49"/>
      <c r="J41" s="74">
        <f>+J40</f>
        <v>0</v>
      </c>
      <c r="K41" s="74"/>
      <c r="L41" s="49"/>
      <c r="M41" s="74">
        <f>+M40</f>
        <v>0</v>
      </c>
      <c r="N41" s="74"/>
      <c r="O41" s="49"/>
    </row>
    <row r="42" spans="1:15" ht="10.5" customHeight="1">
      <c r="A42" s="82" t="s">
        <v>264</v>
      </c>
      <c r="B42" s="1087" t="s">
        <v>277</v>
      </c>
      <c r="C42" s="1087"/>
      <c r="D42" s="74">
        <f>+D41+D39+D37+D36+D27+D15+D28</f>
        <v>2476</v>
      </c>
      <c r="E42" s="74">
        <f t="shared" ref="E42:F42" si="12">+E41+E39+E37+E36+E27+E15+E28</f>
        <v>1040</v>
      </c>
      <c r="F42" s="74">
        <f t="shared" si="12"/>
        <v>3516</v>
      </c>
      <c r="G42" s="74">
        <f t="shared" ref="G42:O42" si="13">+G41+G39+G37+G36+G27+G15</f>
        <v>250</v>
      </c>
      <c r="H42" s="74">
        <f t="shared" si="13"/>
        <v>232</v>
      </c>
      <c r="I42" s="74">
        <f t="shared" si="13"/>
        <v>482</v>
      </c>
      <c r="J42" s="74">
        <f t="shared" si="13"/>
        <v>0</v>
      </c>
      <c r="K42" s="74">
        <f t="shared" si="13"/>
        <v>123</v>
      </c>
      <c r="L42" s="74">
        <f t="shared" si="13"/>
        <v>123</v>
      </c>
      <c r="M42" s="74">
        <f t="shared" si="13"/>
        <v>2226</v>
      </c>
      <c r="N42" s="74">
        <f t="shared" si="13"/>
        <v>685</v>
      </c>
      <c r="O42" s="74">
        <f t="shared" si="13"/>
        <v>2911</v>
      </c>
    </row>
    <row r="43" spans="1:15" ht="11.25" customHeight="1">
      <c r="A43" s="484" t="s">
        <v>274</v>
      </c>
      <c r="B43" s="1088" t="s">
        <v>273</v>
      </c>
      <c r="C43" s="1088"/>
      <c r="D43" s="65">
        <f>+G43+J43+M43</f>
        <v>0</v>
      </c>
      <c r="E43" s="65">
        <f t="shared" ref="E43:F45" si="14">+H43+K43+N43</f>
        <v>888</v>
      </c>
      <c r="F43" s="65">
        <f t="shared" si="14"/>
        <v>888</v>
      </c>
      <c r="G43" s="65">
        <f>+G44+G45</f>
        <v>0</v>
      </c>
      <c r="H43" s="65">
        <f t="shared" ref="H43:O43" si="15">+H44+H45</f>
        <v>492</v>
      </c>
      <c r="I43" s="65">
        <f t="shared" si="15"/>
        <v>492</v>
      </c>
      <c r="J43" s="65">
        <f t="shared" si="15"/>
        <v>0</v>
      </c>
      <c r="K43" s="65">
        <v>58</v>
      </c>
      <c r="L43" s="65">
        <f t="shared" si="15"/>
        <v>58</v>
      </c>
      <c r="M43" s="65">
        <f t="shared" si="15"/>
        <v>0</v>
      </c>
      <c r="N43" s="65">
        <f t="shared" si="15"/>
        <v>338</v>
      </c>
      <c r="O43" s="65">
        <f t="shared" si="15"/>
        <v>338</v>
      </c>
    </row>
    <row r="44" spans="1:15" s="44" customFormat="1" ht="13.2" customHeight="1">
      <c r="A44" s="485"/>
      <c r="B44" s="605"/>
      <c r="C44" s="606" t="s">
        <v>415</v>
      </c>
      <c r="D44" s="237">
        <f>+G44+J44+M44</f>
        <v>0</v>
      </c>
      <c r="E44" s="237">
        <f t="shared" si="14"/>
        <v>888</v>
      </c>
      <c r="F44" s="237">
        <f t="shared" si="14"/>
        <v>888</v>
      </c>
      <c r="G44" s="237"/>
      <c r="H44" s="237">
        <v>492</v>
      </c>
      <c r="I44" s="237">
        <f>SUM(H44)</f>
        <v>492</v>
      </c>
      <c r="J44" s="237"/>
      <c r="K44" s="237">
        <v>58</v>
      </c>
      <c r="L44" s="237">
        <v>58</v>
      </c>
      <c r="M44" s="237"/>
      <c r="N44" s="237">
        <v>338</v>
      </c>
      <c r="O44" s="237">
        <f>SUM(N44)</f>
        <v>338</v>
      </c>
    </row>
    <row r="45" spans="1:15" s="44" customFormat="1" ht="13.2" customHeight="1">
      <c r="A45" s="485"/>
      <c r="B45" s="605"/>
      <c r="C45" s="606" t="s">
        <v>416</v>
      </c>
      <c r="D45" s="237">
        <f>+G45+J45+M45</f>
        <v>0</v>
      </c>
      <c r="E45" s="237">
        <f t="shared" si="14"/>
        <v>0</v>
      </c>
      <c r="F45" s="237">
        <f t="shared" si="14"/>
        <v>0</v>
      </c>
      <c r="G45" s="237"/>
      <c r="H45" s="237"/>
      <c r="I45" s="237"/>
      <c r="J45" s="237"/>
      <c r="K45" s="237"/>
      <c r="L45" s="237"/>
      <c r="M45" s="237"/>
      <c r="N45" s="237"/>
      <c r="O45" s="237"/>
    </row>
    <row r="46" spans="1:15" ht="13.2" customHeight="1">
      <c r="A46" s="236" t="s">
        <v>275</v>
      </c>
      <c r="B46" s="1046" t="s">
        <v>339</v>
      </c>
      <c r="C46" s="1047"/>
      <c r="D46" s="74">
        <f>+D43</f>
        <v>0</v>
      </c>
      <c r="E46" s="74">
        <f t="shared" ref="E46:O46" si="16">+E43</f>
        <v>888</v>
      </c>
      <c r="F46" s="74">
        <f t="shared" si="16"/>
        <v>888</v>
      </c>
      <c r="G46" s="74">
        <f t="shared" si="16"/>
        <v>0</v>
      </c>
      <c r="H46" s="74">
        <f t="shared" si="16"/>
        <v>492</v>
      </c>
      <c r="I46" s="74">
        <f t="shared" si="16"/>
        <v>492</v>
      </c>
      <c r="J46" s="74">
        <f t="shared" si="16"/>
        <v>0</v>
      </c>
      <c r="K46" s="74">
        <f t="shared" si="16"/>
        <v>58</v>
      </c>
      <c r="L46" s="74">
        <f t="shared" si="16"/>
        <v>58</v>
      </c>
      <c r="M46" s="74">
        <f t="shared" si="16"/>
        <v>0</v>
      </c>
      <c r="N46" s="74">
        <f t="shared" si="16"/>
        <v>338</v>
      </c>
      <c r="O46" s="74">
        <f t="shared" si="16"/>
        <v>338</v>
      </c>
    </row>
    <row r="47" spans="1:15">
      <c r="A47" s="81" t="s">
        <v>286</v>
      </c>
      <c r="B47" s="1089" t="s">
        <v>287</v>
      </c>
      <c r="C47" s="1089"/>
      <c r="D47" s="65">
        <f>+G47+J47+M47</f>
        <v>377510</v>
      </c>
      <c r="E47" s="65">
        <f t="shared" ref="E47:F47" si="17">+H47+K47+N47</f>
        <v>3200</v>
      </c>
      <c r="F47" s="65">
        <f t="shared" si="17"/>
        <v>380710</v>
      </c>
      <c r="G47" s="65">
        <v>151985</v>
      </c>
      <c r="H47" s="74">
        <v>2311</v>
      </c>
      <c r="I47" s="63">
        <f>+G47+H47</f>
        <v>154296</v>
      </c>
      <c r="J47" s="65">
        <v>172110</v>
      </c>
      <c r="K47" s="74">
        <v>401</v>
      </c>
      <c r="L47" s="63">
        <f>+J47+K47</f>
        <v>172511</v>
      </c>
      <c r="M47" s="65">
        <v>53415</v>
      </c>
      <c r="N47" s="74">
        <v>488</v>
      </c>
      <c r="O47" s="63">
        <f>+M47+N47</f>
        <v>53903</v>
      </c>
    </row>
    <row r="48" spans="1:15">
      <c r="A48" s="82" t="s">
        <v>276</v>
      </c>
      <c r="B48" s="1083" t="s">
        <v>288</v>
      </c>
      <c r="C48" s="1084"/>
      <c r="D48" s="74">
        <f>+D47+D46</f>
        <v>377510</v>
      </c>
      <c r="E48" s="74">
        <f t="shared" ref="E48:O48" si="18">+E47+E46</f>
        <v>4088</v>
      </c>
      <c r="F48" s="74">
        <f t="shared" si="18"/>
        <v>381598</v>
      </c>
      <c r="G48" s="74">
        <f t="shared" si="18"/>
        <v>151985</v>
      </c>
      <c r="H48" s="74">
        <f t="shared" si="18"/>
        <v>2803</v>
      </c>
      <c r="I48" s="74">
        <f t="shared" si="18"/>
        <v>154788</v>
      </c>
      <c r="J48" s="74">
        <f t="shared" si="18"/>
        <v>172110</v>
      </c>
      <c r="K48" s="74">
        <f>+K47+K46</f>
        <v>459</v>
      </c>
      <c r="L48" s="74">
        <f t="shared" si="18"/>
        <v>172569</v>
      </c>
      <c r="M48" s="74">
        <f t="shared" si="18"/>
        <v>53415</v>
      </c>
      <c r="N48" s="74">
        <f>+N47+N46</f>
        <v>826</v>
      </c>
      <c r="O48" s="74">
        <f t="shared" si="18"/>
        <v>54241</v>
      </c>
    </row>
    <row r="49" spans="1:15" ht="33.75" customHeight="1">
      <c r="A49" s="1090" t="s">
        <v>289</v>
      </c>
      <c r="B49" s="1090"/>
      <c r="C49" s="1090"/>
      <c r="D49" s="74">
        <f t="shared" ref="D49:O49" si="19">+D48+D42</f>
        <v>379986</v>
      </c>
      <c r="E49" s="74">
        <f t="shared" si="19"/>
        <v>5128</v>
      </c>
      <c r="F49" s="74">
        <f t="shared" si="19"/>
        <v>385114</v>
      </c>
      <c r="G49" s="74">
        <f t="shared" si="19"/>
        <v>152235</v>
      </c>
      <c r="H49" s="74">
        <f t="shared" si="19"/>
        <v>3035</v>
      </c>
      <c r="I49" s="74">
        <f t="shared" si="19"/>
        <v>155270</v>
      </c>
      <c r="J49" s="74">
        <f t="shared" si="19"/>
        <v>172110</v>
      </c>
      <c r="K49" s="74">
        <f>+K48+K42</f>
        <v>582</v>
      </c>
      <c r="L49" s="74">
        <f t="shared" si="19"/>
        <v>172692</v>
      </c>
      <c r="M49" s="74">
        <f t="shared" si="19"/>
        <v>55641</v>
      </c>
      <c r="N49" s="74">
        <f t="shared" si="19"/>
        <v>1511</v>
      </c>
      <c r="O49" s="74">
        <f t="shared" si="19"/>
        <v>57152</v>
      </c>
    </row>
    <row r="50" spans="1:15" ht="25.5" customHeight="1">
      <c r="D50" s="69"/>
      <c r="E50" s="69"/>
      <c r="F50" s="69"/>
    </row>
    <row r="51" spans="1:15" s="42" customFormat="1" ht="13.2" customHeight="1">
      <c r="A51" s="1070" t="s">
        <v>0</v>
      </c>
      <c r="B51" s="1072" t="s">
        <v>183</v>
      </c>
      <c r="C51" s="1073"/>
      <c r="D51" s="1076" t="s">
        <v>181</v>
      </c>
      <c r="E51" s="1076"/>
      <c r="F51" s="1076"/>
      <c r="G51" s="1063" t="s">
        <v>293</v>
      </c>
      <c r="H51" s="1063"/>
      <c r="I51" s="1063"/>
      <c r="J51" s="1063" t="s">
        <v>294</v>
      </c>
      <c r="K51" s="1063"/>
      <c r="L51" s="1063"/>
      <c r="M51" s="1063" t="s">
        <v>761</v>
      </c>
      <c r="N51" s="1063"/>
      <c r="O51" s="1063"/>
    </row>
    <row r="52" spans="1:15" s="77" customFormat="1" ht="15" customHeight="1">
      <c r="A52" s="1071"/>
      <c r="B52" s="1074"/>
      <c r="C52" s="1075"/>
      <c r="D52" s="459" t="s">
        <v>178</v>
      </c>
      <c r="E52" s="459" t="s">
        <v>179</v>
      </c>
      <c r="F52" s="459" t="s">
        <v>180</v>
      </c>
      <c r="G52" s="847" t="s">
        <v>178</v>
      </c>
      <c r="H52" s="847" t="s">
        <v>179</v>
      </c>
      <c r="I52" s="847" t="s">
        <v>180</v>
      </c>
      <c r="J52" s="847" t="s">
        <v>178</v>
      </c>
      <c r="K52" s="847" t="s">
        <v>179</v>
      </c>
      <c r="L52" s="847" t="s">
        <v>180</v>
      </c>
      <c r="M52" s="847" t="s">
        <v>178</v>
      </c>
      <c r="N52" s="847" t="s">
        <v>179</v>
      </c>
      <c r="O52" s="847" t="s">
        <v>180</v>
      </c>
    </row>
    <row r="53" spans="1:15" ht="13.2" customHeight="1">
      <c r="A53" s="4" t="s">
        <v>27</v>
      </c>
      <c r="B53" s="1086" t="s">
        <v>175</v>
      </c>
      <c r="C53" s="1086"/>
      <c r="D53" s="591">
        <f>+G53+J53+M53</f>
        <v>220521</v>
      </c>
      <c r="E53" s="591">
        <f t="shared" ref="E53:F56" si="20">+H53+K53+N53</f>
        <v>-232</v>
      </c>
      <c r="F53" s="591">
        <f t="shared" si="20"/>
        <v>220289</v>
      </c>
      <c r="G53" s="591">
        <f>+'[4]6.a. mell. PH'!D19</f>
        <v>99162</v>
      </c>
      <c r="H53" s="591">
        <f>+'[4]6.a. mell. PH'!E19</f>
        <v>-329</v>
      </c>
      <c r="I53" s="591">
        <f>+'[4]6.a. mell. PH'!F19</f>
        <v>98833</v>
      </c>
      <c r="J53" s="591">
        <f>+'[4]6.b. mell. Óvoda'!D19</f>
        <v>106097</v>
      </c>
      <c r="K53" s="591">
        <f>+'[4]6.b. mell. Óvoda'!E19</f>
        <v>80</v>
      </c>
      <c r="L53" s="591">
        <f>+'[4]6.b. mell. Óvoda'!F19</f>
        <v>106177</v>
      </c>
      <c r="M53" s="591">
        <f>+'[4]6.c. mell. BBKP'!D19</f>
        <v>15262</v>
      </c>
      <c r="N53" s="591">
        <f>+'[4]6.c. mell. BBKP'!E19</f>
        <v>17</v>
      </c>
      <c r="O53" s="591">
        <f>+'[4]6.c. mell. BBKP'!F19</f>
        <v>15279</v>
      </c>
    </row>
    <row r="54" spans="1:15" ht="13.2" customHeight="1">
      <c r="A54" s="4" t="s">
        <v>34</v>
      </c>
      <c r="B54" s="1086" t="s">
        <v>174</v>
      </c>
      <c r="C54" s="1086"/>
      <c r="D54" s="591">
        <f t="shared" ref="D54:F77" si="21">+G54+J54+M54</f>
        <v>4372</v>
      </c>
      <c r="E54" s="591">
        <f t="shared" si="20"/>
        <v>-170</v>
      </c>
      <c r="F54" s="591">
        <f t="shared" si="20"/>
        <v>4202</v>
      </c>
      <c r="G54" s="591">
        <f>+'[4]6.a. mell. PH'!D23</f>
        <v>777</v>
      </c>
      <c r="H54" s="591">
        <f>+'[4]6.a. mell. PH'!E23</f>
        <v>0</v>
      </c>
      <c r="I54" s="591">
        <f>+'[4]6.a. mell. PH'!F23</f>
        <v>777</v>
      </c>
      <c r="J54" s="591">
        <f>+'[4]6.b. mell. Óvoda'!D23</f>
        <v>1995</v>
      </c>
      <c r="K54" s="591">
        <f>+'[4]6.b. mell. Óvoda'!E23</f>
        <v>-190</v>
      </c>
      <c r="L54" s="591">
        <f>+'[4]6.b. mell. Óvoda'!F23</f>
        <v>1805</v>
      </c>
      <c r="M54" s="591">
        <f>+'[4]6.c. mell. BBKP'!D23</f>
        <v>1600</v>
      </c>
      <c r="N54" s="591">
        <f>+'[4]6.c. mell. BBKP'!E23</f>
        <v>20</v>
      </c>
      <c r="O54" s="591">
        <f>+'[4]6.c. mell. BBKP'!F23</f>
        <v>1620</v>
      </c>
    </row>
    <row r="55" spans="1:15" s="48" customFormat="1">
      <c r="A55" s="6" t="s">
        <v>35</v>
      </c>
      <c r="B55" s="1064" t="s">
        <v>173</v>
      </c>
      <c r="C55" s="1064"/>
      <c r="D55" s="582">
        <f t="shared" si="21"/>
        <v>224893</v>
      </c>
      <c r="E55" s="582">
        <f t="shared" si="20"/>
        <v>-402</v>
      </c>
      <c r="F55" s="582">
        <f t="shared" si="20"/>
        <v>224491</v>
      </c>
      <c r="G55" s="582">
        <f>SUM(G53:G54)</f>
        <v>99939</v>
      </c>
      <c r="H55" s="582">
        <f t="shared" ref="H55:I55" si="22">SUM(H53:H54)</f>
        <v>-329</v>
      </c>
      <c r="I55" s="582">
        <f t="shared" si="22"/>
        <v>99610</v>
      </c>
      <c r="J55" s="582">
        <f>+J54+J53</f>
        <v>108092</v>
      </c>
      <c r="K55" s="582">
        <f t="shared" ref="K55:L55" si="23">+K54+K53</f>
        <v>-110</v>
      </c>
      <c r="L55" s="582">
        <f t="shared" si="23"/>
        <v>107982</v>
      </c>
      <c r="M55" s="582">
        <f>+M54+M53</f>
        <v>16862</v>
      </c>
      <c r="N55" s="582">
        <f t="shared" ref="N55:O55" si="24">+N54+N53</f>
        <v>37</v>
      </c>
      <c r="O55" s="582">
        <f t="shared" si="24"/>
        <v>16899</v>
      </c>
    </row>
    <row r="56" spans="1:15" s="48" customFormat="1" ht="13.2" customHeight="1">
      <c r="A56" s="6" t="s">
        <v>36</v>
      </c>
      <c r="B56" s="1064" t="s">
        <v>172</v>
      </c>
      <c r="C56" s="1064"/>
      <c r="D56" s="582">
        <f t="shared" si="21"/>
        <v>62983</v>
      </c>
      <c r="E56" s="582">
        <f t="shared" si="20"/>
        <v>153</v>
      </c>
      <c r="F56" s="582">
        <f t="shared" si="20"/>
        <v>63136</v>
      </c>
      <c r="G56" s="582">
        <f>+'[4]6.a. mell. PH'!D26</f>
        <v>28438</v>
      </c>
      <c r="H56" s="582">
        <f>+'[4]6.a. mell. PH'!E26</f>
        <v>-88</v>
      </c>
      <c r="I56" s="582">
        <f>+'[4]6.a. mell. PH'!F26</f>
        <v>28350</v>
      </c>
      <c r="J56" s="582">
        <f>+'[4]6.b. mell. Óvoda'!D26</f>
        <v>30051</v>
      </c>
      <c r="K56" s="582">
        <f>+'[4]6.b. mell. Óvoda'!E26</f>
        <v>236</v>
      </c>
      <c r="L56" s="582">
        <f>+'[4]6.b. mell. Óvoda'!F26</f>
        <v>30287</v>
      </c>
      <c r="M56" s="582">
        <f>+'[4]6.c. mell. BBKP'!D26</f>
        <v>4494</v>
      </c>
      <c r="N56" s="582">
        <f>+'[4]6.c. mell. BBKP'!E26</f>
        <v>5</v>
      </c>
      <c r="O56" s="582">
        <f>+'[4]6.c. mell. BBKP'!F26</f>
        <v>4499</v>
      </c>
    </row>
    <row r="57" spans="1:15" ht="13.2" customHeight="1">
      <c r="A57" s="1065"/>
      <c r="B57" s="1066"/>
      <c r="C57" s="1067"/>
      <c r="D57" s="591"/>
      <c r="E57" s="591"/>
      <c r="F57" s="591"/>
      <c r="G57" s="591"/>
      <c r="H57" s="591"/>
      <c r="I57" s="591"/>
      <c r="J57" s="591"/>
      <c r="K57" s="591"/>
      <c r="L57" s="591"/>
      <c r="M57" s="591"/>
      <c r="N57" s="591"/>
      <c r="O57" s="591"/>
    </row>
    <row r="58" spans="1:15" ht="13.2" customHeight="1">
      <c r="A58" s="4" t="s">
        <v>48</v>
      </c>
      <c r="B58" s="1086" t="s">
        <v>171</v>
      </c>
      <c r="C58" s="1086"/>
      <c r="D58" s="591">
        <f t="shared" si="21"/>
        <v>5670</v>
      </c>
      <c r="E58" s="591">
        <f t="shared" si="21"/>
        <v>1282</v>
      </c>
      <c r="F58" s="591">
        <f t="shared" si="21"/>
        <v>6952</v>
      </c>
      <c r="G58" s="591">
        <f>+'[4]6.a. mell. PH'!D36</f>
        <v>1900</v>
      </c>
      <c r="H58" s="591">
        <f>+'[4]6.a. mell. PH'!E36</f>
        <v>40</v>
      </c>
      <c r="I58" s="591">
        <f>+'[4]6.a. mell. PH'!F36</f>
        <v>1940</v>
      </c>
      <c r="J58" s="591">
        <f>+'[4]6.b. mell. Óvoda'!D36</f>
        <v>1875</v>
      </c>
      <c r="K58" s="591">
        <f>+'[4]6.b. mell. Óvoda'!E36</f>
        <v>82</v>
      </c>
      <c r="L58" s="591">
        <f>+'[4]6.b. mell. Óvoda'!F36</f>
        <v>1957</v>
      </c>
      <c r="M58" s="591">
        <f>+'[4]6.c. mell. BBKP'!D37</f>
        <v>1895</v>
      </c>
      <c r="N58" s="591">
        <f>+'[4]6.c. mell. BBKP'!E37</f>
        <v>1160</v>
      </c>
      <c r="O58" s="591">
        <f>+'[4]6.c. mell. BBKP'!F37</f>
        <v>3055</v>
      </c>
    </row>
    <row r="59" spans="1:15" ht="13.2" customHeight="1">
      <c r="A59" s="4" t="s">
        <v>53</v>
      </c>
      <c r="B59" s="1086" t="s">
        <v>170</v>
      </c>
      <c r="C59" s="1086"/>
      <c r="D59" s="591">
        <f t="shared" si="21"/>
        <v>3290</v>
      </c>
      <c r="E59" s="591">
        <f t="shared" si="21"/>
        <v>0</v>
      </c>
      <c r="F59" s="591">
        <f t="shared" si="21"/>
        <v>3290</v>
      </c>
      <c r="G59" s="591">
        <f>+'[4]6.a. mell. PH'!D39</f>
        <v>2500</v>
      </c>
      <c r="H59" s="591">
        <f>+'[4]6.a. mell. PH'!E39</f>
        <v>0</v>
      </c>
      <c r="I59" s="591">
        <f>+'[4]6.a. mell. PH'!F39</f>
        <v>2500</v>
      </c>
      <c r="J59" s="591">
        <f>+'[4]6.b. mell. Óvoda'!D39</f>
        <v>250</v>
      </c>
      <c r="K59" s="591">
        <f>+'[4]6.b. mell. Óvoda'!E39</f>
        <v>0</v>
      </c>
      <c r="L59" s="591">
        <f>+'[4]6.b. mell. Óvoda'!F39</f>
        <v>250</v>
      </c>
      <c r="M59" s="591">
        <f>+'[4]6.c. mell. BBKP'!D40</f>
        <v>540</v>
      </c>
      <c r="N59" s="591">
        <f>+'[4]6.c. mell. BBKP'!E40</f>
        <v>0</v>
      </c>
      <c r="O59" s="591">
        <f>+'[4]6.c. mell. BBKP'!F40</f>
        <v>540</v>
      </c>
    </row>
    <row r="60" spans="1:15" ht="13.2" customHeight="1">
      <c r="A60" s="4" t="s">
        <v>67</v>
      </c>
      <c r="B60" s="1086" t="s">
        <v>157</v>
      </c>
      <c r="C60" s="1086"/>
      <c r="D60" s="591">
        <f t="shared" si="21"/>
        <v>28104</v>
      </c>
      <c r="E60" s="591">
        <f t="shared" si="21"/>
        <v>2690</v>
      </c>
      <c r="F60" s="591">
        <f t="shared" si="21"/>
        <v>30794</v>
      </c>
      <c r="G60" s="591">
        <f>+'[4]6.a. mell. PH'!D49</f>
        <v>6718</v>
      </c>
      <c r="H60" s="591">
        <f>+'[4]6.a. mell. PH'!E49</f>
        <v>1622</v>
      </c>
      <c r="I60" s="591">
        <f>+'[4]6.a. mell. PH'!F49</f>
        <v>8340</v>
      </c>
      <c r="J60" s="591">
        <f>+'[4]6.b. mell. Óvoda'!D49</f>
        <v>16052</v>
      </c>
      <c r="K60" s="591">
        <f>+'[4]6.b. mell. Óvoda'!E49</f>
        <v>200</v>
      </c>
      <c r="L60" s="591">
        <f>+'[4]6.b. mell. Óvoda'!F49</f>
        <v>16252</v>
      </c>
      <c r="M60" s="591">
        <f>+'[4]6.c. mell. BBKP'!D50</f>
        <v>5334</v>
      </c>
      <c r="N60" s="591">
        <f>+'[4]6.c. mell. BBKP'!E50</f>
        <v>868</v>
      </c>
      <c r="O60" s="591">
        <f>+'[4]6.c. mell. BBKP'!F50</f>
        <v>6202</v>
      </c>
    </row>
    <row r="61" spans="1:15" ht="13.2" customHeight="1">
      <c r="A61" s="4" t="s">
        <v>72</v>
      </c>
      <c r="B61" s="1086" t="s">
        <v>156</v>
      </c>
      <c r="C61" s="1086"/>
      <c r="D61" s="591">
        <f t="shared" si="21"/>
        <v>1275</v>
      </c>
      <c r="E61" s="591">
        <f t="shared" si="21"/>
        <v>61</v>
      </c>
      <c r="F61" s="591">
        <f t="shared" si="21"/>
        <v>1336</v>
      </c>
      <c r="G61" s="591">
        <f>+'[4]6.a. mell. PH'!D52</f>
        <v>300</v>
      </c>
      <c r="H61" s="591">
        <f>+'[4]6.a. mell. PH'!E52</f>
        <v>50</v>
      </c>
      <c r="I61" s="591">
        <f>+'[4]6.a. mell. PH'!F52</f>
        <v>350</v>
      </c>
      <c r="J61" s="591">
        <f>+'[4]6.b. mell. Óvoda'!D52</f>
        <v>50</v>
      </c>
      <c r="K61" s="591">
        <f>+'[4]6.b. mell. Óvoda'!E52</f>
        <v>0</v>
      </c>
      <c r="L61" s="591">
        <f>+'[4]6.b. mell. Óvoda'!F52</f>
        <v>50</v>
      </c>
      <c r="M61" s="591">
        <f>+'[4]6.c. mell. BBKP'!D53</f>
        <v>925</v>
      </c>
      <c r="N61" s="591">
        <f>+'[4]6.c. mell. BBKP'!E53</f>
        <v>11</v>
      </c>
      <c r="O61" s="591">
        <f>+'[4]6.c. mell. BBKP'!F53</f>
        <v>936</v>
      </c>
    </row>
    <row r="62" spans="1:15">
      <c r="A62" s="4" t="s">
        <v>81</v>
      </c>
      <c r="B62" s="1086" t="s">
        <v>153</v>
      </c>
      <c r="C62" s="1086"/>
      <c r="D62" s="591">
        <f t="shared" si="21"/>
        <v>8613</v>
      </c>
      <c r="E62" s="591">
        <f t="shared" si="21"/>
        <v>535</v>
      </c>
      <c r="F62" s="591">
        <f t="shared" si="21"/>
        <v>9148</v>
      </c>
      <c r="G62" s="591">
        <f>+'[4]6.a. mell. PH'!D58</f>
        <v>1800</v>
      </c>
      <c r="H62" s="591">
        <f>+'[4]6.a. mell. PH'!E58</f>
        <v>36</v>
      </c>
      <c r="I62" s="591">
        <f>+'[4]6.a. mell. PH'!F58</f>
        <v>1836</v>
      </c>
      <c r="J62" s="591">
        <f>+'[4]6.b. mell. Óvoda'!D58</f>
        <v>4625</v>
      </c>
      <c r="K62" s="591">
        <f>+'[4]6.b. mell. Óvoda'!E58</f>
        <v>25</v>
      </c>
      <c r="L62" s="591">
        <f>+'[4]6.b. mell. Óvoda'!F58</f>
        <v>4650</v>
      </c>
      <c r="M62" s="591">
        <f>+'[4]6.c. mell. BBKP'!D59</f>
        <v>2188</v>
      </c>
      <c r="N62" s="591">
        <f>+'[4]6.c. mell. BBKP'!E59</f>
        <v>474</v>
      </c>
      <c r="O62" s="591">
        <f>+'[4]6.c. mell. BBKP'!F59</f>
        <v>2662</v>
      </c>
    </row>
    <row r="63" spans="1:15" s="48" customFormat="1" ht="13.2" customHeight="1">
      <c r="A63" s="6" t="s">
        <v>82</v>
      </c>
      <c r="B63" s="1064" t="s">
        <v>152</v>
      </c>
      <c r="C63" s="1064"/>
      <c r="D63" s="582">
        <f t="shared" si="21"/>
        <v>46952</v>
      </c>
      <c r="E63" s="582">
        <f t="shared" si="21"/>
        <v>4568</v>
      </c>
      <c r="F63" s="582">
        <f t="shared" si="21"/>
        <v>51520</v>
      </c>
      <c r="G63" s="582">
        <f>SUM(G58:G62)</f>
        <v>13218</v>
      </c>
      <c r="H63" s="582">
        <f t="shared" ref="H63:I63" si="25">SUM(H58:H62)</f>
        <v>1748</v>
      </c>
      <c r="I63" s="582">
        <f t="shared" si="25"/>
        <v>14966</v>
      </c>
      <c r="J63" s="582">
        <f>SUM(J58:J62)</f>
        <v>22852</v>
      </c>
      <c r="K63" s="582">
        <f t="shared" ref="K63:L63" si="26">SUM(K58:K62)</f>
        <v>307</v>
      </c>
      <c r="L63" s="582">
        <f t="shared" si="26"/>
        <v>23159</v>
      </c>
      <c r="M63" s="582">
        <f>SUM(M58:M62)</f>
        <v>10882</v>
      </c>
      <c r="N63" s="582">
        <f t="shared" ref="N63:O63" si="27">SUM(N58:N62)</f>
        <v>2513</v>
      </c>
      <c r="O63" s="582">
        <f t="shared" si="27"/>
        <v>13395</v>
      </c>
    </row>
    <row r="64" spans="1:15" ht="13.2" customHeight="1">
      <c r="A64" s="4"/>
      <c r="B64" s="1092"/>
      <c r="C64" s="1093"/>
      <c r="D64" s="591"/>
      <c r="E64" s="591"/>
      <c r="F64" s="591"/>
      <c r="G64" s="591"/>
      <c r="H64" s="591"/>
      <c r="I64" s="591"/>
      <c r="J64" s="591"/>
      <c r="K64" s="591"/>
      <c r="L64" s="591"/>
      <c r="M64" s="591"/>
      <c r="N64" s="591"/>
      <c r="O64" s="591"/>
    </row>
    <row r="65" spans="1:15" ht="14.4">
      <c r="A65" s="4" t="s">
        <v>102</v>
      </c>
      <c r="B65" s="1077" t="s">
        <v>1021</v>
      </c>
      <c r="C65" s="1078"/>
      <c r="D65" s="859"/>
      <c r="E65" s="591">
        <f t="shared" ref="E65:F66" si="28">+H65+K65+N65</f>
        <v>1178</v>
      </c>
      <c r="F65" s="591">
        <f t="shared" si="28"/>
        <v>1178</v>
      </c>
      <c r="G65" s="591"/>
      <c r="H65" s="591">
        <f>'[4]6.a. mell. PH'!E61</f>
        <v>499</v>
      </c>
      <c r="I65" s="591">
        <f>'[4]6.a. mell. PH'!F61</f>
        <v>499</v>
      </c>
      <c r="J65" s="591"/>
      <c r="K65" s="591">
        <f>'[4]6.b. mell. Óvoda'!E61</f>
        <v>95</v>
      </c>
      <c r="L65" s="591">
        <f>'[4]6.b. mell. Óvoda'!F61</f>
        <v>95</v>
      </c>
      <c r="M65" s="591"/>
      <c r="N65" s="591">
        <f>'[4]6.c. mell. BBKP'!E62</f>
        <v>584</v>
      </c>
      <c r="O65" s="591">
        <f>'[4]6.c. mell. BBKP'!F62</f>
        <v>584</v>
      </c>
    </row>
    <row r="66" spans="1:15" ht="13.2" customHeight="1">
      <c r="A66" s="4" t="s">
        <v>106</v>
      </c>
      <c r="B66" s="1091" t="s">
        <v>165</v>
      </c>
      <c r="C66" s="1091"/>
      <c r="D66" s="591">
        <f t="shared" si="21"/>
        <v>38098</v>
      </c>
      <c r="E66" s="591">
        <f t="shared" si="28"/>
        <v>275</v>
      </c>
      <c r="F66" s="591">
        <f t="shared" si="28"/>
        <v>38373</v>
      </c>
      <c r="G66" s="591">
        <f>+'[4]6.a. mell. PH'!D63</f>
        <v>8640</v>
      </c>
      <c r="H66" s="591">
        <f>+'[4]6.a. mell. PH'!E63</f>
        <v>6</v>
      </c>
      <c r="I66" s="591">
        <f>+'[4]6.a. mell. PH'!F63</f>
        <v>8646</v>
      </c>
      <c r="J66" s="591">
        <f>+'[4]6.b. mell. Óvoda'!D63</f>
        <v>11115</v>
      </c>
      <c r="K66" s="591">
        <f>+'[4]6.b. mell. Óvoda'!E63</f>
        <v>37</v>
      </c>
      <c r="L66" s="591">
        <f>+'[4]6.b. mell. Óvoda'!F63</f>
        <v>11152</v>
      </c>
      <c r="M66" s="591">
        <f>+'[4]6.c. mell. BBKP'!D64</f>
        <v>18343</v>
      </c>
      <c r="N66" s="591">
        <f>+'[4]6.c. mell. BBKP'!E64</f>
        <v>232</v>
      </c>
      <c r="O66" s="591">
        <f>+'[4]6.c. mell. BBKP'!F64</f>
        <v>18575</v>
      </c>
    </row>
    <row r="67" spans="1:15" s="48" customFormat="1">
      <c r="A67" s="6" t="s">
        <v>109</v>
      </c>
      <c r="B67" s="1064" t="s">
        <v>164</v>
      </c>
      <c r="C67" s="1064"/>
      <c r="D67" s="582">
        <f t="shared" si="21"/>
        <v>38098</v>
      </c>
      <c r="E67" s="582">
        <f>+H67+K67+N67</f>
        <v>1453</v>
      </c>
      <c r="F67" s="582">
        <f>+I67+L67+O67</f>
        <v>39551</v>
      </c>
      <c r="G67" s="582">
        <f>+G66</f>
        <v>8640</v>
      </c>
      <c r="H67" s="582">
        <f>+H66+H65</f>
        <v>505</v>
      </c>
      <c r="I67" s="582">
        <f>+I66+I65</f>
        <v>9145</v>
      </c>
      <c r="J67" s="582">
        <f>+J66</f>
        <v>11115</v>
      </c>
      <c r="K67" s="582">
        <f>+K66+K65</f>
        <v>132</v>
      </c>
      <c r="L67" s="582">
        <f>+L66+L65</f>
        <v>11247</v>
      </c>
      <c r="M67" s="582">
        <f>+M66</f>
        <v>18343</v>
      </c>
      <c r="N67" s="582">
        <f>+N66+N65</f>
        <v>816</v>
      </c>
      <c r="O67" s="582">
        <f>+O66+O65</f>
        <v>19159</v>
      </c>
    </row>
    <row r="68" spans="1:15" s="48" customFormat="1" ht="13.2" customHeight="1">
      <c r="A68" s="6"/>
      <c r="B68" s="1068"/>
      <c r="C68" s="1069"/>
      <c r="D68" s="582"/>
      <c r="E68" s="582"/>
      <c r="F68" s="582"/>
      <c r="G68" s="582"/>
      <c r="H68" s="582"/>
      <c r="I68" s="582"/>
      <c r="J68" s="582"/>
      <c r="K68" s="582"/>
      <c r="L68" s="582"/>
      <c r="M68" s="582"/>
      <c r="N68" s="582"/>
      <c r="O68" s="582"/>
    </row>
    <row r="69" spans="1:15" s="48" customFormat="1">
      <c r="A69" s="6" t="s">
        <v>124</v>
      </c>
      <c r="B69" s="1064" t="s">
        <v>162</v>
      </c>
      <c r="C69" s="1064"/>
      <c r="D69" s="582">
        <f t="shared" si="21"/>
        <v>7060</v>
      </c>
      <c r="E69" s="582">
        <f t="shared" si="21"/>
        <v>-644</v>
      </c>
      <c r="F69" s="582">
        <f t="shared" si="21"/>
        <v>6416</v>
      </c>
      <c r="G69" s="582">
        <f>+'[4]6.a. mell. PH'!D75</f>
        <v>2000</v>
      </c>
      <c r="H69" s="582">
        <f>+'[4]6.a. mell. PH'!E75</f>
        <v>1199</v>
      </c>
      <c r="I69" s="582">
        <f>+'[4]6.a. mell. PH'!F75</f>
        <v>3199</v>
      </c>
      <c r="J69" s="582">
        <f>+'[4]6.b. mell. Óvoda'!D76</f>
        <v>0</v>
      </c>
      <c r="K69" s="582">
        <f>+'[4]6.b. mell. Óvoda'!E76</f>
        <v>17</v>
      </c>
      <c r="L69" s="582">
        <f>+'[4]6.b. mell. Óvoda'!F76</f>
        <v>17</v>
      </c>
      <c r="M69" s="582">
        <f>+'[4]6.c. mell. BBKP'!D77</f>
        <v>5060</v>
      </c>
      <c r="N69" s="582">
        <f>+'[4]6.c. mell. BBKP'!E77</f>
        <v>-1860</v>
      </c>
      <c r="O69" s="582">
        <f>+'[4]6.c. mell. BBKP'!F77</f>
        <v>3200</v>
      </c>
    </row>
    <row r="70" spans="1:15" s="48" customFormat="1" ht="13.2" customHeight="1">
      <c r="A70" s="6"/>
      <c r="B70" s="1068"/>
      <c r="C70" s="1069"/>
      <c r="D70" s="582"/>
      <c r="E70" s="582"/>
      <c r="F70" s="582"/>
      <c r="G70" s="582"/>
      <c r="H70" s="582"/>
      <c r="I70" s="582"/>
      <c r="J70" s="582"/>
      <c r="K70" s="582"/>
      <c r="L70" s="582"/>
      <c r="M70" s="582"/>
      <c r="N70" s="582"/>
      <c r="O70" s="582"/>
    </row>
    <row r="71" spans="1:15" s="48" customFormat="1">
      <c r="A71" s="6" t="s">
        <v>133</v>
      </c>
      <c r="B71" s="1064" t="s">
        <v>161</v>
      </c>
      <c r="C71" s="1064"/>
      <c r="D71" s="582">
        <f t="shared" si="21"/>
        <v>0</v>
      </c>
      <c r="E71" s="582">
        <f t="shared" si="21"/>
        <v>0</v>
      </c>
      <c r="F71" s="582">
        <f t="shared" si="21"/>
        <v>0</v>
      </c>
      <c r="G71" s="582">
        <f>+'[4]6.a. mell. PH'!D81</f>
        <v>0</v>
      </c>
      <c r="H71" s="582">
        <f>+'[4]6.a. mell. PH'!E81</f>
        <v>0</v>
      </c>
      <c r="I71" s="582">
        <f>+'[4]6.a. mell. PH'!F81</f>
        <v>0</v>
      </c>
      <c r="J71" s="582">
        <f>+'[4]6.b. mell. Óvoda'!D82</f>
        <v>0</v>
      </c>
      <c r="K71" s="582">
        <f>+'[4]6.b. mell. Óvoda'!E82</f>
        <v>0</v>
      </c>
      <c r="L71" s="582">
        <f>+'[4]6.b. mell. Óvoda'!F82</f>
        <v>0</v>
      </c>
      <c r="M71" s="582">
        <f>+'[4]6.c. mell. BBKP'!D83</f>
        <v>0</v>
      </c>
      <c r="N71" s="582">
        <f>+'[4]6.c. mell. BBKP'!E83</f>
        <v>0</v>
      </c>
      <c r="O71" s="582">
        <f>+'[4]6.c. mell. BBKP'!F83</f>
        <v>0</v>
      </c>
    </row>
    <row r="72" spans="1:15" s="48" customFormat="1" ht="13.2" customHeight="1">
      <c r="A72" s="6"/>
      <c r="B72" s="1068"/>
      <c r="C72" s="1069"/>
      <c r="D72" s="582"/>
      <c r="E72" s="582"/>
      <c r="F72" s="582"/>
      <c r="G72" s="582"/>
      <c r="H72" s="582"/>
      <c r="I72" s="582"/>
      <c r="J72" s="582"/>
      <c r="K72" s="582"/>
      <c r="L72" s="582"/>
      <c r="M72" s="582"/>
      <c r="N72" s="582"/>
      <c r="O72" s="582"/>
    </row>
    <row r="73" spans="1:15" s="48" customFormat="1">
      <c r="A73" s="6" t="s">
        <v>135</v>
      </c>
      <c r="B73" s="1064" t="s">
        <v>159</v>
      </c>
      <c r="C73" s="1064"/>
      <c r="D73" s="582">
        <f t="shared" si="21"/>
        <v>0</v>
      </c>
      <c r="E73" s="582">
        <f t="shared" si="21"/>
        <v>0</v>
      </c>
      <c r="F73" s="582">
        <f t="shared" si="21"/>
        <v>0</v>
      </c>
      <c r="G73" s="582">
        <f>+'[4]6.a. mell. PH'!D83</f>
        <v>0</v>
      </c>
      <c r="H73" s="582">
        <f>+'[4]6.a. mell. PH'!E83</f>
        <v>0</v>
      </c>
      <c r="I73" s="582">
        <f>+'[4]6.a. mell. PH'!F83</f>
        <v>0</v>
      </c>
      <c r="J73" s="582">
        <f>+'[4]6.b. mell. Óvoda'!D84</f>
        <v>0</v>
      </c>
      <c r="K73" s="582">
        <f>+'[4]6.b. mell. Óvoda'!E84</f>
        <v>0</v>
      </c>
      <c r="L73" s="582">
        <f>+'[4]6.b. mell. Óvoda'!F84</f>
        <v>0</v>
      </c>
      <c r="M73" s="582">
        <f>+'[4]6.c. mell. BBKP'!D85</f>
        <v>0</v>
      </c>
      <c r="N73" s="582">
        <f>+'[4]6.c. mell. BBKP'!E85</f>
        <v>0</v>
      </c>
      <c r="O73" s="582">
        <f>+'[4]6.c. mell. BBKP'!F85</f>
        <v>0</v>
      </c>
    </row>
    <row r="74" spans="1:15" s="48" customFormat="1">
      <c r="A74" s="6"/>
      <c r="B74" s="1068"/>
      <c r="C74" s="1069"/>
      <c r="D74" s="582"/>
      <c r="E74" s="582"/>
      <c r="F74" s="582"/>
      <c r="G74" s="582"/>
      <c r="H74" s="582"/>
      <c r="I74" s="582"/>
      <c r="J74" s="582"/>
      <c r="K74" s="582"/>
      <c r="L74" s="582"/>
      <c r="M74" s="582"/>
      <c r="N74" s="582"/>
      <c r="O74" s="582"/>
    </row>
    <row r="75" spans="1:15" s="48" customFormat="1">
      <c r="A75" s="78" t="s">
        <v>136</v>
      </c>
      <c r="B75" s="1064" t="s">
        <v>158</v>
      </c>
      <c r="C75" s="1064"/>
      <c r="D75" s="582">
        <f t="shared" si="21"/>
        <v>379986</v>
      </c>
      <c r="E75" s="582">
        <f t="shared" si="21"/>
        <v>5128</v>
      </c>
      <c r="F75" s="582">
        <f t="shared" si="21"/>
        <v>385114</v>
      </c>
      <c r="G75" s="582">
        <f>+G73+G71+G69+G67+G63+G56+G55</f>
        <v>152235</v>
      </c>
      <c r="H75" s="582">
        <f t="shared" ref="H75:I75" si="29">+H73+H71+H69+H67+H63+H56+H55</f>
        <v>3035</v>
      </c>
      <c r="I75" s="582">
        <f t="shared" si="29"/>
        <v>155270</v>
      </c>
      <c r="J75" s="582">
        <f>+J73+J71+J69+J67+J63+J56+J55</f>
        <v>172110</v>
      </c>
      <c r="K75" s="582">
        <f t="shared" ref="K75:L75" si="30">+K73+K71+K69+K67+K63+K56+K55</f>
        <v>582</v>
      </c>
      <c r="L75" s="582">
        <f t="shared" si="30"/>
        <v>172692</v>
      </c>
      <c r="M75" s="582">
        <f>+M73+M71+M69+M67+M63+M56+M55</f>
        <v>55641</v>
      </c>
      <c r="N75" s="582">
        <f t="shared" ref="N75:O75" si="31">+N73+N71+N69+N67+N63+N56+N55</f>
        <v>1511</v>
      </c>
      <c r="O75" s="582">
        <f t="shared" si="31"/>
        <v>57152</v>
      </c>
    </row>
    <row r="76" spans="1:15" s="48" customFormat="1">
      <c r="A76" s="87"/>
      <c r="B76" s="1058"/>
      <c r="C76" s="1059"/>
      <c r="D76" s="582"/>
      <c r="E76" s="582"/>
      <c r="F76" s="582"/>
      <c r="G76" s="582"/>
      <c r="H76" s="582"/>
      <c r="I76" s="582"/>
      <c r="J76" s="582"/>
      <c r="K76" s="582"/>
      <c r="L76" s="582"/>
      <c r="M76" s="582"/>
      <c r="N76" s="582"/>
      <c r="O76" s="582"/>
    </row>
    <row r="77" spans="1:15" s="48" customFormat="1">
      <c r="A77" s="87" t="s">
        <v>272</v>
      </c>
      <c r="B77" s="88" t="s">
        <v>278</v>
      </c>
      <c r="C77" s="88"/>
      <c r="D77" s="582">
        <f t="shared" si="21"/>
        <v>0</v>
      </c>
      <c r="E77" s="582">
        <f t="shared" si="21"/>
        <v>0</v>
      </c>
      <c r="F77" s="582">
        <f t="shared" si="21"/>
        <v>0</v>
      </c>
      <c r="G77" s="582">
        <v>0</v>
      </c>
      <c r="H77" s="582">
        <v>0</v>
      </c>
      <c r="I77" s="582">
        <v>0</v>
      </c>
      <c r="J77" s="582">
        <v>0</v>
      </c>
      <c r="K77" s="582">
        <v>0</v>
      </c>
      <c r="L77" s="582">
        <v>0</v>
      </c>
      <c r="M77" s="582">
        <v>0</v>
      </c>
      <c r="N77" s="582">
        <v>0</v>
      </c>
      <c r="O77" s="582">
        <v>0</v>
      </c>
    </row>
    <row r="78" spans="1:15" s="48" customFormat="1">
      <c r="A78" s="87"/>
      <c r="B78" s="1058"/>
      <c r="C78" s="1059"/>
      <c r="D78" s="582"/>
      <c r="E78" s="582"/>
      <c r="F78" s="582"/>
      <c r="G78" s="582"/>
      <c r="H78" s="582"/>
      <c r="I78" s="582"/>
      <c r="J78" s="582"/>
      <c r="K78" s="582"/>
      <c r="L78" s="582"/>
      <c r="M78" s="582"/>
      <c r="N78" s="582"/>
      <c r="O78" s="582"/>
    </row>
    <row r="79" spans="1:15" s="48" customFormat="1">
      <c r="A79" s="1060" t="s">
        <v>290</v>
      </c>
      <c r="B79" s="1061"/>
      <c r="C79" s="1062"/>
      <c r="D79" s="582">
        <f>+G79+J79+M79</f>
        <v>379986</v>
      </c>
      <c r="E79" s="582">
        <f t="shared" ref="E79:F79" si="32">+H79+K79+N79</f>
        <v>5128</v>
      </c>
      <c r="F79" s="582">
        <f t="shared" si="32"/>
        <v>385114</v>
      </c>
      <c r="G79" s="582">
        <f>+G77+G75</f>
        <v>152235</v>
      </c>
      <c r="H79" s="582">
        <f t="shared" ref="H79:I79" si="33">+H77+H75</f>
        <v>3035</v>
      </c>
      <c r="I79" s="582">
        <f t="shared" si="33"/>
        <v>155270</v>
      </c>
      <c r="J79" s="582">
        <f>+J77+J75</f>
        <v>172110</v>
      </c>
      <c r="K79" s="582">
        <f t="shared" ref="K79:L79" si="34">+K77+K75</f>
        <v>582</v>
      </c>
      <c r="L79" s="582">
        <f t="shared" si="34"/>
        <v>172692</v>
      </c>
      <c r="M79" s="582">
        <f>+M77+M75</f>
        <v>55641</v>
      </c>
      <c r="N79" s="582">
        <f t="shared" ref="N79:O79" si="35">+N77+N75</f>
        <v>1511</v>
      </c>
      <c r="O79" s="582">
        <f t="shared" si="35"/>
        <v>57152</v>
      </c>
    </row>
    <row r="80" spans="1:15"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</row>
    <row r="81" spans="1:15"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</row>
    <row r="82" spans="1:15"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</row>
    <row r="83" spans="1:15"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</row>
    <row r="84" spans="1:15"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</row>
    <row r="85" spans="1:15"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</row>
    <row r="86" spans="1:15"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</row>
    <row r="87" spans="1:15"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</row>
    <row r="88" spans="1:15"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</row>
    <row r="89" spans="1:15">
      <c r="G89" s="69"/>
      <c r="H89" s="69"/>
      <c r="I89" s="69"/>
      <c r="J89" s="69"/>
      <c r="K89" s="69"/>
      <c r="L89" s="69"/>
      <c r="M89" s="69"/>
      <c r="N89" s="69"/>
      <c r="O89" s="69"/>
    </row>
    <row r="93" spans="1:15">
      <c r="A93" s="83"/>
      <c r="B93" s="80"/>
      <c r="C93" s="80"/>
      <c r="D93" s="66"/>
      <c r="E93" s="66"/>
      <c r="G93" s="66"/>
      <c r="H93" s="66"/>
      <c r="J93" s="66"/>
      <c r="K93" s="66"/>
      <c r="M93" s="66"/>
      <c r="N93" s="66"/>
    </row>
    <row r="99" spans="1:1">
      <c r="A99" s="20"/>
    </row>
    <row r="100" spans="1:1">
      <c r="A100" s="20"/>
    </row>
    <row r="101" spans="1:1">
      <c r="A101" s="20"/>
    </row>
    <row r="102" spans="1:1">
      <c r="A102" s="20"/>
    </row>
    <row r="103" spans="1:1">
      <c r="A103" s="20"/>
    </row>
    <row r="104" spans="1:1">
      <c r="A104" s="20"/>
    </row>
    <row r="105" spans="1:1">
      <c r="A105" s="20"/>
    </row>
    <row r="106" spans="1:1">
      <c r="A106" s="20"/>
    </row>
    <row r="107" spans="1:1">
      <c r="A107" s="20"/>
    </row>
    <row r="108" spans="1:1">
      <c r="A108" s="20"/>
    </row>
    <row r="109" spans="1:1">
      <c r="A109" s="20"/>
    </row>
    <row r="110" spans="1:1">
      <c r="A110" s="20"/>
    </row>
    <row r="111" spans="1:1">
      <c r="A111" s="20"/>
    </row>
    <row r="112" spans="1:1">
      <c r="A112" s="20"/>
    </row>
  </sheetData>
  <mergeCells count="83">
    <mergeCell ref="A2:A3"/>
    <mergeCell ref="D2:F2"/>
    <mergeCell ref="B9:C9"/>
    <mergeCell ref="B54:C54"/>
    <mergeCell ref="B40:C40"/>
    <mergeCell ref="B53:C53"/>
    <mergeCell ref="B41:C41"/>
    <mergeCell ref="B39:C39"/>
    <mergeCell ref="B36:C36"/>
    <mergeCell ref="B37:C37"/>
    <mergeCell ref="B38:C38"/>
    <mergeCell ref="B10:C10"/>
    <mergeCell ref="B22:C22"/>
    <mergeCell ref="B2:C3"/>
    <mergeCell ref="B28:C28"/>
    <mergeCell ref="B33:C33"/>
    <mergeCell ref="M1:O1"/>
    <mergeCell ref="M2:O2"/>
    <mergeCell ref="B27:C27"/>
    <mergeCell ref="B20:C20"/>
    <mergeCell ref="B21:C21"/>
    <mergeCell ref="J2:L2"/>
    <mergeCell ref="B4:C4"/>
    <mergeCell ref="B14:C14"/>
    <mergeCell ref="G2:I2"/>
    <mergeCell ref="B12:C12"/>
    <mergeCell ref="B16:C16"/>
    <mergeCell ref="B5:C5"/>
    <mergeCell ref="B6:C6"/>
    <mergeCell ref="B7:C7"/>
    <mergeCell ref="B8:C8"/>
    <mergeCell ref="B11:C11"/>
    <mergeCell ref="B72:C72"/>
    <mergeCell ref="B67:C67"/>
    <mergeCell ref="B68:C68"/>
    <mergeCell ref="B69:C69"/>
    <mergeCell ref="B70:C70"/>
    <mergeCell ref="B60:C60"/>
    <mergeCell ref="B61:C61"/>
    <mergeCell ref="B62:C62"/>
    <mergeCell ref="B63:C63"/>
    <mergeCell ref="B66:C66"/>
    <mergeCell ref="B64:C64"/>
    <mergeCell ref="B32:C32"/>
    <mergeCell ref="B29:C29"/>
    <mergeCell ref="B59:C59"/>
    <mergeCell ref="B23:C23"/>
    <mergeCell ref="B24:C24"/>
    <mergeCell ref="B25:C25"/>
    <mergeCell ref="B56:C56"/>
    <mergeCell ref="B58:C58"/>
    <mergeCell ref="B46:C46"/>
    <mergeCell ref="B34:C34"/>
    <mergeCell ref="B35:C35"/>
    <mergeCell ref="B42:C42"/>
    <mergeCell ref="B43:C43"/>
    <mergeCell ref="B47:C47"/>
    <mergeCell ref="B48:C48"/>
    <mergeCell ref="A49:C49"/>
    <mergeCell ref="B13:C13"/>
    <mergeCell ref="B30:C30"/>
    <mergeCell ref="B31:C31"/>
    <mergeCell ref="B15:C15"/>
    <mergeCell ref="B26:C26"/>
    <mergeCell ref="B17:C17"/>
    <mergeCell ref="B18:C18"/>
    <mergeCell ref="B19:C19"/>
    <mergeCell ref="B78:C78"/>
    <mergeCell ref="A79:C79"/>
    <mergeCell ref="M51:O51"/>
    <mergeCell ref="B55:C55"/>
    <mergeCell ref="A57:C57"/>
    <mergeCell ref="B74:C74"/>
    <mergeCell ref="B76:C76"/>
    <mergeCell ref="A51:A52"/>
    <mergeCell ref="B51:C52"/>
    <mergeCell ref="D51:F51"/>
    <mergeCell ref="G51:I51"/>
    <mergeCell ref="J51:L51"/>
    <mergeCell ref="B75:C75"/>
    <mergeCell ref="B71:C71"/>
    <mergeCell ref="B65:C65"/>
    <mergeCell ref="B73:C7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&amp;C&amp;"Times New Roman,Félkövér"&amp;12Martonvásár Város Önkormányzatának kiadásai 2016.
Intézmények mindösszesen&amp;R&amp;"Times New Roman,Félkövér"&amp;12 6. melléklet
&amp;"Times New Roman,Normál"&amp;11Adatok E FT-ban</oddHeader>
  </headerFooter>
  <rowBreaks count="1" manualBreakCount="1">
    <brk id="49" max="16383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5"/>
  <sheetViews>
    <sheetView workbookViewId="0">
      <selection activeCell="B24" sqref="B24:C24"/>
    </sheetView>
  </sheetViews>
  <sheetFormatPr defaultColWidth="9.109375" defaultRowHeight="14.4"/>
  <cols>
    <col min="1" max="1" width="7.33203125" style="852" customWidth="1"/>
    <col min="2" max="2" width="7.109375" style="29" customWidth="1"/>
    <col min="3" max="3" width="48.88671875" style="29" customWidth="1"/>
    <col min="4" max="4" width="10.33203125" style="69" customWidth="1"/>
    <col min="5" max="6" width="10.33203125" style="20" customWidth="1"/>
    <col min="7" max="16384" width="9.109375" style="1"/>
  </cols>
  <sheetData>
    <row r="1" spans="1:6" ht="18.75" customHeight="1">
      <c r="D1" s="1009" t="s">
        <v>411</v>
      </c>
      <c r="E1" s="1009"/>
      <c r="F1" s="1009"/>
    </row>
    <row r="2" spans="1:6" ht="40.950000000000003" customHeight="1">
      <c r="A2" s="1070" t="s">
        <v>0</v>
      </c>
      <c r="B2" s="1095" t="s">
        <v>183</v>
      </c>
      <c r="C2" s="1073"/>
      <c r="D2" s="1063" t="s">
        <v>296</v>
      </c>
      <c r="E2" s="1063"/>
      <c r="F2" s="1063"/>
    </row>
    <row r="3" spans="1:6" s="2" customFormat="1" ht="16.2" customHeight="1">
      <c r="A3" s="1103"/>
      <c r="B3" s="1100"/>
      <c r="C3" s="1101"/>
      <c r="D3" s="459" t="s">
        <v>178</v>
      </c>
      <c r="E3" s="847" t="s">
        <v>750</v>
      </c>
      <c r="F3" s="847" t="s">
        <v>752</v>
      </c>
    </row>
    <row r="4" spans="1:6" s="89" customFormat="1" ht="13.5" customHeight="1">
      <c r="A4" s="1071"/>
      <c r="B4" s="1096"/>
      <c r="C4" s="1075"/>
      <c r="D4" s="1097" t="s">
        <v>190</v>
      </c>
      <c r="E4" s="1098"/>
      <c r="F4" s="1099"/>
    </row>
    <row r="5" spans="1:6" ht="12" customHeight="1">
      <c r="A5" s="13" t="s">
        <v>2</v>
      </c>
      <c r="B5" s="999" t="s">
        <v>1</v>
      </c>
      <c r="C5" s="999"/>
      <c r="D5" s="30">
        <v>84376</v>
      </c>
      <c r="E5" s="5">
        <v>-2382</v>
      </c>
      <c r="F5" s="30">
        <f>+D5+E5</f>
        <v>81994</v>
      </c>
    </row>
    <row r="6" spans="1:6" ht="12" customHeight="1">
      <c r="A6" s="4" t="s">
        <v>4</v>
      </c>
      <c r="B6" s="999" t="s">
        <v>3</v>
      </c>
      <c r="C6" s="999"/>
      <c r="D6" s="30"/>
      <c r="E6" s="5">
        <v>141</v>
      </c>
      <c r="F6" s="30">
        <f t="shared" ref="F6:F18" si="0">+D6+E6</f>
        <v>141</v>
      </c>
    </row>
    <row r="7" spans="1:6" ht="12" customHeight="1">
      <c r="A7" s="4" t="s">
        <v>6</v>
      </c>
      <c r="B7" s="999" t="s">
        <v>5</v>
      </c>
      <c r="C7" s="999"/>
      <c r="D7" s="30">
        <v>5776</v>
      </c>
      <c r="E7" s="5"/>
      <c r="F7" s="30">
        <f t="shared" si="0"/>
        <v>5776</v>
      </c>
    </row>
    <row r="8" spans="1:6" ht="12" customHeight="1">
      <c r="A8" s="4" t="s">
        <v>8</v>
      </c>
      <c r="B8" s="999" t="s">
        <v>7</v>
      </c>
      <c r="C8" s="999"/>
      <c r="D8" s="30">
        <v>77</v>
      </c>
      <c r="E8" s="5">
        <v>899</v>
      </c>
      <c r="F8" s="30">
        <f t="shared" si="0"/>
        <v>976</v>
      </c>
    </row>
    <row r="9" spans="1:6" ht="12" customHeight="1">
      <c r="A9" s="4" t="s">
        <v>10</v>
      </c>
      <c r="B9" s="999" t="s">
        <v>9</v>
      </c>
      <c r="C9" s="999"/>
      <c r="D9" s="30"/>
      <c r="E9" s="5"/>
      <c r="F9" s="30">
        <f t="shared" si="0"/>
        <v>0</v>
      </c>
    </row>
    <row r="10" spans="1:6" ht="12" customHeight="1">
      <c r="A10" s="4" t="s">
        <v>12</v>
      </c>
      <c r="B10" s="999" t="s">
        <v>11</v>
      </c>
      <c r="C10" s="999"/>
      <c r="D10" s="31">
        <v>1851</v>
      </c>
      <c r="E10" s="21"/>
      <c r="F10" s="30">
        <f t="shared" si="0"/>
        <v>1851</v>
      </c>
    </row>
    <row r="11" spans="1:6" ht="12" customHeight="1">
      <c r="A11" s="4" t="s">
        <v>14</v>
      </c>
      <c r="B11" s="999" t="s">
        <v>13</v>
      </c>
      <c r="C11" s="999"/>
      <c r="D11" s="31">
        <v>3893</v>
      </c>
      <c r="E11" s="21"/>
      <c r="F11" s="30">
        <f t="shared" si="0"/>
        <v>3893</v>
      </c>
    </row>
    <row r="12" spans="1:6" ht="12" customHeight="1">
      <c r="A12" s="4" t="s">
        <v>16</v>
      </c>
      <c r="B12" s="999" t="s">
        <v>15</v>
      </c>
      <c r="C12" s="999"/>
      <c r="D12" s="31"/>
      <c r="E12" s="21"/>
      <c r="F12" s="30">
        <f t="shared" si="0"/>
        <v>0</v>
      </c>
    </row>
    <row r="13" spans="1:6" ht="12" customHeight="1">
      <c r="A13" s="4" t="s">
        <v>18</v>
      </c>
      <c r="B13" s="999" t="s">
        <v>17</v>
      </c>
      <c r="C13" s="999"/>
      <c r="D13" s="31">
        <v>2836</v>
      </c>
      <c r="E13" s="21"/>
      <c r="F13" s="30">
        <f t="shared" si="0"/>
        <v>2836</v>
      </c>
    </row>
    <row r="14" spans="1:6" ht="12" customHeight="1">
      <c r="A14" s="4" t="s">
        <v>20</v>
      </c>
      <c r="B14" s="999" t="s">
        <v>19</v>
      </c>
      <c r="C14" s="999"/>
      <c r="D14" s="31">
        <v>153</v>
      </c>
      <c r="E14" s="21"/>
      <c r="F14" s="30">
        <f t="shared" si="0"/>
        <v>153</v>
      </c>
    </row>
    <row r="15" spans="1:6" ht="12" customHeight="1">
      <c r="A15" s="4" t="s">
        <v>22</v>
      </c>
      <c r="B15" s="999" t="s">
        <v>21</v>
      </c>
      <c r="C15" s="999"/>
      <c r="D15" s="31"/>
      <c r="E15" s="21"/>
      <c r="F15" s="30">
        <f t="shared" si="0"/>
        <v>0</v>
      </c>
    </row>
    <row r="16" spans="1:6" ht="12" customHeight="1">
      <c r="A16" s="4" t="s">
        <v>24</v>
      </c>
      <c r="B16" s="999" t="s">
        <v>23</v>
      </c>
      <c r="C16" s="999"/>
      <c r="D16" s="31">
        <v>200</v>
      </c>
      <c r="E16" s="21"/>
      <c r="F16" s="30">
        <f t="shared" si="0"/>
        <v>200</v>
      </c>
    </row>
    <row r="17" spans="1:6" ht="12" customHeight="1">
      <c r="A17" s="4" t="s">
        <v>25</v>
      </c>
      <c r="B17" s="999" t="s">
        <v>176</v>
      </c>
      <c r="C17" s="999"/>
      <c r="D17" s="31"/>
      <c r="E17" s="21">
        <v>1013</v>
      </c>
      <c r="F17" s="30">
        <f t="shared" si="0"/>
        <v>1013</v>
      </c>
    </row>
    <row r="18" spans="1:6" ht="12" customHeight="1">
      <c r="A18" s="4" t="s">
        <v>25</v>
      </c>
      <c r="B18" s="999" t="s">
        <v>26</v>
      </c>
      <c r="C18" s="999"/>
      <c r="D18" s="31"/>
      <c r="E18" s="21"/>
      <c r="F18" s="30">
        <f t="shared" si="0"/>
        <v>0</v>
      </c>
    </row>
    <row r="19" spans="1:6" ht="12" customHeight="1">
      <c r="A19" s="6" t="s">
        <v>27</v>
      </c>
      <c r="B19" s="998" t="s">
        <v>175</v>
      </c>
      <c r="C19" s="998"/>
      <c r="D19" s="63">
        <f>SUM(D5:D18)</f>
        <v>99162</v>
      </c>
      <c r="E19" s="49">
        <f>SUM(E5:E18)</f>
        <v>-329</v>
      </c>
      <c r="F19" s="49">
        <f>SUM(F5:F18)</f>
        <v>98833</v>
      </c>
    </row>
    <row r="20" spans="1:6" ht="12" customHeight="1">
      <c r="A20" s="4" t="s">
        <v>29</v>
      </c>
      <c r="B20" s="999" t="s">
        <v>28</v>
      </c>
      <c r="C20" s="999"/>
      <c r="D20" s="31"/>
      <c r="E20" s="21"/>
      <c r="F20" s="21"/>
    </row>
    <row r="21" spans="1:6" ht="12" customHeight="1">
      <c r="A21" s="4" t="s">
        <v>31</v>
      </c>
      <c r="B21" s="999" t="s">
        <v>30</v>
      </c>
      <c r="C21" s="999"/>
      <c r="D21" s="31">
        <v>700</v>
      </c>
      <c r="E21" s="21"/>
      <c r="F21" s="31">
        <f>+D21+E21</f>
        <v>700</v>
      </c>
    </row>
    <row r="22" spans="1:6" ht="12" customHeight="1">
      <c r="A22" s="4" t="s">
        <v>33</v>
      </c>
      <c r="B22" s="999" t="s">
        <v>32</v>
      </c>
      <c r="C22" s="999"/>
      <c r="D22" s="31">
        <v>77</v>
      </c>
      <c r="E22" s="21"/>
      <c r="F22" s="31">
        <f>+D22+E22</f>
        <v>77</v>
      </c>
    </row>
    <row r="23" spans="1:6" ht="12" customHeight="1">
      <c r="A23" s="6" t="s">
        <v>34</v>
      </c>
      <c r="B23" s="998" t="s">
        <v>174</v>
      </c>
      <c r="C23" s="998"/>
      <c r="D23" s="63">
        <f>SUM(D20:D22)</f>
        <v>777</v>
      </c>
      <c r="E23" s="49">
        <f>SUM(E20:E22)</f>
        <v>0</v>
      </c>
      <c r="F23" s="49">
        <f>SUM(F20:F22)</f>
        <v>777</v>
      </c>
    </row>
    <row r="24" spans="1:6" s="51" customFormat="1" ht="12" customHeight="1">
      <c r="A24" s="7" t="s">
        <v>35</v>
      </c>
      <c r="B24" s="995" t="s">
        <v>173</v>
      </c>
      <c r="C24" s="995"/>
      <c r="D24" s="60">
        <f>+D23+D19</f>
        <v>99939</v>
      </c>
      <c r="E24" s="47">
        <f>+E23+E19</f>
        <v>-329</v>
      </c>
      <c r="F24" s="47">
        <f>+F23+F19</f>
        <v>99610</v>
      </c>
    </row>
    <row r="25" spans="1:6" ht="10.5" customHeight="1">
      <c r="A25" s="8"/>
      <c r="B25" s="9"/>
      <c r="C25" s="9"/>
      <c r="D25" s="32"/>
      <c r="E25" s="23"/>
      <c r="F25" s="24"/>
    </row>
    <row r="26" spans="1:6" s="51" customFormat="1" ht="12" customHeight="1">
      <c r="A26" s="10" t="s">
        <v>36</v>
      </c>
      <c r="B26" s="995" t="s">
        <v>172</v>
      </c>
      <c r="C26" s="995"/>
      <c r="D26" s="59">
        <f>SUM(D27:D31)</f>
        <v>28438</v>
      </c>
      <c r="E26" s="50">
        <f>SUM(E27:E31)</f>
        <v>-88</v>
      </c>
      <c r="F26" s="50">
        <f>SUM(F27:F31)</f>
        <v>28350</v>
      </c>
    </row>
    <row r="27" spans="1:6" ht="12" customHeight="1">
      <c r="A27" s="36" t="s">
        <v>36</v>
      </c>
      <c r="B27" s="43"/>
      <c r="C27" s="37" t="s">
        <v>37</v>
      </c>
      <c r="D27" s="33">
        <v>25050</v>
      </c>
      <c r="E27" s="21">
        <v>-88</v>
      </c>
      <c r="F27" s="31">
        <f>+D27+E27</f>
        <v>24962</v>
      </c>
    </row>
    <row r="28" spans="1:6" ht="12" customHeight="1">
      <c r="A28" s="36" t="s">
        <v>36</v>
      </c>
      <c r="B28" s="43"/>
      <c r="C28" s="37" t="s">
        <v>38</v>
      </c>
      <c r="D28" s="33">
        <v>1929</v>
      </c>
      <c r="E28" s="21"/>
      <c r="F28" s="31">
        <f t="shared" ref="F28:F31" si="1">+D28+E28</f>
        <v>1929</v>
      </c>
    </row>
    <row r="29" spans="1:6" ht="12" customHeight="1">
      <c r="A29" s="36" t="s">
        <v>36</v>
      </c>
      <c r="B29" s="43"/>
      <c r="C29" s="37" t="s">
        <v>39</v>
      </c>
      <c r="D29" s="33">
        <v>722</v>
      </c>
      <c r="E29" s="21"/>
      <c r="F29" s="31">
        <f t="shared" si="1"/>
        <v>722</v>
      </c>
    </row>
    <row r="30" spans="1:6" ht="12" customHeight="1">
      <c r="A30" s="36" t="s">
        <v>36</v>
      </c>
      <c r="B30" s="43"/>
      <c r="C30" s="37" t="s">
        <v>40</v>
      </c>
      <c r="D30" s="33"/>
      <c r="E30" s="21"/>
      <c r="F30" s="31">
        <f t="shared" si="1"/>
        <v>0</v>
      </c>
    </row>
    <row r="31" spans="1:6" ht="12" customHeight="1">
      <c r="A31" s="38" t="s">
        <v>36</v>
      </c>
      <c r="B31" s="43"/>
      <c r="C31" s="37" t="s">
        <v>41</v>
      </c>
      <c r="D31" s="460">
        <v>737</v>
      </c>
      <c r="E31" s="22"/>
      <c r="F31" s="31">
        <f t="shared" si="1"/>
        <v>737</v>
      </c>
    </row>
    <row r="32" spans="1:6" ht="8.25" customHeight="1">
      <c r="A32" s="11"/>
      <c r="B32" s="27"/>
      <c r="C32" s="12"/>
      <c r="D32" s="32"/>
      <c r="E32" s="23"/>
      <c r="F32" s="24"/>
    </row>
    <row r="33" spans="1:6" ht="12" customHeight="1">
      <c r="A33" s="13" t="s">
        <v>43</v>
      </c>
      <c r="B33" s="996" t="s">
        <v>42</v>
      </c>
      <c r="C33" s="996"/>
      <c r="D33" s="34">
        <v>150</v>
      </c>
      <c r="E33" s="25">
        <v>82</v>
      </c>
      <c r="F33" s="34">
        <f>+D33+E33</f>
        <v>232</v>
      </c>
    </row>
    <row r="34" spans="1:6" ht="12" customHeight="1">
      <c r="A34" s="4" t="s">
        <v>45</v>
      </c>
      <c r="B34" s="999" t="s">
        <v>44</v>
      </c>
      <c r="C34" s="999"/>
      <c r="D34" s="31">
        <v>1750</v>
      </c>
      <c r="E34" s="21">
        <v>-42</v>
      </c>
      <c r="F34" s="34">
        <f t="shared" ref="F34:F38" si="2">+D34+E34</f>
        <v>1708</v>
      </c>
    </row>
    <row r="35" spans="1:6" ht="12" customHeight="1">
      <c r="A35" s="4" t="s">
        <v>47</v>
      </c>
      <c r="B35" s="999" t="s">
        <v>46</v>
      </c>
      <c r="C35" s="999"/>
      <c r="D35" s="31">
        <v>0</v>
      </c>
      <c r="E35" s="21"/>
      <c r="F35" s="34">
        <f t="shared" si="2"/>
        <v>0</v>
      </c>
    </row>
    <row r="36" spans="1:6" s="51" customFormat="1" ht="12" customHeight="1">
      <c r="A36" s="6" t="s">
        <v>48</v>
      </c>
      <c r="B36" s="998" t="s">
        <v>171</v>
      </c>
      <c r="C36" s="998"/>
      <c r="D36" s="63">
        <f>SUM(D33:D35)</f>
        <v>1900</v>
      </c>
      <c r="E36" s="63">
        <f t="shared" ref="E36:F36" si="3">SUM(E33:E35)</f>
        <v>40</v>
      </c>
      <c r="F36" s="63">
        <f t="shared" si="3"/>
        <v>1940</v>
      </c>
    </row>
    <row r="37" spans="1:6" ht="12" customHeight="1">
      <c r="A37" s="4" t="s">
        <v>50</v>
      </c>
      <c r="B37" s="999" t="s">
        <v>49</v>
      </c>
      <c r="C37" s="999"/>
      <c r="D37" s="31">
        <v>1250</v>
      </c>
      <c r="E37" s="21"/>
      <c r="F37" s="34">
        <f t="shared" si="2"/>
        <v>1250</v>
      </c>
    </row>
    <row r="38" spans="1:6" ht="12" customHeight="1">
      <c r="A38" s="4" t="s">
        <v>52</v>
      </c>
      <c r="B38" s="999" t="s">
        <v>51</v>
      </c>
      <c r="C38" s="999"/>
      <c r="D38" s="31">
        <v>1250</v>
      </c>
      <c r="E38" s="21"/>
      <c r="F38" s="34">
        <f t="shared" si="2"/>
        <v>1250</v>
      </c>
    </row>
    <row r="39" spans="1:6" s="51" customFormat="1" ht="12" customHeight="1">
      <c r="A39" s="6" t="s">
        <v>53</v>
      </c>
      <c r="B39" s="998" t="s">
        <v>170</v>
      </c>
      <c r="C39" s="998"/>
      <c r="D39" s="63">
        <f>SUM(D37:D38)</f>
        <v>2500</v>
      </c>
      <c r="E39" s="63">
        <f t="shared" ref="E39:F39" si="4">SUM(E37:E38)</f>
        <v>0</v>
      </c>
      <c r="F39" s="63">
        <f t="shared" si="4"/>
        <v>2500</v>
      </c>
    </row>
    <row r="40" spans="1:6" ht="12" customHeight="1">
      <c r="A40" s="4" t="s">
        <v>55</v>
      </c>
      <c r="B40" s="999" t="s">
        <v>54</v>
      </c>
      <c r="C40" s="999"/>
      <c r="D40" s="31"/>
      <c r="E40" s="21"/>
      <c r="F40" s="21"/>
    </row>
    <row r="41" spans="1:6" ht="12" customHeight="1">
      <c r="A41" s="4" t="s">
        <v>57</v>
      </c>
      <c r="B41" s="999" t="s">
        <v>56</v>
      </c>
      <c r="C41" s="999"/>
      <c r="D41" s="31"/>
      <c r="E41" s="21"/>
      <c r="F41" s="21"/>
    </row>
    <row r="42" spans="1:6" ht="12" customHeight="1">
      <c r="A42" s="4" t="s">
        <v>58</v>
      </c>
      <c r="B42" s="999" t="s">
        <v>168</v>
      </c>
      <c r="C42" s="999"/>
      <c r="D42" s="31"/>
      <c r="E42" s="21">
        <v>132</v>
      </c>
      <c r="F42" s="34">
        <f t="shared" ref="F42:F50" si="5">+D42+E42</f>
        <v>132</v>
      </c>
    </row>
    <row r="43" spans="1:6" ht="12" customHeight="1">
      <c r="A43" s="4" t="s">
        <v>60</v>
      </c>
      <c r="B43" s="999" t="s">
        <v>59</v>
      </c>
      <c r="C43" s="999"/>
      <c r="D43" s="31">
        <v>1710</v>
      </c>
      <c r="E43" s="21"/>
      <c r="F43" s="34">
        <f t="shared" si="5"/>
        <v>1710</v>
      </c>
    </row>
    <row r="44" spans="1:6" ht="12" customHeight="1">
      <c r="A44" s="4" t="s">
        <v>61</v>
      </c>
      <c r="B44" s="1012" t="s">
        <v>167</v>
      </c>
      <c r="C44" s="1012"/>
      <c r="D44" s="31">
        <f>+D45+D46</f>
        <v>0</v>
      </c>
      <c r="E44" s="21">
        <v>40</v>
      </c>
      <c r="F44" s="34">
        <f t="shared" si="5"/>
        <v>40</v>
      </c>
    </row>
    <row r="45" spans="1:6" ht="12" customHeight="1">
      <c r="A45" s="36" t="s">
        <v>61</v>
      </c>
      <c r="B45" s="43"/>
      <c r="C45" s="37" t="s">
        <v>62</v>
      </c>
      <c r="D45" s="33"/>
      <c r="E45" s="21"/>
      <c r="F45" s="34">
        <f t="shared" si="5"/>
        <v>0</v>
      </c>
    </row>
    <row r="46" spans="1:6" ht="12" customHeight="1">
      <c r="A46" s="36" t="s">
        <v>61</v>
      </c>
      <c r="B46" s="43"/>
      <c r="C46" s="37" t="s">
        <v>169</v>
      </c>
      <c r="D46" s="33"/>
      <c r="E46" s="21"/>
      <c r="F46" s="34">
        <f t="shared" si="5"/>
        <v>0</v>
      </c>
    </row>
    <row r="47" spans="1:6" ht="12" customHeight="1">
      <c r="A47" s="4" t="s">
        <v>64</v>
      </c>
      <c r="B47" s="996" t="s">
        <v>63</v>
      </c>
      <c r="C47" s="996"/>
      <c r="D47" s="31">
        <v>1158</v>
      </c>
      <c r="E47" s="21"/>
      <c r="F47" s="34">
        <f t="shared" si="5"/>
        <v>1158</v>
      </c>
    </row>
    <row r="48" spans="1:6" ht="12" customHeight="1">
      <c r="A48" s="4" t="s">
        <v>66</v>
      </c>
      <c r="B48" s="999" t="s">
        <v>65</v>
      </c>
      <c r="C48" s="999"/>
      <c r="D48" s="31">
        <v>3850</v>
      </c>
      <c r="E48" s="21">
        <v>1450</v>
      </c>
      <c r="F48" s="34">
        <f t="shared" si="5"/>
        <v>5300</v>
      </c>
    </row>
    <row r="49" spans="1:6" s="51" customFormat="1" ht="12" customHeight="1">
      <c r="A49" s="6" t="s">
        <v>67</v>
      </c>
      <c r="B49" s="998" t="s">
        <v>157</v>
      </c>
      <c r="C49" s="998"/>
      <c r="D49" s="63">
        <f>+D48+D47+D44+D43+D42+D41+D40</f>
        <v>6718</v>
      </c>
      <c r="E49" s="63">
        <f t="shared" ref="E49" si="6">+E48+E47+E44+E43+E42+E41+E40</f>
        <v>1622</v>
      </c>
      <c r="F49" s="63">
        <f>+F48+F47+F44+F43+F42+F41+F40</f>
        <v>8340</v>
      </c>
    </row>
    <row r="50" spans="1:6" ht="12" customHeight="1">
      <c r="A50" s="4" t="s">
        <v>69</v>
      </c>
      <c r="B50" s="999" t="s">
        <v>68</v>
      </c>
      <c r="C50" s="999"/>
      <c r="D50" s="31">
        <v>300</v>
      </c>
      <c r="E50" s="21">
        <v>50</v>
      </c>
      <c r="F50" s="34">
        <f t="shared" si="5"/>
        <v>350</v>
      </c>
    </row>
    <row r="51" spans="1:6" ht="12" customHeight="1">
      <c r="A51" s="4" t="s">
        <v>71</v>
      </c>
      <c r="B51" s="999" t="s">
        <v>70</v>
      </c>
      <c r="C51" s="999"/>
      <c r="D51" s="31"/>
      <c r="E51" s="21"/>
      <c r="F51" s="21"/>
    </row>
    <row r="52" spans="1:6" ht="12" customHeight="1">
      <c r="A52" s="6" t="s">
        <v>72</v>
      </c>
      <c r="B52" s="998" t="s">
        <v>156</v>
      </c>
      <c r="C52" s="998"/>
      <c r="D52" s="63">
        <f>SUM(D50:D51)</f>
        <v>300</v>
      </c>
      <c r="E52" s="63">
        <f t="shared" ref="E52:F52" si="7">SUM(E50:E51)</f>
        <v>50</v>
      </c>
      <c r="F52" s="63">
        <f t="shared" si="7"/>
        <v>350</v>
      </c>
    </row>
    <row r="53" spans="1:6" ht="12" customHeight="1">
      <c r="A53" s="4" t="s">
        <v>74</v>
      </c>
      <c r="B53" s="999" t="s">
        <v>73</v>
      </c>
      <c r="C53" s="999"/>
      <c r="D53" s="31">
        <v>1700</v>
      </c>
      <c r="E53" s="21">
        <v>36</v>
      </c>
      <c r="F53" s="34">
        <f t="shared" ref="F53" si="8">+D53+E53</f>
        <v>1736</v>
      </c>
    </row>
    <row r="54" spans="1:6" ht="12" customHeight="1">
      <c r="A54" s="4" t="s">
        <v>76</v>
      </c>
      <c r="B54" s="999" t="s">
        <v>75</v>
      </c>
      <c r="C54" s="999"/>
      <c r="D54" s="31"/>
      <c r="E54" s="21"/>
      <c r="F54" s="21"/>
    </row>
    <row r="55" spans="1:6" ht="12" customHeight="1">
      <c r="A55" s="4" t="s">
        <v>77</v>
      </c>
      <c r="B55" s="999" t="s">
        <v>155</v>
      </c>
      <c r="C55" s="999"/>
      <c r="D55" s="31"/>
      <c r="E55" s="21"/>
      <c r="F55" s="21"/>
    </row>
    <row r="56" spans="1:6" ht="12" customHeight="1">
      <c r="A56" s="4" t="s">
        <v>78</v>
      </c>
      <c r="B56" s="999" t="s">
        <v>154</v>
      </c>
      <c r="C56" s="999"/>
      <c r="D56" s="31"/>
      <c r="E56" s="21"/>
      <c r="F56" s="21"/>
    </row>
    <row r="57" spans="1:6" ht="12" customHeight="1">
      <c r="A57" s="4" t="s">
        <v>80</v>
      </c>
      <c r="B57" s="999" t="s">
        <v>79</v>
      </c>
      <c r="C57" s="999"/>
      <c r="D57" s="31">
        <v>100</v>
      </c>
      <c r="E57" s="21"/>
      <c r="F57" s="34">
        <f t="shared" ref="F57" si="9">+D57+E57</f>
        <v>100</v>
      </c>
    </row>
    <row r="58" spans="1:6" ht="12" customHeight="1">
      <c r="A58" s="6" t="s">
        <v>81</v>
      </c>
      <c r="B58" s="998" t="s">
        <v>153</v>
      </c>
      <c r="C58" s="998"/>
      <c r="D58" s="63">
        <f>SUM(D53:D57)</f>
        <v>1800</v>
      </c>
      <c r="E58" s="63">
        <f t="shared" ref="E58" si="10">SUM(E53:E57)</f>
        <v>36</v>
      </c>
      <c r="F58" s="63">
        <f>SUM(F53:F57)</f>
        <v>1836</v>
      </c>
    </row>
    <row r="59" spans="1:6" ht="12" customHeight="1">
      <c r="A59" s="7" t="s">
        <v>82</v>
      </c>
      <c r="B59" s="995" t="s">
        <v>152</v>
      </c>
      <c r="C59" s="995"/>
      <c r="D59" s="60">
        <f>+D58+D52+D49+D39+D36</f>
        <v>13218</v>
      </c>
      <c r="E59" s="60">
        <f t="shared" ref="E59" si="11">+E58+E52+E49+E39+E36</f>
        <v>1748</v>
      </c>
      <c r="F59" s="60">
        <f>+F58+F52+F49+F39+F36</f>
        <v>14966</v>
      </c>
    </row>
    <row r="60" spans="1:6" ht="12" customHeight="1">
      <c r="A60" s="8"/>
      <c r="B60" s="9"/>
      <c r="C60" s="9"/>
      <c r="D60" s="32"/>
      <c r="E60" s="23"/>
      <c r="F60" s="24"/>
    </row>
    <row r="61" spans="1:6" ht="12" customHeight="1">
      <c r="A61" s="11" t="s">
        <v>102</v>
      </c>
      <c r="B61" s="1102" t="s">
        <v>1021</v>
      </c>
      <c r="C61" s="994"/>
      <c r="D61" s="31"/>
      <c r="E61" s="21">
        <f>E62</f>
        <v>499</v>
      </c>
      <c r="F61" s="24">
        <f>SUM(E61)</f>
        <v>499</v>
      </c>
    </row>
    <row r="62" spans="1:6" ht="12" customHeight="1">
      <c r="A62" s="11"/>
      <c r="B62" s="848"/>
      <c r="C62" s="858" t="s">
        <v>1024</v>
      </c>
      <c r="D62" s="31"/>
      <c r="E62" s="21">
        <v>499</v>
      </c>
      <c r="F62" s="24">
        <f>SUM(E62)</f>
        <v>499</v>
      </c>
    </row>
    <row r="63" spans="1:6" ht="12" customHeight="1">
      <c r="A63" s="4" t="s">
        <v>108</v>
      </c>
      <c r="B63" s="1102" t="s">
        <v>165</v>
      </c>
      <c r="C63" s="994"/>
      <c r="D63" s="31">
        <f>+D64</f>
        <v>8640</v>
      </c>
      <c r="E63" s="31">
        <v>6</v>
      </c>
      <c r="F63" s="33">
        <f t="shared" ref="F63" si="12">+F64</f>
        <v>8646</v>
      </c>
    </row>
    <row r="64" spans="1:6" ht="12" customHeight="1">
      <c r="A64" s="45" t="s">
        <v>108</v>
      </c>
      <c r="B64" s="43"/>
      <c r="C64" s="39" t="s">
        <v>105</v>
      </c>
      <c r="D64" s="31">
        <v>8640</v>
      </c>
      <c r="E64" s="21">
        <v>6</v>
      </c>
      <c r="F64" s="34">
        <f t="shared" ref="F64" si="13">+D64+E64</f>
        <v>8646</v>
      </c>
    </row>
    <row r="65" spans="1:6" ht="12" customHeight="1">
      <c r="A65" s="7" t="s">
        <v>109</v>
      </c>
      <c r="B65" s="995" t="s">
        <v>164</v>
      </c>
      <c r="C65" s="995"/>
      <c r="D65" s="60">
        <f>+D63</f>
        <v>8640</v>
      </c>
      <c r="E65" s="60">
        <f>+E63+E61</f>
        <v>505</v>
      </c>
      <c r="F65" s="60">
        <f>+F63+F61</f>
        <v>9145</v>
      </c>
    </row>
    <row r="66" spans="1:6" ht="12" customHeight="1">
      <c r="A66" s="8"/>
      <c r="B66" s="9"/>
      <c r="C66" s="9"/>
      <c r="D66" s="32"/>
      <c r="E66" s="23"/>
      <c r="F66" s="24"/>
    </row>
    <row r="67" spans="1:6" ht="12" customHeight="1">
      <c r="A67" s="13" t="s">
        <v>111</v>
      </c>
      <c r="B67" s="996" t="s">
        <v>110</v>
      </c>
      <c r="C67" s="996"/>
      <c r="D67" s="34"/>
      <c r="E67" s="25"/>
      <c r="F67" s="25"/>
    </row>
    <row r="68" spans="1:6" ht="12" customHeight="1">
      <c r="A68" s="4" t="s">
        <v>112</v>
      </c>
      <c r="B68" s="999" t="s">
        <v>163</v>
      </c>
      <c r="C68" s="999"/>
      <c r="D68" s="31"/>
      <c r="E68" s="21"/>
      <c r="F68" s="21"/>
    </row>
    <row r="69" spans="1:6" ht="12" customHeight="1">
      <c r="A69" s="40" t="s">
        <v>112</v>
      </c>
      <c r="B69" s="43"/>
      <c r="C69" s="46" t="s">
        <v>113</v>
      </c>
      <c r="D69" s="31"/>
      <c r="E69" s="21"/>
      <c r="F69" s="21"/>
    </row>
    <row r="70" spans="1:6" ht="12" customHeight="1">
      <c r="A70" s="4" t="s">
        <v>115</v>
      </c>
      <c r="B70" s="999" t="s">
        <v>114</v>
      </c>
      <c r="C70" s="999"/>
      <c r="D70" s="31"/>
      <c r="E70" s="21"/>
      <c r="F70" s="21"/>
    </row>
    <row r="71" spans="1:6" ht="12" customHeight="1">
      <c r="A71" s="4" t="s">
        <v>117</v>
      </c>
      <c r="B71" s="999" t="s">
        <v>116</v>
      </c>
      <c r="C71" s="999"/>
      <c r="D71" s="31">
        <v>1575</v>
      </c>
      <c r="E71" s="21">
        <v>944</v>
      </c>
      <c r="F71" s="34">
        <f t="shared" ref="F71" si="14">+D71+E71</f>
        <v>2519</v>
      </c>
    </row>
    <row r="72" spans="1:6" ht="12" customHeight="1">
      <c r="A72" s="4" t="s">
        <v>119</v>
      </c>
      <c r="B72" s="999" t="s">
        <v>118</v>
      </c>
      <c r="C72" s="999"/>
      <c r="D72" s="31"/>
      <c r="E72" s="21"/>
      <c r="F72" s="21"/>
    </row>
    <row r="73" spans="1:6" ht="12" customHeight="1">
      <c r="A73" s="4" t="s">
        <v>121</v>
      </c>
      <c r="B73" s="999" t="s">
        <v>120</v>
      </c>
      <c r="C73" s="999"/>
      <c r="D73" s="31"/>
      <c r="E73" s="21"/>
      <c r="F73" s="21"/>
    </row>
    <row r="74" spans="1:6" ht="12" customHeight="1">
      <c r="A74" s="4" t="s">
        <v>123</v>
      </c>
      <c r="B74" s="999" t="s">
        <v>122</v>
      </c>
      <c r="C74" s="999"/>
      <c r="D74" s="31">
        <v>425</v>
      </c>
      <c r="E74" s="21">
        <v>255</v>
      </c>
      <c r="F74" s="34">
        <f t="shared" ref="F74" si="15">+D74+E74</f>
        <v>680</v>
      </c>
    </row>
    <row r="75" spans="1:6" ht="12" customHeight="1">
      <c r="A75" s="7" t="s">
        <v>124</v>
      </c>
      <c r="B75" s="995" t="s">
        <v>162</v>
      </c>
      <c r="C75" s="995"/>
      <c r="D75" s="60">
        <f>+D74+D73+D72+D71+D70+D68+D67</f>
        <v>2000</v>
      </c>
      <c r="E75" s="47">
        <f>+E74+E73+E72+E71+E70+E68+E67</f>
        <v>1199</v>
      </c>
      <c r="F75" s="47">
        <f>+F74+F73+F72+F71+F70+F68+F67</f>
        <v>3199</v>
      </c>
    </row>
    <row r="76" spans="1:6" ht="12" customHeight="1">
      <c r="A76" s="8"/>
      <c r="B76" s="9"/>
      <c r="C76" s="9"/>
      <c r="D76" s="32"/>
      <c r="E76" s="23"/>
      <c r="F76" s="24"/>
    </row>
    <row r="77" spans="1:6" ht="12" hidden="1" customHeight="1">
      <c r="A77" s="13" t="s">
        <v>126</v>
      </c>
      <c r="B77" s="996" t="s">
        <v>125</v>
      </c>
      <c r="C77" s="996"/>
      <c r="D77" s="34"/>
      <c r="E77" s="25"/>
      <c r="F77" s="25"/>
    </row>
    <row r="78" spans="1:6" ht="12" hidden="1" customHeight="1">
      <c r="A78" s="4" t="s">
        <v>128</v>
      </c>
      <c r="B78" s="999" t="s">
        <v>127</v>
      </c>
      <c r="C78" s="999"/>
      <c r="D78" s="31"/>
      <c r="E78" s="21"/>
      <c r="F78" s="21"/>
    </row>
    <row r="79" spans="1:6" ht="12" hidden="1" customHeight="1">
      <c r="A79" s="4" t="s">
        <v>130</v>
      </c>
      <c r="B79" s="999" t="s">
        <v>129</v>
      </c>
      <c r="C79" s="999"/>
      <c r="D79" s="31"/>
      <c r="E79" s="21"/>
      <c r="F79" s="21"/>
    </row>
    <row r="80" spans="1:6" ht="12" hidden="1" customHeight="1">
      <c r="A80" s="4" t="s">
        <v>132</v>
      </c>
      <c r="B80" s="999" t="s">
        <v>131</v>
      </c>
      <c r="C80" s="999"/>
      <c r="D80" s="31"/>
      <c r="E80" s="21"/>
      <c r="F80" s="21"/>
    </row>
    <row r="81" spans="1:6" ht="12" customHeight="1">
      <c r="A81" s="6" t="s">
        <v>133</v>
      </c>
      <c r="B81" s="998" t="s">
        <v>161</v>
      </c>
      <c r="C81" s="998"/>
      <c r="D81" s="63">
        <f>SUM(D77:D80)</f>
        <v>0</v>
      </c>
      <c r="E81" s="49">
        <f>SUM(E77:E80)</f>
        <v>0</v>
      </c>
      <c r="F81" s="49">
        <f>SUM(F77:F80)</f>
        <v>0</v>
      </c>
    </row>
    <row r="82" spans="1:6" ht="12" customHeight="1">
      <c r="A82" s="8"/>
      <c r="B82" s="17"/>
      <c r="C82" s="17"/>
      <c r="D82" s="32"/>
      <c r="E82" s="23"/>
      <c r="F82" s="24"/>
    </row>
    <row r="83" spans="1:6" ht="12" customHeight="1">
      <c r="A83" s="16" t="s">
        <v>135</v>
      </c>
      <c r="B83" s="1000" t="s">
        <v>159</v>
      </c>
      <c r="C83" s="1000"/>
      <c r="D83" s="31"/>
      <c r="E83" s="21"/>
      <c r="F83" s="21"/>
    </row>
    <row r="84" spans="1:6" ht="12" customHeight="1" thickBot="1">
      <c r="A84" s="52"/>
      <c r="B84" s="53"/>
      <c r="C84" s="53"/>
      <c r="D84" s="353"/>
      <c r="E84" s="54"/>
      <c r="F84" s="26"/>
    </row>
    <row r="85" spans="1:6" ht="12" customHeight="1" thickBot="1">
      <c r="A85" s="55" t="s">
        <v>136</v>
      </c>
      <c r="B85" s="1001" t="s">
        <v>158</v>
      </c>
      <c r="C85" s="1001"/>
      <c r="D85" s="70">
        <f>+D83+D81+D75+D65+D59+D26+D24</f>
        <v>152235</v>
      </c>
      <c r="E85" s="56">
        <f>+E83+E81+E75+E65+E59+E26+E24</f>
        <v>3035</v>
      </c>
      <c r="F85" s="70">
        <f>+F83+F81+F75+F65+F59+F26+F24</f>
        <v>155270</v>
      </c>
    </row>
  </sheetData>
  <mergeCells count="69">
    <mergeCell ref="D1:F1"/>
    <mergeCell ref="B50:C50"/>
    <mergeCell ref="B51:C51"/>
    <mergeCell ref="B20:C20"/>
    <mergeCell ref="B21:C21"/>
    <mergeCell ref="B42:C42"/>
    <mergeCell ref="B43:C43"/>
    <mergeCell ref="B44:C44"/>
    <mergeCell ref="B47:C47"/>
    <mergeCell ref="B48:C48"/>
    <mergeCell ref="B36:C36"/>
    <mergeCell ref="B37:C37"/>
    <mergeCell ref="B34:C34"/>
    <mergeCell ref="B35:C35"/>
    <mergeCell ref="B9:C9"/>
    <mergeCell ref="B18:C18"/>
    <mergeCell ref="A2:A4"/>
    <mergeCell ref="B38:C38"/>
    <mergeCell ref="B39:C39"/>
    <mergeCell ref="B12:C12"/>
    <mergeCell ref="B83:C83"/>
    <mergeCell ref="B73:C73"/>
    <mergeCell ref="B75:C75"/>
    <mergeCell ref="B77:C77"/>
    <mergeCell ref="B78:C78"/>
    <mergeCell ref="B55:C55"/>
    <mergeCell ref="B56:C56"/>
    <mergeCell ref="B79:C79"/>
    <mergeCell ref="B81:C81"/>
    <mergeCell ref="B68:C68"/>
    <mergeCell ref="B52:C52"/>
    <mergeCell ref="B53:C53"/>
    <mergeCell ref="B23:C23"/>
    <mergeCell ref="B24:C24"/>
    <mergeCell ref="B70:C70"/>
    <mergeCell ref="B71:C71"/>
    <mergeCell ref="B72:C72"/>
    <mergeCell ref="B57:C57"/>
    <mergeCell ref="B58:C58"/>
    <mergeCell ref="B59:C59"/>
    <mergeCell ref="B61:C61"/>
    <mergeCell ref="B63:C63"/>
    <mergeCell ref="B65:C65"/>
    <mergeCell ref="B67:C67"/>
    <mergeCell ref="B54:C54"/>
    <mergeCell ref="B49:C49"/>
    <mergeCell ref="B40:C40"/>
    <mergeCell ref="B41:C41"/>
    <mergeCell ref="B7:C7"/>
    <mergeCell ref="B8:C8"/>
    <mergeCell ref="B10:C10"/>
    <mergeCell ref="B11:C11"/>
    <mergeCell ref="B17:C17"/>
    <mergeCell ref="B74:C74"/>
    <mergeCell ref="B80:C80"/>
    <mergeCell ref="B85:C85"/>
    <mergeCell ref="D2:F2"/>
    <mergeCell ref="D4:F4"/>
    <mergeCell ref="B5:C5"/>
    <mergeCell ref="B26:C26"/>
    <mergeCell ref="B22:C22"/>
    <mergeCell ref="B6:C6"/>
    <mergeCell ref="B33:C33"/>
    <mergeCell ref="B2:C4"/>
    <mergeCell ref="B13:C13"/>
    <mergeCell ref="B14:C14"/>
    <mergeCell ref="B15:C15"/>
    <mergeCell ref="B16:C16"/>
    <mergeCell ref="B19:C19"/>
  </mergeCells>
  <printOptions horizontalCentered="1"/>
  <pageMargins left="0.70866141732283472" right="0.31496062992125984" top="0.55118110236220474" bottom="0.15748031496062992" header="0.31496062992125984" footer="0.31496062992125984"/>
  <pageSetup paperSize="9" scale="71" orientation="portrait" r:id="rId1"/>
  <headerFooter>
    <oddHeader>&amp;C&amp;"Times New Roman,Félkövér"&amp;12Martonvásár Város Önkormányzatának kiadásai 2016.
Polgármesteri Hivatal&amp;R&amp;"Times New Roman,Félkövér"&amp;12 6.a melléklet</oddHeader>
  </headerFooter>
  <rowBreaks count="1" manualBreakCount="1">
    <brk id="59" max="16383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6"/>
  <sheetViews>
    <sheetView workbookViewId="0">
      <pane xSplit="3" ySplit="4" topLeftCell="D5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N68" sqref="N68"/>
    </sheetView>
  </sheetViews>
  <sheetFormatPr defaultColWidth="8.6640625" defaultRowHeight="14.4"/>
  <cols>
    <col min="1" max="1" width="6.109375" style="306" customWidth="1"/>
    <col min="2" max="2" width="7.109375" style="307" customWidth="1"/>
    <col min="3" max="3" width="25" style="307" customWidth="1"/>
    <col min="4" max="4" width="8.88671875" style="308" bestFit="1" customWidth="1"/>
    <col min="5" max="5" width="6.44140625" style="308" customWidth="1"/>
    <col min="6" max="6" width="8" style="308" customWidth="1"/>
    <col min="7" max="7" width="8.88671875" style="308" bestFit="1" customWidth="1"/>
    <col min="8" max="8" width="6.6640625" style="308" customWidth="1"/>
    <col min="9" max="9" width="7.44140625" style="308" customWidth="1"/>
    <col min="10" max="10" width="8.88671875" style="308" bestFit="1" customWidth="1"/>
    <col min="11" max="11" width="7.109375" style="308" customWidth="1"/>
    <col min="12" max="12" width="6.44140625" style="308" customWidth="1"/>
    <col min="13" max="13" width="6.5546875" style="308" bestFit="1" customWidth="1"/>
    <col min="14" max="15" width="6.88671875" style="308" customWidth="1"/>
    <col min="16" max="16" width="8.88671875" style="308" bestFit="1" customWidth="1"/>
    <col min="17" max="18" width="6.6640625" style="308" bestFit="1" customWidth="1"/>
    <col min="19" max="16384" width="8.6640625" style="271"/>
  </cols>
  <sheetData>
    <row r="1" spans="1:18">
      <c r="A1" s="272"/>
      <c r="B1" s="273"/>
      <c r="C1" s="273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1112" t="s">
        <v>411</v>
      </c>
      <c r="Q1" s="1112"/>
      <c r="R1" s="1112"/>
    </row>
    <row r="2" spans="1:18" ht="40.5" customHeight="1">
      <c r="A2" s="1107" t="s">
        <v>0</v>
      </c>
      <c r="B2" s="1107" t="s">
        <v>183</v>
      </c>
      <c r="C2" s="1107"/>
      <c r="D2" s="1109" t="s">
        <v>181</v>
      </c>
      <c r="E2" s="1110"/>
      <c r="F2" s="1111"/>
      <c r="G2" s="1057" t="s">
        <v>186</v>
      </c>
      <c r="H2" s="1057"/>
      <c r="I2" s="1057"/>
      <c r="J2" s="1057" t="s">
        <v>291</v>
      </c>
      <c r="K2" s="1057"/>
      <c r="L2" s="1057"/>
      <c r="M2" s="1057" t="s">
        <v>292</v>
      </c>
      <c r="N2" s="1057"/>
      <c r="O2" s="1057"/>
      <c r="P2" s="1057" t="s">
        <v>625</v>
      </c>
      <c r="Q2" s="1057"/>
      <c r="R2" s="1057"/>
    </row>
    <row r="3" spans="1:18">
      <c r="A3" s="1107"/>
      <c r="B3" s="1107"/>
      <c r="C3" s="1107"/>
      <c r="D3" s="1109"/>
      <c r="E3" s="1110"/>
      <c r="F3" s="1111"/>
      <c r="G3" s="1057" t="s">
        <v>190</v>
      </c>
      <c r="H3" s="1057"/>
      <c r="I3" s="1057"/>
      <c r="J3" s="1057" t="s">
        <v>190</v>
      </c>
      <c r="K3" s="1057"/>
      <c r="L3" s="1057"/>
      <c r="M3" s="1057" t="s">
        <v>190</v>
      </c>
      <c r="N3" s="1057"/>
      <c r="O3" s="1057"/>
      <c r="P3" s="1057" t="s">
        <v>190</v>
      </c>
      <c r="Q3" s="1057"/>
      <c r="R3" s="1057"/>
    </row>
    <row r="4" spans="1:18" s="275" customFormat="1" ht="27.6" customHeight="1">
      <c r="A4" s="1107"/>
      <c r="B4" s="1107"/>
      <c r="C4" s="1107"/>
      <c r="D4" s="850" t="s">
        <v>178</v>
      </c>
      <c r="E4" s="850" t="s">
        <v>750</v>
      </c>
      <c r="F4" s="850" t="s">
        <v>752</v>
      </c>
      <c r="G4" s="850" t="s">
        <v>178</v>
      </c>
      <c r="H4" s="850" t="s">
        <v>750</v>
      </c>
      <c r="I4" s="850" t="s">
        <v>752</v>
      </c>
      <c r="J4" s="850" t="s">
        <v>178</v>
      </c>
      <c r="K4" s="850" t="s">
        <v>750</v>
      </c>
      <c r="L4" s="850" t="s">
        <v>752</v>
      </c>
      <c r="M4" s="850" t="s">
        <v>178</v>
      </c>
      <c r="N4" s="850" t="s">
        <v>750</v>
      </c>
      <c r="O4" s="850" t="s">
        <v>752</v>
      </c>
      <c r="P4" s="850" t="s">
        <v>178</v>
      </c>
      <c r="Q4" s="850" t="s">
        <v>750</v>
      </c>
      <c r="R4" s="850" t="s">
        <v>752</v>
      </c>
    </row>
    <row r="5" spans="1:18">
      <c r="A5" s="276" t="s">
        <v>2</v>
      </c>
      <c r="B5" s="1104" t="s">
        <v>1</v>
      </c>
      <c r="C5" s="1104"/>
      <c r="D5" s="336">
        <f>+G5+J5+M5+P5</f>
        <v>97322</v>
      </c>
      <c r="E5" s="336">
        <f t="shared" ref="E5:F18" si="0">+H5+K5+N5+Q5</f>
        <v>-1074</v>
      </c>
      <c r="F5" s="336">
        <f t="shared" si="0"/>
        <v>96248</v>
      </c>
      <c r="G5" s="336">
        <v>97322</v>
      </c>
      <c r="H5" s="336">
        <v>-1074</v>
      </c>
      <c r="I5" s="336">
        <f>+G5+H5</f>
        <v>96248</v>
      </c>
      <c r="J5" s="336"/>
      <c r="K5" s="336"/>
      <c r="L5" s="336"/>
      <c r="M5" s="336"/>
      <c r="N5" s="336"/>
      <c r="O5" s="336"/>
      <c r="P5" s="336"/>
      <c r="Q5" s="336"/>
      <c r="R5" s="336"/>
    </row>
    <row r="6" spans="1:18">
      <c r="A6" s="276" t="s">
        <v>4</v>
      </c>
      <c r="B6" s="1104" t="s">
        <v>3</v>
      </c>
      <c r="C6" s="1104"/>
      <c r="D6" s="336">
        <f t="shared" ref="D6:D18" si="1">+G6+J6+M6+P6</f>
        <v>0</v>
      </c>
      <c r="E6" s="336">
        <f t="shared" si="0"/>
        <v>0</v>
      </c>
      <c r="F6" s="336">
        <f t="shared" si="0"/>
        <v>0</v>
      </c>
      <c r="G6" s="336"/>
      <c r="H6" s="336"/>
      <c r="I6" s="336">
        <f t="shared" ref="I6:I17" si="2">+G6+H6</f>
        <v>0</v>
      </c>
      <c r="J6" s="336"/>
      <c r="K6" s="336"/>
      <c r="L6" s="336"/>
      <c r="M6" s="336"/>
      <c r="N6" s="336"/>
      <c r="O6" s="336"/>
      <c r="P6" s="336"/>
      <c r="Q6" s="336"/>
      <c r="R6" s="336"/>
    </row>
    <row r="7" spans="1:18">
      <c r="A7" s="276" t="s">
        <v>6</v>
      </c>
      <c r="B7" s="1104" t="s">
        <v>5</v>
      </c>
      <c r="C7" s="1104"/>
      <c r="D7" s="336">
        <f t="shared" si="1"/>
        <v>0</v>
      </c>
      <c r="E7" s="336">
        <f t="shared" si="0"/>
        <v>0</v>
      </c>
      <c r="F7" s="336">
        <f t="shared" si="0"/>
        <v>0</v>
      </c>
      <c r="G7" s="336"/>
      <c r="H7" s="336"/>
      <c r="I7" s="336">
        <f t="shared" si="2"/>
        <v>0</v>
      </c>
      <c r="J7" s="336"/>
      <c r="K7" s="336"/>
      <c r="L7" s="336"/>
      <c r="M7" s="336"/>
      <c r="N7" s="336"/>
      <c r="O7" s="336"/>
      <c r="P7" s="336"/>
      <c r="Q7" s="336"/>
      <c r="R7" s="336"/>
    </row>
    <row r="8" spans="1:18">
      <c r="A8" s="276" t="s">
        <v>8</v>
      </c>
      <c r="B8" s="1104" t="s">
        <v>7</v>
      </c>
      <c r="C8" s="1104"/>
      <c r="D8" s="336">
        <f t="shared" si="1"/>
        <v>1034</v>
      </c>
      <c r="E8" s="336">
        <f t="shared" si="0"/>
        <v>0</v>
      </c>
      <c r="F8" s="336">
        <f t="shared" si="0"/>
        <v>1034</v>
      </c>
      <c r="G8" s="336">
        <v>1034</v>
      </c>
      <c r="H8" s="336"/>
      <c r="I8" s="336">
        <f t="shared" si="2"/>
        <v>1034</v>
      </c>
      <c r="J8" s="336"/>
      <c r="K8" s="336"/>
      <c r="L8" s="336"/>
      <c r="M8" s="336"/>
      <c r="N8" s="336"/>
      <c r="O8" s="336"/>
      <c r="P8" s="336"/>
      <c r="Q8" s="336"/>
      <c r="R8" s="336"/>
    </row>
    <row r="9" spans="1:18">
      <c r="A9" s="276" t="s">
        <v>10</v>
      </c>
      <c r="B9" s="1104" t="s">
        <v>9</v>
      </c>
      <c r="C9" s="1104"/>
      <c r="D9" s="336">
        <f t="shared" si="1"/>
        <v>0</v>
      </c>
      <c r="E9" s="336">
        <f t="shared" si="0"/>
        <v>0</v>
      </c>
      <c r="F9" s="336">
        <f t="shared" si="0"/>
        <v>0</v>
      </c>
      <c r="G9" s="336"/>
      <c r="H9" s="336"/>
      <c r="I9" s="336">
        <f t="shared" si="2"/>
        <v>0</v>
      </c>
      <c r="J9" s="336"/>
      <c r="K9" s="336"/>
      <c r="L9" s="336"/>
      <c r="M9" s="336"/>
      <c r="N9" s="336"/>
      <c r="O9" s="336"/>
      <c r="P9" s="336"/>
      <c r="Q9" s="336"/>
      <c r="R9" s="336"/>
    </row>
    <row r="10" spans="1:18">
      <c r="A10" s="276" t="s">
        <v>12</v>
      </c>
      <c r="B10" s="1104" t="s">
        <v>11</v>
      </c>
      <c r="C10" s="1104"/>
      <c r="D10" s="336">
        <f t="shared" si="1"/>
        <v>4689</v>
      </c>
      <c r="E10" s="336">
        <f t="shared" si="0"/>
        <v>0</v>
      </c>
      <c r="F10" s="336">
        <f t="shared" si="0"/>
        <v>4689</v>
      </c>
      <c r="G10" s="336">
        <v>4689</v>
      </c>
      <c r="H10" s="336"/>
      <c r="I10" s="336">
        <f t="shared" si="2"/>
        <v>4689</v>
      </c>
      <c r="J10" s="336"/>
      <c r="K10" s="336"/>
      <c r="L10" s="336"/>
      <c r="M10" s="336"/>
      <c r="N10" s="336"/>
      <c r="O10" s="336"/>
      <c r="P10" s="336"/>
      <c r="Q10" s="336"/>
      <c r="R10" s="336"/>
    </row>
    <row r="11" spans="1:18">
      <c r="A11" s="276" t="s">
        <v>14</v>
      </c>
      <c r="B11" s="1104" t="s">
        <v>13</v>
      </c>
      <c r="C11" s="1104"/>
      <c r="D11" s="336">
        <f t="shared" si="1"/>
        <v>2100</v>
      </c>
      <c r="E11" s="336">
        <f t="shared" si="0"/>
        <v>0</v>
      </c>
      <c r="F11" s="336">
        <f t="shared" si="0"/>
        <v>2100</v>
      </c>
      <c r="G11" s="336">
        <v>2100</v>
      </c>
      <c r="H11" s="336"/>
      <c r="I11" s="336">
        <f t="shared" si="2"/>
        <v>2100</v>
      </c>
      <c r="J11" s="336"/>
      <c r="K11" s="336"/>
      <c r="L11" s="336"/>
      <c r="M11" s="336"/>
      <c r="N11" s="336"/>
      <c r="O11" s="336"/>
      <c r="P11" s="336"/>
      <c r="Q11" s="336"/>
      <c r="R11" s="336"/>
    </row>
    <row r="12" spans="1:18">
      <c r="A12" s="276" t="s">
        <v>16</v>
      </c>
      <c r="B12" s="1104" t="s">
        <v>15</v>
      </c>
      <c r="C12" s="1104"/>
      <c r="D12" s="336">
        <f t="shared" si="1"/>
        <v>0</v>
      </c>
      <c r="E12" s="336">
        <f t="shared" si="0"/>
        <v>0</v>
      </c>
      <c r="F12" s="336">
        <f t="shared" si="0"/>
        <v>0</v>
      </c>
      <c r="G12" s="336"/>
      <c r="H12" s="336"/>
      <c r="I12" s="336">
        <f t="shared" si="2"/>
        <v>0</v>
      </c>
      <c r="J12" s="336"/>
      <c r="K12" s="336"/>
      <c r="L12" s="336"/>
      <c r="M12" s="336"/>
      <c r="N12" s="336"/>
      <c r="O12" s="336"/>
      <c r="P12" s="336"/>
      <c r="Q12" s="336"/>
      <c r="R12" s="336"/>
    </row>
    <row r="13" spans="1:18">
      <c r="A13" s="276" t="s">
        <v>18</v>
      </c>
      <c r="B13" s="1104" t="s">
        <v>17</v>
      </c>
      <c r="C13" s="1104"/>
      <c r="D13" s="336">
        <f t="shared" si="1"/>
        <v>952</v>
      </c>
      <c r="E13" s="336">
        <f t="shared" si="0"/>
        <v>0</v>
      </c>
      <c r="F13" s="336">
        <f t="shared" si="0"/>
        <v>952</v>
      </c>
      <c r="G13" s="336">
        <v>952</v>
      </c>
      <c r="H13" s="336"/>
      <c r="I13" s="336">
        <f t="shared" si="2"/>
        <v>952</v>
      </c>
      <c r="J13" s="336"/>
      <c r="K13" s="336"/>
      <c r="L13" s="336"/>
      <c r="M13" s="336"/>
      <c r="N13" s="336"/>
      <c r="O13" s="336"/>
      <c r="P13" s="336"/>
      <c r="Q13" s="336"/>
      <c r="R13" s="336"/>
    </row>
    <row r="14" spans="1:18">
      <c r="A14" s="276" t="s">
        <v>20</v>
      </c>
      <c r="B14" s="1104" t="s">
        <v>19</v>
      </c>
      <c r="C14" s="1104"/>
      <c r="D14" s="336">
        <f t="shared" si="1"/>
        <v>0</v>
      </c>
      <c r="E14" s="336">
        <f t="shared" si="0"/>
        <v>0</v>
      </c>
      <c r="F14" s="336">
        <f t="shared" si="0"/>
        <v>0</v>
      </c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6"/>
      <c r="R14" s="336"/>
    </row>
    <row r="15" spans="1:18">
      <c r="A15" s="276" t="s">
        <v>22</v>
      </c>
      <c r="B15" s="1104" t="s">
        <v>21</v>
      </c>
      <c r="C15" s="1104"/>
      <c r="D15" s="336">
        <f t="shared" si="1"/>
        <v>0</v>
      </c>
      <c r="E15" s="336">
        <f t="shared" si="0"/>
        <v>0</v>
      </c>
      <c r="F15" s="336">
        <f t="shared" si="0"/>
        <v>0</v>
      </c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</row>
    <row r="16" spans="1:18">
      <c r="A16" s="276" t="s">
        <v>24</v>
      </c>
      <c r="B16" s="1104" t="s">
        <v>23</v>
      </c>
      <c r="C16" s="1104"/>
      <c r="D16" s="336">
        <f t="shared" si="1"/>
        <v>0</v>
      </c>
      <c r="E16" s="336">
        <f t="shared" si="0"/>
        <v>0</v>
      </c>
      <c r="F16" s="336">
        <f t="shared" si="0"/>
        <v>0</v>
      </c>
      <c r="G16" s="336"/>
      <c r="H16" s="336"/>
      <c r="I16" s="336"/>
      <c r="J16" s="336"/>
      <c r="K16" s="336"/>
      <c r="L16" s="336"/>
      <c r="M16" s="336"/>
      <c r="N16" s="336"/>
      <c r="O16" s="336"/>
      <c r="P16" s="336"/>
      <c r="Q16" s="336"/>
      <c r="R16" s="336"/>
    </row>
    <row r="17" spans="1:18">
      <c r="A17" s="276" t="s">
        <v>25</v>
      </c>
      <c r="B17" s="1104" t="s">
        <v>176</v>
      </c>
      <c r="C17" s="1104"/>
      <c r="D17" s="336">
        <f t="shared" si="1"/>
        <v>0</v>
      </c>
      <c r="E17" s="336">
        <f t="shared" si="0"/>
        <v>1154</v>
      </c>
      <c r="F17" s="336">
        <f t="shared" si="0"/>
        <v>1154</v>
      </c>
      <c r="G17" s="336"/>
      <c r="H17" s="336">
        <v>1154</v>
      </c>
      <c r="I17" s="336">
        <f t="shared" si="2"/>
        <v>1154</v>
      </c>
      <c r="J17" s="336"/>
      <c r="K17" s="336"/>
      <c r="L17" s="336"/>
      <c r="M17" s="336"/>
      <c r="N17" s="336"/>
      <c r="O17" s="336"/>
      <c r="P17" s="336"/>
      <c r="Q17" s="336"/>
      <c r="R17" s="336"/>
    </row>
    <row r="18" spans="1:18">
      <c r="A18" s="276" t="s">
        <v>25</v>
      </c>
      <c r="B18" s="1104" t="s">
        <v>26</v>
      </c>
      <c r="C18" s="1104"/>
      <c r="D18" s="336">
        <f t="shared" si="1"/>
        <v>0</v>
      </c>
      <c r="E18" s="336">
        <f t="shared" si="0"/>
        <v>0</v>
      </c>
      <c r="F18" s="336">
        <f t="shared" si="0"/>
        <v>0</v>
      </c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</row>
    <row r="19" spans="1:18" s="339" customFormat="1">
      <c r="A19" s="337" t="s">
        <v>27</v>
      </c>
      <c r="B19" s="1105" t="s">
        <v>446</v>
      </c>
      <c r="C19" s="1105"/>
      <c r="D19" s="338">
        <f>SUM(D5:D18)</f>
        <v>106097</v>
      </c>
      <c r="E19" s="338">
        <f t="shared" ref="E19:R19" si="3">SUM(E5:E18)</f>
        <v>80</v>
      </c>
      <c r="F19" s="338">
        <f t="shared" si="3"/>
        <v>106177</v>
      </c>
      <c r="G19" s="338">
        <f t="shared" si="3"/>
        <v>106097</v>
      </c>
      <c r="H19" s="338">
        <f t="shared" si="3"/>
        <v>80</v>
      </c>
      <c r="I19" s="338">
        <f t="shared" si="3"/>
        <v>106177</v>
      </c>
      <c r="J19" s="338">
        <f t="shared" si="3"/>
        <v>0</v>
      </c>
      <c r="K19" s="338">
        <f t="shared" si="3"/>
        <v>0</v>
      </c>
      <c r="L19" s="338">
        <f t="shared" si="3"/>
        <v>0</v>
      </c>
      <c r="M19" s="338">
        <f t="shared" si="3"/>
        <v>0</v>
      </c>
      <c r="N19" s="338">
        <f t="shared" si="3"/>
        <v>0</v>
      </c>
      <c r="O19" s="338">
        <f t="shared" si="3"/>
        <v>0</v>
      </c>
      <c r="P19" s="338">
        <f t="shared" si="3"/>
        <v>0</v>
      </c>
      <c r="Q19" s="338">
        <f t="shared" si="3"/>
        <v>0</v>
      </c>
      <c r="R19" s="338">
        <f t="shared" si="3"/>
        <v>0</v>
      </c>
    </row>
    <row r="20" spans="1:18">
      <c r="A20" s="276" t="s">
        <v>29</v>
      </c>
      <c r="B20" s="1104" t="s">
        <v>28</v>
      </c>
      <c r="C20" s="1104"/>
      <c r="D20" s="336">
        <f>+G20+J20+M20+P20</f>
        <v>0</v>
      </c>
      <c r="E20" s="336">
        <f t="shared" ref="E20:F22" si="4">+H20+K20+N20+Q20</f>
        <v>0</v>
      </c>
      <c r="F20" s="336">
        <f t="shared" si="4"/>
        <v>0</v>
      </c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</row>
    <row r="21" spans="1:18" ht="28.5" customHeight="1">
      <c r="A21" s="276" t="s">
        <v>31</v>
      </c>
      <c r="B21" s="1104" t="s">
        <v>30</v>
      </c>
      <c r="C21" s="1104"/>
      <c r="D21" s="336">
        <f t="shared" ref="D21:D22" si="5">+G21+J21+M21+P21</f>
        <v>1995</v>
      </c>
      <c r="E21" s="336">
        <f t="shared" si="4"/>
        <v>-200</v>
      </c>
      <c r="F21" s="336">
        <f t="shared" si="4"/>
        <v>1795</v>
      </c>
      <c r="G21" s="336"/>
      <c r="H21" s="336"/>
      <c r="I21" s="336"/>
      <c r="J21" s="336"/>
      <c r="K21" s="336"/>
      <c r="L21" s="336"/>
      <c r="M21" s="336">
        <v>1995</v>
      </c>
      <c r="N21" s="336">
        <v>-200</v>
      </c>
      <c r="O21" s="336">
        <f>+M21+N21</f>
        <v>1795</v>
      </c>
      <c r="P21" s="336"/>
      <c r="Q21" s="336"/>
      <c r="R21" s="336"/>
    </row>
    <row r="22" spans="1:18">
      <c r="A22" s="276" t="s">
        <v>33</v>
      </c>
      <c r="B22" s="1104" t="s">
        <v>32</v>
      </c>
      <c r="C22" s="1104"/>
      <c r="D22" s="336">
        <f t="shared" si="5"/>
        <v>0</v>
      </c>
      <c r="E22" s="336">
        <f t="shared" si="4"/>
        <v>10</v>
      </c>
      <c r="F22" s="336">
        <f t="shared" si="4"/>
        <v>10</v>
      </c>
      <c r="G22" s="336"/>
      <c r="H22" s="336">
        <v>10</v>
      </c>
      <c r="I22" s="336">
        <f>SUM(G22:H22)</f>
        <v>10</v>
      </c>
      <c r="J22" s="336"/>
      <c r="K22" s="336"/>
      <c r="L22" s="336"/>
      <c r="M22" s="336"/>
      <c r="N22" s="336"/>
      <c r="O22" s="336"/>
      <c r="P22" s="336"/>
      <c r="Q22" s="336"/>
      <c r="R22" s="336"/>
    </row>
    <row r="23" spans="1:18" s="339" customFormat="1">
      <c r="A23" s="337" t="s">
        <v>34</v>
      </c>
      <c r="B23" s="1105" t="s">
        <v>447</v>
      </c>
      <c r="C23" s="1105"/>
      <c r="D23" s="338">
        <f>SUM(D20:D22)</f>
        <v>1995</v>
      </c>
      <c r="E23" s="338">
        <f t="shared" ref="E23:R23" si="6">SUM(E20:E22)</f>
        <v>-190</v>
      </c>
      <c r="F23" s="338">
        <f t="shared" si="6"/>
        <v>1805</v>
      </c>
      <c r="G23" s="338">
        <f t="shared" si="6"/>
        <v>0</v>
      </c>
      <c r="H23" s="338">
        <f t="shared" si="6"/>
        <v>10</v>
      </c>
      <c r="I23" s="338">
        <f t="shared" si="6"/>
        <v>10</v>
      </c>
      <c r="J23" s="338">
        <f t="shared" si="6"/>
        <v>0</v>
      </c>
      <c r="K23" s="338">
        <f t="shared" si="6"/>
        <v>0</v>
      </c>
      <c r="L23" s="338">
        <f t="shared" si="6"/>
        <v>0</v>
      </c>
      <c r="M23" s="338">
        <f t="shared" si="6"/>
        <v>1995</v>
      </c>
      <c r="N23" s="338">
        <f t="shared" si="6"/>
        <v>-200</v>
      </c>
      <c r="O23" s="338">
        <f t="shared" si="6"/>
        <v>1795</v>
      </c>
      <c r="P23" s="338">
        <f t="shared" si="6"/>
        <v>0</v>
      </c>
      <c r="Q23" s="338">
        <f t="shared" si="6"/>
        <v>0</v>
      </c>
      <c r="R23" s="338">
        <f t="shared" si="6"/>
        <v>0</v>
      </c>
    </row>
    <row r="24" spans="1:18" s="340" customFormat="1">
      <c r="A24" s="337" t="s">
        <v>35</v>
      </c>
      <c r="B24" s="1105" t="s">
        <v>448</v>
      </c>
      <c r="C24" s="1105"/>
      <c r="D24" s="338">
        <f t="shared" ref="D24:R24" si="7">+D23+D19</f>
        <v>108092</v>
      </c>
      <c r="E24" s="338">
        <f t="shared" si="7"/>
        <v>-110</v>
      </c>
      <c r="F24" s="338">
        <f t="shared" si="7"/>
        <v>107982</v>
      </c>
      <c r="G24" s="338">
        <f t="shared" si="7"/>
        <v>106097</v>
      </c>
      <c r="H24" s="338">
        <f t="shared" si="7"/>
        <v>90</v>
      </c>
      <c r="I24" s="338">
        <f t="shared" si="7"/>
        <v>106187</v>
      </c>
      <c r="J24" s="338">
        <f t="shared" si="7"/>
        <v>0</v>
      </c>
      <c r="K24" s="338">
        <f t="shared" si="7"/>
        <v>0</v>
      </c>
      <c r="L24" s="338">
        <f t="shared" si="7"/>
        <v>0</v>
      </c>
      <c r="M24" s="338">
        <f t="shared" si="7"/>
        <v>1995</v>
      </c>
      <c r="N24" s="338">
        <f>+N23+N19</f>
        <v>-200</v>
      </c>
      <c r="O24" s="338">
        <f t="shared" si="7"/>
        <v>1795</v>
      </c>
      <c r="P24" s="338">
        <f t="shared" si="7"/>
        <v>0</v>
      </c>
      <c r="Q24" s="338">
        <f t="shared" si="7"/>
        <v>0</v>
      </c>
      <c r="R24" s="338">
        <f t="shared" si="7"/>
        <v>0</v>
      </c>
    </row>
    <row r="25" spans="1:18">
      <c r="A25" s="277"/>
      <c r="B25" s="849"/>
      <c r="C25" s="849"/>
      <c r="D25" s="278"/>
      <c r="E25" s="278"/>
      <c r="F25" s="278"/>
      <c r="G25" s="280"/>
      <c r="H25" s="278"/>
      <c r="I25" s="279"/>
      <c r="J25" s="280"/>
      <c r="K25" s="278"/>
      <c r="L25" s="279"/>
      <c r="M25" s="280"/>
      <c r="N25" s="278"/>
      <c r="O25" s="279"/>
      <c r="P25" s="280"/>
      <c r="Q25" s="278"/>
      <c r="R25" s="279"/>
    </row>
    <row r="26" spans="1:18" s="340" customFormat="1">
      <c r="A26" s="337" t="s">
        <v>36</v>
      </c>
      <c r="B26" s="1105" t="s">
        <v>449</v>
      </c>
      <c r="C26" s="1105"/>
      <c r="D26" s="338">
        <f>SUM(D27:D31)</f>
        <v>30051</v>
      </c>
      <c r="E26" s="338">
        <f t="shared" ref="E26:R26" si="8">SUM(E27:E31)</f>
        <v>236</v>
      </c>
      <c r="F26" s="338">
        <f t="shared" si="8"/>
        <v>30287</v>
      </c>
      <c r="G26" s="338">
        <f t="shared" si="8"/>
        <v>29512</v>
      </c>
      <c r="H26" s="338">
        <f t="shared" si="8"/>
        <v>236</v>
      </c>
      <c r="I26" s="338">
        <f t="shared" si="8"/>
        <v>29748</v>
      </c>
      <c r="J26" s="338">
        <f t="shared" si="8"/>
        <v>0</v>
      </c>
      <c r="K26" s="338">
        <f t="shared" si="8"/>
        <v>0</v>
      </c>
      <c r="L26" s="338">
        <f t="shared" si="8"/>
        <v>0</v>
      </c>
      <c r="M26" s="338">
        <f t="shared" si="8"/>
        <v>539</v>
      </c>
      <c r="N26" s="338">
        <f t="shared" si="8"/>
        <v>0</v>
      </c>
      <c r="O26" s="338">
        <f t="shared" si="8"/>
        <v>539</v>
      </c>
      <c r="P26" s="338">
        <f t="shared" si="8"/>
        <v>0</v>
      </c>
      <c r="Q26" s="338">
        <f t="shared" si="8"/>
        <v>0</v>
      </c>
      <c r="R26" s="338">
        <f t="shared" si="8"/>
        <v>0</v>
      </c>
    </row>
    <row r="27" spans="1:18" ht="26.4">
      <c r="A27" s="281" t="s">
        <v>36</v>
      </c>
      <c r="B27" s="282"/>
      <c r="C27" s="283" t="s">
        <v>37</v>
      </c>
      <c r="D27" s="336">
        <f>+G27+J27+M27+P27</f>
        <v>28361</v>
      </c>
      <c r="E27" s="336">
        <f t="shared" ref="E27:F31" si="9">+H27+K27+N27+Q27</f>
        <v>67</v>
      </c>
      <c r="F27" s="336">
        <f t="shared" si="9"/>
        <v>28428</v>
      </c>
      <c r="G27" s="336">
        <v>27822</v>
      </c>
      <c r="H27" s="336">
        <v>67</v>
      </c>
      <c r="I27" s="336">
        <f>+G27+H27</f>
        <v>27889</v>
      </c>
      <c r="J27" s="336"/>
      <c r="K27" s="336"/>
      <c r="L27" s="336"/>
      <c r="M27" s="336">
        <v>539</v>
      </c>
      <c r="N27" s="336"/>
      <c r="O27" s="336">
        <f>+M27+N27</f>
        <v>539</v>
      </c>
      <c r="P27" s="336"/>
      <c r="Q27" s="336"/>
      <c r="R27" s="336"/>
    </row>
    <row r="28" spans="1:18" ht="26.4">
      <c r="A28" s="281" t="s">
        <v>36</v>
      </c>
      <c r="B28" s="282"/>
      <c r="C28" s="283" t="s">
        <v>38</v>
      </c>
      <c r="D28" s="336">
        <f t="shared" ref="D28:D31" si="10">+G28+J28+M28+P28</f>
        <v>965</v>
      </c>
      <c r="E28" s="336">
        <f t="shared" si="9"/>
        <v>0</v>
      </c>
      <c r="F28" s="336">
        <f t="shared" si="9"/>
        <v>965</v>
      </c>
      <c r="G28" s="336">
        <v>965</v>
      </c>
      <c r="H28" s="336"/>
      <c r="I28" s="336">
        <f t="shared" ref="I28:I34" si="11">+G28+H28</f>
        <v>965</v>
      </c>
      <c r="J28" s="336"/>
      <c r="K28" s="336"/>
      <c r="L28" s="336"/>
      <c r="M28" s="336"/>
      <c r="N28" s="336"/>
      <c r="O28" s="336"/>
      <c r="P28" s="336"/>
      <c r="Q28" s="336"/>
      <c r="R28" s="336"/>
    </row>
    <row r="29" spans="1:18" ht="26.4">
      <c r="A29" s="281" t="s">
        <v>36</v>
      </c>
      <c r="B29" s="282"/>
      <c r="C29" s="283" t="s">
        <v>39</v>
      </c>
      <c r="D29" s="336">
        <f t="shared" si="10"/>
        <v>350</v>
      </c>
      <c r="E29" s="336">
        <f t="shared" si="9"/>
        <v>0</v>
      </c>
      <c r="F29" s="336">
        <f t="shared" si="9"/>
        <v>350</v>
      </c>
      <c r="G29" s="336">
        <v>350</v>
      </c>
      <c r="H29" s="336"/>
      <c r="I29" s="336">
        <f t="shared" si="11"/>
        <v>350</v>
      </c>
      <c r="J29" s="336"/>
      <c r="K29" s="336"/>
      <c r="L29" s="336"/>
      <c r="M29" s="336"/>
      <c r="N29" s="336"/>
      <c r="O29" s="336"/>
      <c r="P29" s="336"/>
      <c r="Q29" s="336"/>
      <c r="R29" s="336"/>
    </row>
    <row r="30" spans="1:18" ht="13.5" customHeight="1">
      <c r="A30" s="281" t="s">
        <v>36</v>
      </c>
      <c r="B30" s="282"/>
      <c r="C30" s="283" t="s">
        <v>40</v>
      </c>
      <c r="D30" s="336">
        <f t="shared" si="10"/>
        <v>0</v>
      </c>
      <c r="E30" s="336">
        <f t="shared" si="9"/>
        <v>169</v>
      </c>
      <c r="F30" s="336">
        <f t="shared" si="9"/>
        <v>169</v>
      </c>
      <c r="G30" s="336"/>
      <c r="H30" s="336">
        <v>169</v>
      </c>
      <c r="I30" s="336">
        <f t="shared" si="11"/>
        <v>169</v>
      </c>
      <c r="J30" s="336"/>
      <c r="K30" s="336"/>
      <c r="L30" s="336"/>
      <c r="M30" s="336"/>
      <c r="N30" s="336"/>
      <c r="O30" s="336"/>
      <c r="P30" s="336"/>
      <c r="Q30" s="336"/>
      <c r="R30" s="336"/>
    </row>
    <row r="31" spans="1:18" ht="25.5" customHeight="1">
      <c r="A31" s="281" t="s">
        <v>36</v>
      </c>
      <c r="B31" s="282"/>
      <c r="C31" s="283" t="s">
        <v>41</v>
      </c>
      <c r="D31" s="336">
        <f t="shared" si="10"/>
        <v>375</v>
      </c>
      <c r="E31" s="336">
        <f t="shared" si="9"/>
        <v>0</v>
      </c>
      <c r="F31" s="336">
        <f t="shared" si="9"/>
        <v>375</v>
      </c>
      <c r="G31" s="336">
        <v>375</v>
      </c>
      <c r="H31" s="336"/>
      <c r="I31" s="336">
        <f t="shared" si="11"/>
        <v>375</v>
      </c>
      <c r="J31" s="336"/>
      <c r="K31" s="336"/>
      <c r="L31" s="336"/>
      <c r="M31" s="336"/>
      <c r="N31" s="336"/>
      <c r="O31" s="336"/>
      <c r="P31" s="336"/>
      <c r="Q31" s="336"/>
      <c r="R31" s="336"/>
    </row>
    <row r="32" spans="1:18">
      <c r="A32" s="284"/>
      <c r="B32" s="285"/>
      <c r="C32" s="286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</row>
    <row r="33" spans="1:18">
      <c r="A33" s="276" t="s">
        <v>43</v>
      </c>
      <c r="B33" s="1104" t="s">
        <v>42</v>
      </c>
      <c r="C33" s="1104"/>
      <c r="D33" s="336">
        <f>+G33+J33+M33+P33</f>
        <v>665</v>
      </c>
      <c r="E33" s="336">
        <f t="shared" ref="E33:F35" si="12">+H33+K33+N33+Q33</f>
        <v>85</v>
      </c>
      <c r="F33" s="336">
        <f t="shared" si="12"/>
        <v>750</v>
      </c>
      <c r="G33" s="336">
        <v>665</v>
      </c>
      <c r="H33" s="336">
        <v>85</v>
      </c>
      <c r="I33" s="336">
        <f t="shared" si="11"/>
        <v>750</v>
      </c>
      <c r="J33" s="336"/>
      <c r="K33" s="336"/>
      <c r="L33" s="336"/>
      <c r="M33" s="336"/>
      <c r="N33" s="336"/>
      <c r="O33" s="336"/>
      <c r="P33" s="336"/>
      <c r="Q33" s="336"/>
      <c r="R33" s="336"/>
    </row>
    <row r="34" spans="1:18">
      <c r="A34" s="276" t="s">
        <v>45</v>
      </c>
      <c r="B34" s="1104" t="s">
        <v>44</v>
      </c>
      <c r="C34" s="1104"/>
      <c r="D34" s="336">
        <f t="shared" ref="D34:D35" si="13">+G34+J34+M34+P34</f>
        <v>1210</v>
      </c>
      <c r="E34" s="336">
        <f t="shared" si="12"/>
        <v>-3</v>
      </c>
      <c r="F34" s="336">
        <f t="shared" si="12"/>
        <v>1207</v>
      </c>
      <c r="G34" s="336">
        <v>1210</v>
      </c>
      <c r="H34" s="336">
        <v>-10</v>
      </c>
      <c r="I34" s="336">
        <f t="shared" si="11"/>
        <v>1200</v>
      </c>
      <c r="J34" s="336"/>
      <c r="K34" s="336">
        <v>7</v>
      </c>
      <c r="L34" s="336">
        <f>SUM(K34)</f>
        <v>7</v>
      </c>
      <c r="M34" s="336"/>
      <c r="N34" s="336"/>
      <c r="O34" s="336"/>
      <c r="P34" s="336"/>
      <c r="Q34" s="336"/>
      <c r="R34" s="336"/>
    </row>
    <row r="35" spans="1:18">
      <c r="A35" s="276" t="s">
        <v>47</v>
      </c>
      <c r="B35" s="1104" t="s">
        <v>46</v>
      </c>
      <c r="C35" s="1104"/>
      <c r="D35" s="336">
        <f t="shared" si="13"/>
        <v>0</v>
      </c>
      <c r="E35" s="336">
        <f t="shared" si="12"/>
        <v>0</v>
      </c>
      <c r="F35" s="336">
        <f t="shared" si="12"/>
        <v>0</v>
      </c>
      <c r="G35" s="336"/>
      <c r="H35" s="336"/>
      <c r="I35" s="336"/>
      <c r="J35" s="336"/>
      <c r="K35" s="336"/>
      <c r="L35" s="336"/>
      <c r="M35" s="336"/>
      <c r="N35" s="336"/>
      <c r="O35" s="336"/>
      <c r="P35" s="336"/>
      <c r="Q35" s="336"/>
      <c r="R35" s="336"/>
    </row>
    <row r="36" spans="1:18" s="340" customFormat="1">
      <c r="A36" s="337" t="s">
        <v>48</v>
      </c>
      <c r="B36" s="1105" t="s">
        <v>451</v>
      </c>
      <c r="C36" s="1105"/>
      <c r="D36" s="338">
        <f>SUM(D33:D35)</f>
        <v>1875</v>
      </c>
      <c r="E36" s="338">
        <f t="shared" ref="E36:R36" si="14">SUM(E33:E35)</f>
        <v>82</v>
      </c>
      <c r="F36" s="338">
        <f t="shared" si="14"/>
        <v>1957</v>
      </c>
      <c r="G36" s="338">
        <f t="shared" si="14"/>
        <v>1875</v>
      </c>
      <c r="H36" s="338">
        <f t="shared" si="14"/>
        <v>75</v>
      </c>
      <c r="I36" s="338">
        <f t="shared" si="14"/>
        <v>1950</v>
      </c>
      <c r="J36" s="338">
        <f t="shared" si="14"/>
        <v>0</v>
      </c>
      <c r="K36" s="338">
        <f t="shared" si="14"/>
        <v>7</v>
      </c>
      <c r="L36" s="338">
        <f t="shared" si="14"/>
        <v>7</v>
      </c>
      <c r="M36" s="338">
        <f t="shared" si="14"/>
        <v>0</v>
      </c>
      <c r="N36" s="338">
        <f t="shared" si="14"/>
        <v>0</v>
      </c>
      <c r="O36" s="338">
        <f t="shared" si="14"/>
        <v>0</v>
      </c>
      <c r="P36" s="338">
        <f t="shared" si="14"/>
        <v>0</v>
      </c>
      <c r="Q36" s="338">
        <f t="shared" si="14"/>
        <v>0</v>
      </c>
      <c r="R36" s="338">
        <f t="shared" si="14"/>
        <v>0</v>
      </c>
    </row>
    <row r="37" spans="1:18">
      <c r="A37" s="276" t="s">
        <v>50</v>
      </c>
      <c r="B37" s="1104" t="s">
        <v>49</v>
      </c>
      <c r="C37" s="1104"/>
      <c r="D37" s="336">
        <f>+G37+J37+M37+P37</f>
        <v>250</v>
      </c>
      <c r="E37" s="336">
        <f t="shared" ref="E37:F38" si="15">+H37+K37+N37+Q37</f>
        <v>-250</v>
      </c>
      <c r="F37" s="336">
        <f t="shared" si="15"/>
        <v>0</v>
      </c>
      <c r="G37" s="336"/>
      <c r="H37" s="336"/>
      <c r="I37" s="336"/>
      <c r="J37" s="336">
        <v>250</v>
      </c>
      <c r="K37" s="336">
        <v>-250</v>
      </c>
      <c r="L37" s="336">
        <f>+J37+K37</f>
        <v>0</v>
      </c>
      <c r="M37" s="336"/>
      <c r="N37" s="336"/>
      <c r="O37" s="336"/>
      <c r="P37" s="336"/>
      <c r="Q37" s="336"/>
      <c r="R37" s="336"/>
    </row>
    <row r="38" spans="1:18">
      <c r="A38" s="276" t="s">
        <v>52</v>
      </c>
      <c r="B38" s="1104" t="s">
        <v>51</v>
      </c>
      <c r="C38" s="1104"/>
      <c r="D38" s="336">
        <f>+G38+J38+M38+P38</f>
        <v>0</v>
      </c>
      <c r="E38" s="336">
        <f t="shared" si="15"/>
        <v>250</v>
      </c>
      <c r="F38" s="336">
        <f t="shared" si="15"/>
        <v>250</v>
      </c>
      <c r="G38" s="336"/>
      <c r="H38" s="336"/>
      <c r="I38" s="336"/>
      <c r="J38" s="336"/>
      <c r="K38" s="336">
        <v>250</v>
      </c>
      <c r="L38" s="336">
        <f>+J38+K38</f>
        <v>250</v>
      </c>
      <c r="M38" s="336"/>
      <c r="N38" s="336"/>
      <c r="O38" s="336"/>
      <c r="P38" s="336"/>
      <c r="Q38" s="336"/>
      <c r="R38" s="336"/>
    </row>
    <row r="39" spans="1:18" s="340" customFormat="1">
      <c r="A39" s="337" t="s">
        <v>53</v>
      </c>
      <c r="B39" s="1105" t="s">
        <v>452</v>
      </c>
      <c r="C39" s="1105"/>
      <c r="D39" s="338">
        <f t="shared" ref="D39" si="16">SUM(D37:D38)</f>
        <v>250</v>
      </c>
      <c r="E39" s="338">
        <f t="shared" ref="E39:F39" si="17">SUM(E37:E38)</f>
        <v>0</v>
      </c>
      <c r="F39" s="338">
        <f t="shared" si="17"/>
        <v>250</v>
      </c>
      <c r="G39" s="338">
        <f t="shared" ref="G39:R39" si="18">+G38+G37</f>
        <v>0</v>
      </c>
      <c r="H39" s="338">
        <f t="shared" si="18"/>
        <v>0</v>
      </c>
      <c r="I39" s="338">
        <f t="shared" si="18"/>
        <v>0</v>
      </c>
      <c r="J39" s="338">
        <f t="shared" si="18"/>
        <v>250</v>
      </c>
      <c r="K39" s="338">
        <f t="shared" si="18"/>
        <v>0</v>
      </c>
      <c r="L39" s="338">
        <f t="shared" si="18"/>
        <v>250</v>
      </c>
      <c r="M39" s="338">
        <f t="shared" si="18"/>
        <v>0</v>
      </c>
      <c r="N39" s="338">
        <f t="shared" si="18"/>
        <v>0</v>
      </c>
      <c r="O39" s="338">
        <f t="shared" si="18"/>
        <v>0</v>
      </c>
      <c r="P39" s="338">
        <f t="shared" si="18"/>
        <v>0</v>
      </c>
      <c r="Q39" s="338">
        <f t="shared" si="18"/>
        <v>0</v>
      </c>
      <c r="R39" s="338">
        <f t="shared" si="18"/>
        <v>0</v>
      </c>
    </row>
    <row r="40" spans="1:18">
      <c r="A40" s="276" t="s">
        <v>55</v>
      </c>
      <c r="B40" s="1104" t="s">
        <v>54</v>
      </c>
      <c r="C40" s="1104"/>
      <c r="D40" s="336">
        <f>+G40+J40+M40+P40</f>
        <v>0</v>
      </c>
      <c r="E40" s="336">
        <f t="shared" ref="E40:F44" si="19">+H40+K40+N40+Q40</f>
        <v>0</v>
      </c>
      <c r="F40" s="336">
        <f t="shared" si="19"/>
        <v>0</v>
      </c>
      <c r="G40" s="336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</row>
    <row r="41" spans="1:18">
      <c r="A41" s="276" t="s">
        <v>57</v>
      </c>
      <c r="B41" s="1104" t="s">
        <v>56</v>
      </c>
      <c r="C41" s="1104"/>
      <c r="D41" s="336">
        <f t="shared" ref="D41:D44" si="20">+G41+J41+M41+P41</f>
        <v>15242</v>
      </c>
      <c r="E41" s="336">
        <f t="shared" si="19"/>
        <v>0</v>
      </c>
      <c r="F41" s="336">
        <f t="shared" si="19"/>
        <v>15242</v>
      </c>
      <c r="G41" s="336"/>
      <c r="H41" s="336"/>
      <c r="I41" s="336"/>
      <c r="J41" s="336"/>
      <c r="K41" s="336"/>
      <c r="L41" s="336"/>
      <c r="M41" s="336"/>
      <c r="N41" s="336"/>
      <c r="O41" s="336"/>
      <c r="P41" s="336">
        <v>15242</v>
      </c>
      <c r="Q41" s="336"/>
      <c r="R41" s="336">
        <f>+P41+Q41</f>
        <v>15242</v>
      </c>
    </row>
    <row r="42" spans="1:18">
      <c r="A42" s="276" t="s">
        <v>58</v>
      </c>
      <c r="B42" s="1104" t="s">
        <v>453</v>
      </c>
      <c r="C42" s="1104"/>
      <c r="D42" s="336">
        <f t="shared" si="20"/>
        <v>0</v>
      </c>
      <c r="E42" s="336">
        <f t="shared" si="19"/>
        <v>0</v>
      </c>
      <c r="F42" s="336">
        <f t="shared" si="19"/>
        <v>0</v>
      </c>
      <c r="G42" s="336"/>
      <c r="H42" s="336"/>
      <c r="I42" s="336"/>
      <c r="J42" s="336"/>
      <c r="K42" s="336"/>
      <c r="L42" s="336"/>
      <c r="M42" s="336"/>
      <c r="N42" s="336"/>
      <c r="O42" s="336"/>
      <c r="P42" s="336"/>
      <c r="Q42" s="336"/>
      <c r="R42" s="336"/>
    </row>
    <row r="43" spans="1:18">
      <c r="A43" s="276" t="s">
        <v>60</v>
      </c>
      <c r="B43" s="1104" t="s">
        <v>59</v>
      </c>
      <c r="C43" s="1104"/>
      <c r="D43" s="336">
        <f t="shared" si="20"/>
        <v>150</v>
      </c>
      <c r="E43" s="336">
        <f t="shared" si="19"/>
        <v>0</v>
      </c>
      <c r="F43" s="336">
        <f t="shared" si="19"/>
        <v>150</v>
      </c>
      <c r="G43" s="336"/>
      <c r="H43" s="336"/>
      <c r="I43" s="336"/>
      <c r="J43" s="336">
        <v>150</v>
      </c>
      <c r="K43" s="336"/>
      <c r="L43" s="336">
        <f>+J43+K43</f>
        <v>150</v>
      </c>
      <c r="M43" s="336"/>
      <c r="N43" s="336"/>
      <c r="O43" s="336"/>
      <c r="P43" s="336"/>
      <c r="Q43" s="336"/>
      <c r="R43" s="336"/>
    </row>
    <row r="44" spans="1:18">
      <c r="A44" s="276" t="s">
        <v>61</v>
      </c>
      <c r="B44" s="1104" t="s">
        <v>167</v>
      </c>
      <c r="C44" s="1104"/>
      <c r="D44" s="336">
        <f t="shared" si="20"/>
        <v>0</v>
      </c>
      <c r="E44" s="336">
        <f t="shared" si="19"/>
        <v>0</v>
      </c>
      <c r="F44" s="336">
        <f t="shared" si="19"/>
        <v>0</v>
      </c>
      <c r="G44" s="336"/>
      <c r="H44" s="336"/>
      <c r="I44" s="336"/>
      <c r="J44" s="336"/>
      <c r="K44" s="336"/>
      <c r="L44" s="336"/>
      <c r="M44" s="336"/>
      <c r="N44" s="336"/>
      <c r="O44" s="336"/>
      <c r="P44" s="336"/>
      <c r="Q44" s="336"/>
      <c r="R44" s="336"/>
    </row>
    <row r="45" spans="1:18" ht="26.4">
      <c r="A45" s="281" t="s">
        <v>61</v>
      </c>
      <c r="B45" s="282"/>
      <c r="C45" s="283" t="s">
        <v>62</v>
      </c>
      <c r="D45" s="336"/>
      <c r="E45" s="336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6"/>
      <c r="R45" s="336"/>
    </row>
    <row r="46" spans="1:18" ht="26.4">
      <c r="A46" s="281" t="s">
        <v>61</v>
      </c>
      <c r="B46" s="282"/>
      <c r="C46" s="283" t="s">
        <v>169</v>
      </c>
      <c r="D46" s="336"/>
      <c r="E46" s="336"/>
      <c r="F46" s="336"/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</row>
    <row r="47" spans="1:18">
      <c r="A47" s="276" t="s">
        <v>64</v>
      </c>
      <c r="B47" s="1104" t="s">
        <v>454</v>
      </c>
      <c r="C47" s="1104"/>
      <c r="D47" s="336">
        <f>+G47+J47+M47+P47</f>
        <v>200</v>
      </c>
      <c r="E47" s="336">
        <f t="shared" ref="E47:F48" si="21">+H47+K47+N47+Q47</f>
        <v>200</v>
      </c>
      <c r="F47" s="336">
        <f t="shared" si="21"/>
        <v>400</v>
      </c>
      <c r="G47" s="336">
        <v>200</v>
      </c>
      <c r="H47" s="336"/>
      <c r="I47" s="336">
        <f t="shared" ref="I47:I48" si="22">+G47+H47</f>
        <v>200</v>
      </c>
      <c r="J47" s="336"/>
      <c r="K47" s="336"/>
      <c r="L47" s="336"/>
      <c r="M47" s="336"/>
      <c r="N47" s="336">
        <v>200</v>
      </c>
      <c r="O47" s="336">
        <f>SUM(N47)</f>
        <v>200</v>
      </c>
      <c r="P47" s="336"/>
      <c r="Q47" s="336"/>
      <c r="R47" s="336"/>
    </row>
    <row r="48" spans="1:18">
      <c r="A48" s="276" t="s">
        <v>66</v>
      </c>
      <c r="B48" s="1104" t="s">
        <v>455</v>
      </c>
      <c r="C48" s="1104"/>
      <c r="D48" s="336">
        <f>+G48+J48+M48+P48</f>
        <v>460</v>
      </c>
      <c r="E48" s="336">
        <f t="shared" si="21"/>
        <v>0</v>
      </c>
      <c r="F48" s="336">
        <f t="shared" si="21"/>
        <v>460</v>
      </c>
      <c r="G48" s="336">
        <v>410</v>
      </c>
      <c r="H48" s="336"/>
      <c r="I48" s="336">
        <f t="shared" si="22"/>
        <v>410</v>
      </c>
      <c r="J48" s="336">
        <v>50</v>
      </c>
      <c r="K48" s="336"/>
      <c r="L48" s="336">
        <f>+J48+K48</f>
        <v>50</v>
      </c>
      <c r="M48" s="336"/>
      <c r="N48" s="336"/>
      <c r="O48" s="336"/>
      <c r="P48" s="336"/>
      <c r="Q48" s="336"/>
      <c r="R48" s="336"/>
    </row>
    <row r="49" spans="1:18" s="340" customFormat="1">
      <c r="A49" s="337" t="s">
        <v>67</v>
      </c>
      <c r="B49" s="1105" t="s">
        <v>456</v>
      </c>
      <c r="C49" s="1105"/>
      <c r="D49" s="338">
        <f t="shared" ref="D49" si="23">SUM(D40:D48)</f>
        <v>16052</v>
      </c>
      <c r="E49" s="338">
        <f t="shared" ref="E49:R49" si="24">SUM(E40:E48)</f>
        <v>200</v>
      </c>
      <c r="F49" s="338">
        <f t="shared" si="24"/>
        <v>16252</v>
      </c>
      <c r="G49" s="338">
        <f t="shared" si="24"/>
        <v>610</v>
      </c>
      <c r="H49" s="338">
        <f t="shared" si="24"/>
        <v>0</v>
      </c>
      <c r="I49" s="338">
        <f t="shared" si="24"/>
        <v>610</v>
      </c>
      <c r="J49" s="338">
        <f t="shared" si="24"/>
        <v>200</v>
      </c>
      <c r="K49" s="338">
        <f t="shared" si="24"/>
        <v>0</v>
      </c>
      <c r="L49" s="338">
        <f t="shared" si="24"/>
        <v>200</v>
      </c>
      <c r="M49" s="338">
        <f t="shared" si="24"/>
        <v>0</v>
      </c>
      <c r="N49" s="338">
        <f t="shared" si="24"/>
        <v>200</v>
      </c>
      <c r="O49" s="338">
        <f t="shared" si="24"/>
        <v>200</v>
      </c>
      <c r="P49" s="338">
        <f t="shared" si="24"/>
        <v>15242</v>
      </c>
      <c r="Q49" s="338">
        <f t="shared" si="24"/>
        <v>0</v>
      </c>
      <c r="R49" s="338">
        <f t="shared" si="24"/>
        <v>15242</v>
      </c>
    </row>
    <row r="50" spans="1:18">
      <c r="A50" s="276" t="s">
        <v>69</v>
      </c>
      <c r="B50" s="1104" t="s">
        <v>68</v>
      </c>
      <c r="C50" s="1104"/>
      <c r="D50" s="336">
        <f>G50</f>
        <v>50</v>
      </c>
      <c r="E50" s="336">
        <f t="shared" ref="E50:F50" si="25">H50</f>
        <v>0</v>
      </c>
      <c r="F50" s="336">
        <f t="shared" si="25"/>
        <v>50</v>
      </c>
      <c r="G50" s="336">
        <v>50</v>
      </c>
      <c r="H50" s="336"/>
      <c r="I50" s="336">
        <f t="shared" ref="I50" si="26">+G50+H50</f>
        <v>50</v>
      </c>
      <c r="J50" s="336"/>
      <c r="K50" s="336"/>
      <c r="L50" s="336"/>
      <c r="M50" s="336"/>
      <c r="N50" s="336"/>
      <c r="O50" s="336"/>
      <c r="P50" s="336"/>
      <c r="Q50" s="336"/>
      <c r="R50" s="336"/>
    </row>
    <row r="51" spans="1:18">
      <c r="A51" s="276" t="s">
        <v>71</v>
      </c>
      <c r="B51" s="1104" t="s">
        <v>70</v>
      </c>
      <c r="C51" s="1104"/>
      <c r="D51" s="336"/>
      <c r="E51" s="336"/>
      <c r="F51" s="336"/>
      <c r="G51" s="336"/>
      <c r="H51" s="336"/>
      <c r="I51" s="336"/>
      <c r="J51" s="336"/>
      <c r="K51" s="336"/>
      <c r="L51" s="336"/>
      <c r="M51" s="336"/>
      <c r="N51" s="336"/>
      <c r="O51" s="336"/>
      <c r="P51" s="336"/>
      <c r="Q51" s="336"/>
      <c r="R51" s="336"/>
    </row>
    <row r="52" spans="1:18" s="339" customFormat="1">
      <c r="A52" s="337" t="s">
        <v>72</v>
      </c>
      <c r="B52" s="1105" t="s">
        <v>156</v>
      </c>
      <c r="C52" s="1105"/>
      <c r="D52" s="338">
        <f>SUM(D50:D51)</f>
        <v>50</v>
      </c>
      <c r="E52" s="338">
        <f t="shared" ref="E52:F52" si="27">SUM(E50:E51)</f>
        <v>0</v>
      </c>
      <c r="F52" s="338">
        <f t="shared" si="27"/>
        <v>50</v>
      </c>
      <c r="G52" s="338">
        <f t="shared" ref="G52:R52" si="28">+G51+G50</f>
        <v>50</v>
      </c>
      <c r="H52" s="338">
        <f t="shared" si="28"/>
        <v>0</v>
      </c>
      <c r="I52" s="338">
        <f t="shared" si="28"/>
        <v>50</v>
      </c>
      <c r="J52" s="338">
        <f t="shared" si="28"/>
        <v>0</v>
      </c>
      <c r="K52" s="338">
        <f t="shared" si="28"/>
        <v>0</v>
      </c>
      <c r="L52" s="338">
        <f t="shared" si="28"/>
        <v>0</v>
      </c>
      <c r="M52" s="338">
        <f t="shared" si="28"/>
        <v>0</v>
      </c>
      <c r="N52" s="338">
        <f t="shared" si="28"/>
        <v>0</v>
      </c>
      <c r="O52" s="338">
        <f t="shared" si="28"/>
        <v>0</v>
      </c>
      <c r="P52" s="338">
        <f t="shared" si="28"/>
        <v>0</v>
      </c>
      <c r="Q52" s="338">
        <f t="shared" si="28"/>
        <v>0</v>
      </c>
      <c r="R52" s="338">
        <f t="shared" si="28"/>
        <v>0</v>
      </c>
    </row>
    <row r="53" spans="1:18">
      <c r="A53" s="276" t="s">
        <v>74</v>
      </c>
      <c r="B53" s="1104" t="s">
        <v>73</v>
      </c>
      <c r="C53" s="1104"/>
      <c r="D53" s="336">
        <f>+G53+J53+M53+P53</f>
        <v>4625</v>
      </c>
      <c r="E53" s="336">
        <f t="shared" ref="E53:F57" si="29">+H53+K53+N53+Q53</f>
        <v>25</v>
      </c>
      <c r="F53" s="336">
        <f t="shared" si="29"/>
        <v>4650</v>
      </c>
      <c r="G53" s="336">
        <v>410</v>
      </c>
      <c r="H53" s="336">
        <v>23</v>
      </c>
      <c r="I53" s="336">
        <f t="shared" ref="I53" si="30">+G53+H53</f>
        <v>433</v>
      </c>
      <c r="J53" s="336">
        <v>100</v>
      </c>
      <c r="K53" s="336">
        <v>2</v>
      </c>
      <c r="L53" s="336">
        <f>+J53+K53</f>
        <v>102</v>
      </c>
      <c r="M53" s="336"/>
      <c r="N53" s="336"/>
      <c r="O53" s="336"/>
      <c r="P53" s="336">
        <v>4115</v>
      </c>
      <c r="Q53" s="336"/>
      <c r="R53" s="336">
        <f>+P53+Q53</f>
        <v>4115</v>
      </c>
    </row>
    <row r="54" spans="1:18">
      <c r="A54" s="276" t="s">
        <v>76</v>
      </c>
      <c r="B54" s="1104" t="s">
        <v>457</v>
      </c>
      <c r="C54" s="1104"/>
      <c r="D54" s="336">
        <f t="shared" ref="D54:D57" si="31">+G54+J54+M54+P54</f>
        <v>0</v>
      </c>
      <c r="E54" s="336">
        <f t="shared" si="29"/>
        <v>0</v>
      </c>
      <c r="F54" s="336">
        <f t="shared" si="29"/>
        <v>0</v>
      </c>
      <c r="G54" s="336"/>
      <c r="H54" s="336"/>
      <c r="I54" s="336"/>
      <c r="J54" s="336"/>
      <c r="K54" s="336"/>
      <c r="L54" s="336"/>
      <c r="M54" s="336"/>
      <c r="N54" s="336"/>
      <c r="O54" s="336"/>
      <c r="P54" s="336"/>
      <c r="Q54" s="336"/>
      <c r="R54" s="336"/>
    </row>
    <row r="55" spans="1:18">
      <c r="A55" s="276" t="s">
        <v>77</v>
      </c>
      <c r="B55" s="1104" t="s">
        <v>458</v>
      </c>
      <c r="C55" s="1104"/>
      <c r="D55" s="336">
        <f t="shared" si="31"/>
        <v>0</v>
      </c>
      <c r="E55" s="336">
        <f t="shared" si="29"/>
        <v>0</v>
      </c>
      <c r="F55" s="336">
        <f t="shared" si="29"/>
        <v>0</v>
      </c>
      <c r="G55" s="336"/>
      <c r="H55" s="336"/>
      <c r="I55" s="336"/>
      <c r="J55" s="336"/>
      <c r="K55" s="336"/>
      <c r="L55" s="336"/>
      <c r="M55" s="336"/>
      <c r="N55" s="336"/>
      <c r="O55" s="336"/>
      <c r="P55" s="336"/>
      <c r="Q55" s="336"/>
      <c r="R55" s="336"/>
    </row>
    <row r="56" spans="1:18">
      <c r="A56" s="276" t="s">
        <v>78</v>
      </c>
      <c r="B56" s="1104" t="s">
        <v>459</v>
      </c>
      <c r="C56" s="1104"/>
      <c r="D56" s="336">
        <f t="shared" si="31"/>
        <v>0</v>
      </c>
      <c r="E56" s="336">
        <f t="shared" si="29"/>
        <v>0</v>
      </c>
      <c r="F56" s="336">
        <f t="shared" si="29"/>
        <v>0</v>
      </c>
      <c r="G56" s="336"/>
      <c r="H56" s="336"/>
      <c r="I56" s="336"/>
      <c r="J56" s="336"/>
      <c r="K56" s="336"/>
      <c r="L56" s="336"/>
      <c r="M56" s="336"/>
      <c r="N56" s="336"/>
      <c r="O56" s="336"/>
      <c r="P56" s="336"/>
      <c r="Q56" s="336"/>
      <c r="R56" s="336"/>
    </row>
    <row r="57" spans="1:18">
      <c r="A57" s="276" t="s">
        <v>80</v>
      </c>
      <c r="B57" s="1104" t="s">
        <v>79</v>
      </c>
      <c r="C57" s="1104"/>
      <c r="D57" s="336">
        <f t="shared" si="31"/>
        <v>0</v>
      </c>
      <c r="E57" s="336">
        <f t="shared" si="29"/>
        <v>0</v>
      </c>
      <c r="F57" s="336">
        <f t="shared" si="29"/>
        <v>0</v>
      </c>
      <c r="G57" s="336"/>
      <c r="H57" s="336"/>
      <c r="I57" s="336"/>
      <c r="J57" s="336"/>
      <c r="K57" s="336"/>
      <c r="L57" s="336"/>
      <c r="M57" s="336"/>
      <c r="N57" s="336"/>
      <c r="O57" s="336"/>
      <c r="P57" s="336"/>
      <c r="Q57" s="336"/>
      <c r="R57" s="336"/>
    </row>
    <row r="58" spans="1:18" s="339" customFormat="1">
      <c r="A58" s="337" t="s">
        <v>81</v>
      </c>
      <c r="B58" s="1105" t="s">
        <v>153</v>
      </c>
      <c r="C58" s="1105"/>
      <c r="D58" s="338">
        <f>SUM(D53:D57)</f>
        <v>4625</v>
      </c>
      <c r="E58" s="338">
        <f t="shared" ref="E58:R58" si="32">SUM(E53:E57)</f>
        <v>25</v>
      </c>
      <c r="F58" s="338">
        <f t="shared" si="32"/>
        <v>4650</v>
      </c>
      <c r="G58" s="338">
        <f t="shared" si="32"/>
        <v>410</v>
      </c>
      <c r="H58" s="338">
        <f t="shared" si="32"/>
        <v>23</v>
      </c>
      <c r="I58" s="338">
        <f t="shared" si="32"/>
        <v>433</v>
      </c>
      <c r="J58" s="338">
        <f t="shared" si="32"/>
        <v>100</v>
      </c>
      <c r="K58" s="338">
        <f t="shared" si="32"/>
        <v>2</v>
      </c>
      <c r="L58" s="338">
        <f t="shared" si="32"/>
        <v>102</v>
      </c>
      <c r="M58" s="338">
        <f t="shared" si="32"/>
        <v>0</v>
      </c>
      <c r="N58" s="338">
        <f t="shared" si="32"/>
        <v>0</v>
      </c>
      <c r="O58" s="338">
        <f t="shared" si="32"/>
        <v>0</v>
      </c>
      <c r="P58" s="338">
        <f t="shared" si="32"/>
        <v>4115</v>
      </c>
      <c r="Q58" s="338">
        <f t="shared" si="32"/>
        <v>0</v>
      </c>
      <c r="R58" s="338">
        <f t="shared" si="32"/>
        <v>4115</v>
      </c>
    </row>
    <row r="59" spans="1:18">
      <c r="A59" s="337" t="s">
        <v>82</v>
      </c>
      <c r="B59" s="1105" t="s">
        <v>346</v>
      </c>
      <c r="C59" s="1105"/>
      <c r="D59" s="338">
        <f t="shared" ref="D59:R59" si="33">+D58+D52+D49+D39+D36</f>
        <v>22852</v>
      </c>
      <c r="E59" s="338">
        <f t="shared" si="33"/>
        <v>307</v>
      </c>
      <c r="F59" s="338">
        <f t="shared" si="33"/>
        <v>23159</v>
      </c>
      <c r="G59" s="338">
        <f t="shared" si="33"/>
        <v>2945</v>
      </c>
      <c r="H59" s="338">
        <f t="shared" si="33"/>
        <v>98</v>
      </c>
      <c r="I59" s="338">
        <f t="shared" si="33"/>
        <v>3043</v>
      </c>
      <c r="J59" s="338">
        <f t="shared" si="33"/>
        <v>550</v>
      </c>
      <c r="K59" s="338">
        <f t="shared" si="33"/>
        <v>9</v>
      </c>
      <c r="L59" s="338">
        <f t="shared" si="33"/>
        <v>559</v>
      </c>
      <c r="M59" s="338">
        <f t="shared" si="33"/>
        <v>0</v>
      </c>
      <c r="N59" s="837">
        <f>+N58+N52+N49+N39+N36</f>
        <v>200</v>
      </c>
      <c r="O59" s="338">
        <f t="shared" si="33"/>
        <v>200</v>
      </c>
      <c r="P59" s="338">
        <f t="shared" si="33"/>
        <v>19357</v>
      </c>
      <c r="Q59" s="338">
        <f t="shared" si="33"/>
        <v>0</v>
      </c>
      <c r="R59" s="338">
        <f t="shared" si="33"/>
        <v>19357</v>
      </c>
    </row>
    <row r="60" spans="1:18">
      <c r="A60" s="277"/>
      <c r="B60" s="1108"/>
      <c r="C60" s="1108"/>
      <c r="D60" s="278"/>
      <c r="E60" s="278"/>
      <c r="F60" s="278"/>
      <c r="G60" s="280"/>
      <c r="H60" s="278"/>
      <c r="I60" s="279"/>
      <c r="J60" s="280"/>
      <c r="K60" s="278"/>
      <c r="L60" s="279"/>
      <c r="M60" s="280"/>
      <c r="N60" s="278"/>
      <c r="O60" s="279"/>
      <c r="P60" s="280"/>
      <c r="Q60" s="278"/>
      <c r="R60" s="279"/>
    </row>
    <row r="61" spans="1:18" ht="25.5" customHeight="1">
      <c r="A61" s="838" t="s">
        <v>102</v>
      </c>
      <c r="B61" s="1106" t="s">
        <v>1021</v>
      </c>
      <c r="C61" s="1106"/>
      <c r="D61" s="336">
        <f t="shared" ref="D61:F64" si="34">+G61+J61+M61+P61</f>
        <v>0</v>
      </c>
      <c r="E61" s="336">
        <f t="shared" si="34"/>
        <v>95</v>
      </c>
      <c r="F61" s="336">
        <f t="shared" si="34"/>
        <v>95</v>
      </c>
      <c r="G61" s="336"/>
      <c r="H61" s="336">
        <f>H62</f>
        <v>58</v>
      </c>
      <c r="I61" s="336">
        <f>I62</f>
        <v>58</v>
      </c>
      <c r="J61" s="336"/>
      <c r="K61" s="336">
        <f>K62</f>
        <v>37</v>
      </c>
      <c r="L61" s="336">
        <f>L62</f>
        <v>37</v>
      </c>
      <c r="M61" s="336"/>
      <c r="N61" s="336"/>
      <c r="O61" s="336"/>
      <c r="P61" s="336"/>
      <c r="Q61" s="336"/>
      <c r="R61" s="336"/>
    </row>
    <row r="62" spans="1:18">
      <c r="A62" s="839" t="s">
        <v>102</v>
      </c>
      <c r="B62" s="851"/>
      <c r="C62" s="840" t="s">
        <v>1022</v>
      </c>
      <c r="D62" s="336">
        <f t="shared" si="34"/>
        <v>0</v>
      </c>
      <c r="E62" s="336">
        <f t="shared" si="34"/>
        <v>95</v>
      </c>
      <c r="F62" s="336">
        <f t="shared" si="34"/>
        <v>95</v>
      </c>
      <c r="G62" s="336"/>
      <c r="H62" s="336">
        <v>58</v>
      </c>
      <c r="I62" s="336">
        <f>SUM(G62:H62)</f>
        <v>58</v>
      </c>
      <c r="J62" s="336"/>
      <c r="K62" s="336">
        <v>37</v>
      </c>
      <c r="L62" s="336">
        <f>SUM(J62:K62)</f>
        <v>37</v>
      </c>
      <c r="M62" s="336"/>
      <c r="N62" s="336"/>
      <c r="O62" s="336"/>
      <c r="P62" s="336"/>
      <c r="Q62" s="336"/>
      <c r="R62" s="336"/>
    </row>
    <row r="63" spans="1:18" ht="26.25" customHeight="1">
      <c r="A63" s="276" t="s">
        <v>108</v>
      </c>
      <c r="B63" s="1104" t="s">
        <v>165</v>
      </c>
      <c r="C63" s="1104"/>
      <c r="D63" s="336">
        <f>+G63+J63+M63+P63</f>
        <v>11115</v>
      </c>
      <c r="E63" s="336">
        <f t="shared" si="34"/>
        <v>37</v>
      </c>
      <c r="F63" s="336">
        <f t="shared" si="34"/>
        <v>11152</v>
      </c>
      <c r="G63" s="336"/>
      <c r="H63" s="336"/>
      <c r="I63" s="336"/>
      <c r="J63" s="336">
        <v>11115</v>
      </c>
      <c r="K63" s="336">
        <f>K64</f>
        <v>37</v>
      </c>
      <c r="L63" s="336">
        <f>+J63+K63</f>
        <v>11152</v>
      </c>
      <c r="M63" s="336"/>
      <c r="N63" s="336"/>
      <c r="O63" s="336"/>
      <c r="P63" s="336"/>
      <c r="Q63" s="336"/>
      <c r="R63" s="336"/>
    </row>
    <row r="64" spans="1:18" ht="25.5" customHeight="1">
      <c r="A64" s="292" t="s">
        <v>108</v>
      </c>
      <c r="B64" s="282"/>
      <c r="C64" s="293" t="s">
        <v>105</v>
      </c>
      <c r="D64" s="336">
        <f>+G64+J64+M64+P64</f>
        <v>11115</v>
      </c>
      <c r="E64" s="336">
        <f t="shared" si="34"/>
        <v>37</v>
      </c>
      <c r="F64" s="336">
        <f t="shared" si="34"/>
        <v>11152</v>
      </c>
      <c r="G64" s="336"/>
      <c r="H64" s="336"/>
      <c r="I64" s="336"/>
      <c r="J64" s="336">
        <v>11115</v>
      </c>
      <c r="K64" s="336">
        <v>37</v>
      </c>
      <c r="L64" s="336">
        <f>+J64+K64</f>
        <v>11152</v>
      </c>
      <c r="M64" s="336"/>
      <c r="N64" s="336"/>
      <c r="O64" s="336"/>
      <c r="P64" s="336"/>
      <c r="Q64" s="336"/>
      <c r="R64" s="336"/>
    </row>
    <row r="65" spans="1:18">
      <c r="A65" s="337" t="s">
        <v>109</v>
      </c>
      <c r="B65" s="1105" t="s">
        <v>164</v>
      </c>
      <c r="C65" s="1105"/>
      <c r="D65" s="338">
        <f>+D63</f>
        <v>11115</v>
      </c>
      <c r="E65" s="338">
        <f>+E63+E61</f>
        <v>132</v>
      </c>
      <c r="F65" s="338">
        <f>+F63+F61</f>
        <v>11247</v>
      </c>
      <c r="G65" s="338">
        <f t="shared" ref="G65:R65" si="35">+G63</f>
        <v>0</v>
      </c>
      <c r="H65" s="338">
        <f>H61+H63</f>
        <v>58</v>
      </c>
      <c r="I65" s="338">
        <f>I61+I63</f>
        <v>58</v>
      </c>
      <c r="J65" s="338">
        <f t="shared" si="35"/>
        <v>11115</v>
      </c>
      <c r="K65" s="338">
        <f>+K63+K61</f>
        <v>74</v>
      </c>
      <c r="L65" s="338">
        <f>SUM(J65:K65)</f>
        <v>11189</v>
      </c>
      <c r="M65" s="338">
        <f t="shared" si="35"/>
        <v>0</v>
      </c>
      <c r="N65" s="338">
        <f t="shared" si="35"/>
        <v>0</v>
      </c>
      <c r="O65" s="338">
        <f t="shared" si="35"/>
        <v>0</v>
      </c>
      <c r="P65" s="338">
        <f t="shared" si="35"/>
        <v>0</v>
      </c>
      <c r="Q65" s="338">
        <f t="shared" si="35"/>
        <v>0</v>
      </c>
      <c r="R65" s="338">
        <f t="shared" si="35"/>
        <v>0</v>
      </c>
    </row>
    <row r="66" spans="1:18" ht="8.25" customHeight="1">
      <c r="A66" s="294"/>
      <c r="B66" s="295"/>
      <c r="C66" s="295"/>
      <c r="D66" s="296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</row>
    <row r="67" spans="1:18" ht="11.25" customHeight="1">
      <c r="A67" s="297"/>
      <c r="B67" s="298"/>
      <c r="C67" s="298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</row>
    <row r="68" spans="1:18">
      <c r="A68" s="276" t="s">
        <v>111</v>
      </c>
      <c r="B68" s="1104" t="s">
        <v>110</v>
      </c>
      <c r="C68" s="1104"/>
      <c r="D68" s="336">
        <f>+G68+J68+M68+P68</f>
        <v>0</v>
      </c>
      <c r="E68" s="336">
        <f t="shared" ref="E68:F75" si="36">+H68+K68+N68+Q68</f>
        <v>0</v>
      </c>
      <c r="F68" s="336">
        <f t="shared" si="36"/>
        <v>0</v>
      </c>
      <c r="G68" s="336"/>
      <c r="H68" s="336"/>
      <c r="I68" s="336"/>
      <c r="J68" s="336"/>
      <c r="K68" s="336"/>
      <c r="L68" s="336"/>
      <c r="M68" s="336"/>
      <c r="N68" s="336"/>
      <c r="O68" s="336"/>
      <c r="P68" s="336"/>
      <c r="Q68" s="336"/>
      <c r="R68" s="336"/>
    </row>
    <row r="69" spans="1:18">
      <c r="A69" s="276" t="s">
        <v>112</v>
      </c>
      <c r="B69" s="1104" t="s">
        <v>460</v>
      </c>
      <c r="C69" s="1104"/>
      <c r="D69" s="336">
        <f t="shared" ref="D69:D75" si="37">+G69+J69+M69+P69</f>
        <v>0</v>
      </c>
      <c r="E69" s="336">
        <f t="shared" si="36"/>
        <v>0</v>
      </c>
      <c r="F69" s="336">
        <f t="shared" si="36"/>
        <v>0</v>
      </c>
      <c r="G69" s="336"/>
      <c r="H69" s="336"/>
      <c r="I69" s="336"/>
      <c r="J69" s="336"/>
      <c r="K69" s="336"/>
      <c r="L69" s="336"/>
      <c r="M69" s="336"/>
      <c r="N69" s="336"/>
      <c r="O69" s="336"/>
      <c r="P69" s="336"/>
      <c r="Q69" s="336"/>
      <c r="R69" s="336"/>
    </row>
    <row r="70" spans="1:18" ht="26.4">
      <c r="A70" s="281" t="s">
        <v>112</v>
      </c>
      <c r="B70" s="282"/>
      <c r="C70" s="293" t="s">
        <v>113</v>
      </c>
      <c r="D70" s="336">
        <f t="shared" si="37"/>
        <v>0</v>
      </c>
      <c r="E70" s="336">
        <f t="shared" si="36"/>
        <v>0</v>
      </c>
      <c r="F70" s="336">
        <f t="shared" si="36"/>
        <v>0</v>
      </c>
      <c r="G70" s="336"/>
      <c r="H70" s="336"/>
      <c r="I70" s="336"/>
      <c r="J70" s="336"/>
      <c r="K70" s="336"/>
      <c r="L70" s="336"/>
      <c r="M70" s="336"/>
      <c r="N70" s="336"/>
      <c r="O70" s="336"/>
      <c r="P70" s="336"/>
      <c r="Q70" s="336"/>
      <c r="R70" s="336"/>
    </row>
    <row r="71" spans="1:18">
      <c r="A71" s="276" t="s">
        <v>115</v>
      </c>
      <c r="B71" s="1104" t="s">
        <v>114</v>
      </c>
      <c r="C71" s="1104"/>
      <c r="D71" s="336">
        <f t="shared" si="37"/>
        <v>0</v>
      </c>
      <c r="E71" s="336">
        <f t="shared" si="36"/>
        <v>0</v>
      </c>
      <c r="F71" s="336">
        <f t="shared" si="36"/>
        <v>0</v>
      </c>
      <c r="G71" s="336"/>
      <c r="H71" s="336"/>
      <c r="I71" s="336"/>
      <c r="J71" s="336"/>
      <c r="K71" s="336"/>
      <c r="L71" s="336"/>
      <c r="M71" s="336"/>
      <c r="N71" s="336"/>
      <c r="O71" s="336"/>
      <c r="P71" s="336"/>
      <c r="Q71" s="336"/>
      <c r="R71" s="336"/>
    </row>
    <row r="72" spans="1:18">
      <c r="A72" s="276" t="s">
        <v>117</v>
      </c>
      <c r="B72" s="1104" t="s">
        <v>116</v>
      </c>
      <c r="C72" s="1104"/>
      <c r="D72" s="336">
        <f t="shared" si="37"/>
        <v>0</v>
      </c>
      <c r="E72" s="336">
        <f t="shared" si="36"/>
        <v>13</v>
      </c>
      <c r="F72" s="336">
        <f t="shared" si="36"/>
        <v>13</v>
      </c>
      <c r="G72" s="336"/>
      <c r="H72" s="336">
        <v>13</v>
      </c>
      <c r="I72" s="336">
        <f>SUM(H72)</f>
        <v>13</v>
      </c>
      <c r="J72" s="336"/>
      <c r="K72" s="336"/>
      <c r="L72" s="336"/>
      <c r="M72" s="336"/>
      <c r="N72" s="336"/>
      <c r="O72" s="336"/>
      <c r="P72" s="336"/>
      <c r="Q72" s="336"/>
      <c r="R72" s="336"/>
    </row>
    <row r="73" spans="1:18">
      <c r="A73" s="276" t="s">
        <v>119</v>
      </c>
      <c r="B73" s="1104" t="s">
        <v>118</v>
      </c>
      <c r="C73" s="1104"/>
      <c r="D73" s="336">
        <f t="shared" si="37"/>
        <v>0</v>
      </c>
      <c r="E73" s="336">
        <f t="shared" si="36"/>
        <v>0</v>
      </c>
      <c r="F73" s="336">
        <f t="shared" si="36"/>
        <v>0</v>
      </c>
      <c r="G73" s="336"/>
      <c r="H73" s="336"/>
      <c r="I73" s="336"/>
      <c r="J73" s="336"/>
      <c r="K73" s="336"/>
      <c r="L73" s="336"/>
      <c r="M73" s="336"/>
      <c r="N73" s="336"/>
      <c r="O73" s="336"/>
      <c r="P73" s="336"/>
      <c r="Q73" s="336"/>
      <c r="R73" s="336"/>
    </row>
    <row r="74" spans="1:18">
      <c r="A74" s="276" t="s">
        <v>121</v>
      </c>
      <c r="B74" s="1104" t="s">
        <v>120</v>
      </c>
      <c r="C74" s="1104"/>
      <c r="D74" s="336">
        <f t="shared" si="37"/>
        <v>0</v>
      </c>
      <c r="E74" s="336">
        <f t="shared" si="36"/>
        <v>0</v>
      </c>
      <c r="F74" s="336">
        <f t="shared" si="36"/>
        <v>0</v>
      </c>
      <c r="G74" s="336"/>
      <c r="H74" s="336"/>
      <c r="I74" s="336"/>
      <c r="J74" s="336"/>
      <c r="K74" s="336"/>
      <c r="L74" s="336"/>
      <c r="M74" s="336"/>
      <c r="N74" s="336"/>
      <c r="O74" s="336"/>
      <c r="P74" s="336"/>
      <c r="Q74" s="336"/>
      <c r="R74" s="336"/>
    </row>
    <row r="75" spans="1:18">
      <c r="A75" s="276" t="s">
        <v>123</v>
      </c>
      <c r="B75" s="1104" t="s">
        <v>122</v>
      </c>
      <c r="C75" s="1104"/>
      <c r="D75" s="336">
        <f t="shared" si="37"/>
        <v>0</v>
      </c>
      <c r="E75" s="336">
        <f t="shared" si="36"/>
        <v>4</v>
      </c>
      <c r="F75" s="336">
        <f t="shared" si="36"/>
        <v>4</v>
      </c>
      <c r="G75" s="336"/>
      <c r="H75" s="336">
        <v>4</v>
      </c>
      <c r="I75" s="336">
        <f>SUM(H75)</f>
        <v>4</v>
      </c>
      <c r="J75" s="336"/>
      <c r="K75" s="336"/>
      <c r="L75" s="336"/>
      <c r="M75" s="336"/>
      <c r="N75" s="336"/>
      <c r="O75" s="336"/>
      <c r="P75" s="336"/>
      <c r="Q75" s="336"/>
      <c r="R75" s="336"/>
    </row>
    <row r="76" spans="1:18">
      <c r="A76" s="337" t="s">
        <v>124</v>
      </c>
      <c r="B76" s="1105" t="s">
        <v>162</v>
      </c>
      <c r="C76" s="1105"/>
      <c r="D76" s="338">
        <f t="shared" ref="D76" si="38">SUM(D68:D75)</f>
        <v>0</v>
      </c>
      <c r="E76" s="338">
        <f t="shared" ref="E76:F76" si="39">SUM(E68:E75)</f>
        <v>17</v>
      </c>
      <c r="F76" s="338">
        <f t="shared" si="39"/>
        <v>17</v>
      </c>
      <c r="G76" s="338">
        <f t="shared" ref="G76:R76" si="40">(((((+G75+G74)+G73)+G72)+G71)+G69)+G68</f>
        <v>0</v>
      </c>
      <c r="H76" s="338">
        <f t="shared" si="40"/>
        <v>17</v>
      </c>
      <c r="I76" s="338">
        <f t="shared" si="40"/>
        <v>17</v>
      </c>
      <c r="J76" s="338">
        <f t="shared" si="40"/>
        <v>0</v>
      </c>
      <c r="K76" s="338">
        <f t="shared" si="40"/>
        <v>0</v>
      </c>
      <c r="L76" s="338">
        <f t="shared" si="40"/>
        <v>0</v>
      </c>
      <c r="M76" s="338">
        <f t="shared" si="40"/>
        <v>0</v>
      </c>
      <c r="N76" s="338">
        <f t="shared" si="40"/>
        <v>0</v>
      </c>
      <c r="O76" s="338">
        <f t="shared" si="40"/>
        <v>0</v>
      </c>
      <c r="P76" s="338">
        <f t="shared" si="40"/>
        <v>0</v>
      </c>
      <c r="Q76" s="338">
        <f t="shared" si="40"/>
        <v>0</v>
      </c>
      <c r="R76" s="338">
        <f t="shared" si="40"/>
        <v>0</v>
      </c>
    </row>
    <row r="77" spans="1:18">
      <c r="A77" s="277"/>
      <c r="B77" s="849"/>
      <c r="C77" s="849"/>
      <c r="D77" s="278"/>
      <c r="E77" s="278"/>
      <c r="F77" s="278"/>
      <c r="G77" s="280"/>
      <c r="H77" s="278"/>
      <c r="I77" s="279"/>
      <c r="J77" s="280"/>
      <c r="K77" s="278"/>
      <c r="L77" s="279"/>
      <c r="M77" s="280"/>
      <c r="N77" s="278"/>
      <c r="O77" s="279"/>
      <c r="P77" s="280"/>
      <c r="Q77" s="278"/>
      <c r="R77" s="279"/>
    </row>
    <row r="78" spans="1:18" hidden="1">
      <c r="A78" s="276" t="s">
        <v>126</v>
      </c>
      <c r="B78" s="1104" t="s">
        <v>125</v>
      </c>
      <c r="C78" s="1104"/>
      <c r="D78" s="336">
        <f>+G78+J78+M78+P78</f>
        <v>0</v>
      </c>
      <c r="E78" s="336">
        <f t="shared" ref="E78:F81" si="41">+H78+K78+N78+Q78</f>
        <v>0</v>
      </c>
      <c r="F78" s="336">
        <f t="shared" si="41"/>
        <v>0</v>
      </c>
      <c r="G78" s="336"/>
      <c r="H78" s="336"/>
      <c r="I78" s="336"/>
      <c r="J78" s="336"/>
      <c r="K78" s="336"/>
      <c r="L78" s="336"/>
      <c r="M78" s="336"/>
      <c r="N78" s="336"/>
      <c r="O78" s="336"/>
      <c r="P78" s="336"/>
      <c r="Q78" s="336"/>
      <c r="R78" s="336"/>
    </row>
    <row r="79" spans="1:18" hidden="1">
      <c r="A79" s="276" t="s">
        <v>128</v>
      </c>
      <c r="B79" s="1104" t="s">
        <v>127</v>
      </c>
      <c r="C79" s="1104"/>
      <c r="D79" s="336">
        <f t="shared" ref="D79:D81" si="42">+G79+J79+M79+P79</f>
        <v>0</v>
      </c>
      <c r="E79" s="336">
        <f t="shared" si="41"/>
        <v>0</v>
      </c>
      <c r="F79" s="336">
        <f t="shared" si="41"/>
        <v>0</v>
      </c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</row>
    <row r="80" spans="1:18" hidden="1">
      <c r="A80" s="276" t="s">
        <v>130</v>
      </c>
      <c r="B80" s="1104" t="s">
        <v>461</v>
      </c>
      <c r="C80" s="1104"/>
      <c r="D80" s="336">
        <f t="shared" si="42"/>
        <v>0</v>
      </c>
      <c r="E80" s="336">
        <f t="shared" si="41"/>
        <v>0</v>
      </c>
      <c r="F80" s="336">
        <f t="shared" si="41"/>
        <v>0</v>
      </c>
      <c r="G80" s="336"/>
      <c r="H80" s="336"/>
      <c r="I80" s="336"/>
      <c r="J80" s="336"/>
      <c r="K80" s="336"/>
      <c r="L80" s="336"/>
      <c r="M80" s="336"/>
      <c r="N80" s="336"/>
      <c r="O80" s="336"/>
      <c r="P80" s="336"/>
      <c r="Q80" s="336"/>
      <c r="R80" s="336"/>
    </row>
    <row r="81" spans="1:18" hidden="1">
      <c r="A81" s="276" t="s">
        <v>132</v>
      </c>
      <c r="B81" s="1104" t="s">
        <v>131</v>
      </c>
      <c r="C81" s="1104"/>
      <c r="D81" s="336">
        <f t="shared" si="42"/>
        <v>0</v>
      </c>
      <c r="E81" s="336">
        <f t="shared" si="41"/>
        <v>0</v>
      </c>
      <c r="F81" s="336">
        <f t="shared" si="41"/>
        <v>0</v>
      </c>
      <c r="G81" s="336"/>
      <c r="H81" s="336"/>
      <c r="I81" s="336"/>
      <c r="J81" s="336"/>
      <c r="K81" s="336"/>
      <c r="L81" s="336"/>
      <c r="M81" s="336"/>
      <c r="N81" s="336"/>
      <c r="O81" s="336"/>
      <c r="P81" s="336"/>
      <c r="Q81" s="336"/>
      <c r="R81" s="336"/>
    </row>
    <row r="82" spans="1:18">
      <c r="A82" s="337" t="s">
        <v>133</v>
      </c>
      <c r="B82" s="1105" t="s">
        <v>317</v>
      </c>
      <c r="C82" s="1105"/>
      <c r="D82" s="338">
        <f t="shared" ref="D82:R82" si="43">SUM(D78:D81)</f>
        <v>0</v>
      </c>
      <c r="E82" s="338">
        <f t="shared" ref="E82:F82" si="44">SUM(E78:E81)</f>
        <v>0</v>
      </c>
      <c r="F82" s="338">
        <f t="shared" si="44"/>
        <v>0</v>
      </c>
      <c r="G82" s="338">
        <f t="shared" si="43"/>
        <v>0</v>
      </c>
      <c r="H82" s="338">
        <f t="shared" si="43"/>
        <v>0</v>
      </c>
      <c r="I82" s="338">
        <f t="shared" si="43"/>
        <v>0</v>
      </c>
      <c r="J82" s="338">
        <f t="shared" si="43"/>
        <v>0</v>
      </c>
      <c r="K82" s="338">
        <f t="shared" si="43"/>
        <v>0</v>
      </c>
      <c r="L82" s="338">
        <f t="shared" si="43"/>
        <v>0</v>
      </c>
      <c r="M82" s="338">
        <f t="shared" si="43"/>
        <v>0</v>
      </c>
      <c r="N82" s="338">
        <f t="shared" si="43"/>
        <v>0</v>
      </c>
      <c r="O82" s="338">
        <f t="shared" si="43"/>
        <v>0</v>
      </c>
      <c r="P82" s="338">
        <f t="shared" si="43"/>
        <v>0</v>
      </c>
      <c r="Q82" s="338">
        <f t="shared" si="43"/>
        <v>0</v>
      </c>
      <c r="R82" s="338">
        <f t="shared" si="43"/>
        <v>0</v>
      </c>
    </row>
    <row r="83" spans="1:18">
      <c r="A83" s="277"/>
      <c r="B83" s="851"/>
      <c r="C83" s="851"/>
      <c r="D83" s="278"/>
      <c r="E83" s="278"/>
      <c r="F83" s="278"/>
      <c r="G83" s="280"/>
      <c r="H83" s="278"/>
      <c r="I83" s="279"/>
      <c r="J83" s="280"/>
      <c r="K83" s="278"/>
      <c r="L83" s="279"/>
      <c r="M83" s="280"/>
      <c r="N83" s="278"/>
      <c r="O83" s="279"/>
      <c r="P83" s="280"/>
      <c r="Q83" s="278"/>
      <c r="R83" s="279"/>
    </row>
    <row r="84" spans="1:18">
      <c r="A84" s="337" t="s">
        <v>135</v>
      </c>
      <c r="B84" s="1105" t="s">
        <v>159</v>
      </c>
      <c r="C84" s="1105"/>
      <c r="D84" s="336"/>
      <c r="E84" s="336"/>
      <c r="F84" s="336"/>
      <c r="G84" s="336"/>
      <c r="H84" s="336"/>
      <c r="I84" s="336"/>
      <c r="J84" s="336"/>
      <c r="K84" s="336"/>
      <c r="L84" s="336"/>
      <c r="M84" s="336"/>
      <c r="N84" s="336"/>
      <c r="O84" s="336"/>
      <c r="P84" s="336"/>
      <c r="Q84" s="336"/>
      <c r="R84" s="336"/>
    </row>
    <row r="85" spans="1:18" ht="15.75" customHeight="1" thickBot="1">
      <c r="A85" s="525"/>
      <c r="B85" s="295"/>
      <c r="C85" s="295"/>
      <c r="D85" s="287"/>
      <c r="E85" s="287"/>
      <c r="F85" s="287"/>
      <c r="G85" s="527"/>
      <c r="H85" s="287"/>
      <c r="I85" s="526"/>
      <c r="J85" s="527"/>
      <c r="K85" s="287"/>
      <c r="L85" s="526"/>
      <c r="M85" s="527"/>
      <c r="N85" s="287"/>
      <c r="O85" s="526"/>
      <c r="P85" s="527"/>
      <c r="Q85" s="287"/>
      <c r="R85" s="526"/>
    </row>
    <row r="86" spans="1:18" s="645" customFormat="1" ht="40.5" customHeight="1" thickBot="1">
      <c r="A86" s="644" t="s">
        <v>136</v>
      </c>
      <c r="B86" s="1113" t="s">
        <v>737</v>
      </c>
      <c r="C86" s="1114"/>
      <c r="D86" s="646">
        <f t="shared" ref="D86:R86" si="45">+D84+D82+D76+D65+D59+D26+D24</f>
        <v>172110</v>
      </c>
      <c r="E86" s="646">
        <f t="shared" si="45"/>
        <v>582</v>
      </c>
      <c r="F86" s="646">
        <f t="shared" si="45"/>
        <v>172692</v>
      </c>
      <c r="G86" s="646">
        <f t="shared" si="45"/>
        <v>138554</v>
      </c>
      <c r="H86" s="646">
        <f t="shared" si="45"/>
        <v>499</v>
      </c>
      <c r="I86" s="646">
        <f t="shared" si="45"/>
        <v>139053</v>
      </c>
      <c r="J86" s="646">
        <f t="shared" si="45"/>
        <v>11665</v>
      </c>
      <c r="K86" s="646">
        <f t="shared" si="45"/>
        <v>83</v>
      </c>
      <c r="L86" s="646">
        <f t="shared" si="45"/>
        <v>11748</v>
      </c>
      <c r="M86" s="646">
        <f t="shared" si="45"/>
        <v>2534</v>
      </c>
      <c r="N86" s="841">
        <f t="shared" si="45"/>
        <v>0</v>
      </c>
      <c r="O86" s="841">
        <f t="shared" si="45"/>
        <v>2534</v>
      </c>
      <c r="P86" s="646">
        <f t="shared" si="45"/>
        <v>19357</v>
      </c>
      <c r="Q86" s="646">
        <f t="shared" si="45"/>
        <v>0</v>
      </c>
      <c r="R86" s="647">
        <f t="shared" si="45"/>
        <v>19357</v>
      </c>
    </row>
  </sheetData>
  <mergeCells count="77">
    <mergeCell ref="B65:C65"/>
    <mergeCell ref="B68:C68"/>
    <mergeCell ref="B75:C75"/>
    <mergeCell ref="B81:C81"/>
    <mergeCell ref="B86:C86"/>
    <mergeCell ref="B80:C80"/>
    <mergeCell ref="B82:C82"/>
    <mergeCell ref="B71:C71"/>
    <mergeCell ref="B72:C72"/>
    <mergeCell ref="B74:C74"/>
    <mergeCell ref="B76:C76"/>
    <mergeCell ref="B79:C79"/>
    <mergeCell ref="B78:C78"/>
    <mergeCell ref="B69:C69"/>
    <mergeCell ref="P1:R1"/>
    <mergeCell ref="G2:I2"/>
    <mergeCell ref="M2:O2"/>
    <mergeCell ref="P2:R2"/>
    <mergeCell ref="J2:L2"/>
    <mergeCell ref="D2:F3"/>
    <mergeCell ref="G3:I3"/>
    <mergeCell ref="J3:L3"/>
    <mergeCell ref="M3:O3"/>
    <mergeCell ref="P3:R3"/>
    <mergeCell ref="B36:C36"/>
    <mergeCell ref="B37:C37"/>
    <mergeCell ref="B60:C60"/>
    <mergeCell ref="B59:C59"/>
    <mergeCell ref="B58:C58"/>
    <mergeCell ref="B39:C39"/>
    <mergeCell ref="B40:C40"/>
    <mergeCell ref="B41:C41"/>
    <mergeCell ref="B42:C42"/>
    <mergeCell ref="B56:C56"/>
    <mergeCell ref="B43:C43"/>
    <mergeCell ref="B55:C55"/>
    <mergeCell ref="B38:C38"/>
    <mergeCell ref="B34:C34"/>
    <mergeCell ref="B35:C35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13:C13"/>
    <mergeCell ref="A2:A4"/>
    <mergeCell ref="B2:C4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B84:C84"/>
    <mergeCell ref="B44:C44"/>
    <mergeCell ref="B61:C61"/>
    <mergeCell ref="B63:C63"/>
    <mergeCell ref="B73:C73"/>
    <mergeCell ref="B57:C57"/>
    <mergeCell ref="B47:C47"/>
    <mergeCell ref="B48:C48"/>
    <mergeCell ref="B49:C49"/>
    <mergeCell ref="B50:C50"/>
    <mergeCell ref="B51:C51"/>
    <mergeCell ref="B52:C52"/>
    <mergeCell ref="B53:C53"/>
    <mergeCell ref="B54:C54"/>
    <mergeCell ref="B33:C33"/>
  </mergeCells>
  <pageMargins left="0.31496062992125984" right="0.11811023622047245" top="0.74803149606299213" bottom="0.74803149606299213" header="0.31496062992125984" footer="0.31496062992125984"/>
  <pageSetup paperSize="9" scale="66" fitToHeight="2" orientation="portrait" cellComments="asDisplayed" r:id="rId1"/>
  <headerFooter>
    <oddHeader>&amp;C&amp;"Times New Roman,Félkövér"&amp;12Martonvásár Város Önkormányzatának kiadásai 2016.
Brunszvik Teréz Óvoda&amp;R&amp;"Times New Roman,Félkövér"&amp;12 6/b. melléklet</oddHeader>
  </headerFooter>
  <rowBreaks count="1" manualBreakCount="1">
    <brk id="31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29"/>
  <sheetViews>
    <sheetView workbookViewId="0">
      <selection activeCell="D33" sqref="D33"/>
    </sheetView>
  </sheetViews>
  <sheetFormatPr defaultColWidth="9.109375" defaultRowHeight="15.6"/>
  <cols>
    <col min="1" max="1" width="5.44140625" style="227" customWidth="1"/>
    <col min="2" max="2" width="54.88671875" style="221" customWidth="1"/>
    <col min="3" max="3" width="10.44140625" style="221" customWidth="1"/>
    <col min="4" max="4" width="9.109375" style="221" customWidth="1"/>
    <col min="5" max="5" width="9" style="221" customWidth="1"/>
    <col min="6" max="20" width="9.109375" style="105"/>
    <col min="21" max="16384" width="9.109375" style="221"/>
  </cols>
  <sheetData>
    <row r="1" spans="1:20" ht="15.9" customHeight="1">
      <c r="A1" s="99" t="s">
        <v>303</v>
      </c>
      <c r="B1" s="100"/>
      <c r="C1" s="100"/>
      <c r="D1" s="100"/>
      <c r="E1" s="100"/>
    </row>
    <row r="2" spans="1:20" ht="15.9" customHeight="1">
      <c r="A2" s="945" t="s">
        <v>304</v>
      </c>
      <c r="B2" s="945"/>
      <c r="D2" s="948" t="s">
        <v>408</v>
      </c>
      <c r="E2" s="948"/>
    </row>
    <row r="3" spans="1:20" ht="35.25" customHeight="1">
      <c r="A3" s="228"/>
      <c r="B3" s="228" t="s">
        <v>183</v>
      </c>
      <c r="C3" s="247" t="s">
        <v>178</v>
      </c>
      <c r="D3" s="76" t="s">
        <v>750</v>
      </c>
      <c r="E3" s="76" t="s">
        <v>751</v>
      </c>
      <c r="O3" s="221"/>
      <c r="P3" s="221"/>
      <c r="Q3" s="221"/>
      <c r="R3" s="221"/>
      <c r="S3" s="221"/>
      <c r="T3" s="221"/>
    </row>
    <row r="4" spans="1:20" s="241" customFormat="1">
      <c r="A4" s="239" t="s">
        <v>420</v>
      </c>
      <c r="B4" s="232" t="s">
        <v>419</v>
      </c>
      <c r="C4" s="245">
        <f>+C7+C8+C13+C14</f>
        <v>961770</v>
      </c>
      <c r="D4" s="245">
        <f t="shared" ref="D4:E4" si="0">+D7+D8+D13+D14</f>
        <v>11306</v>
      </c>
      <c r="E4" s="245">
        <f t="shared" si="0"/>
        <v>973076</v>
      </c>
      <c r="F4" s="240"/>
      <c r="G4" s="240"/>
      <c r="H4" s="240"/>
      <c r="I4" s="240"/>
      <c r="J4" s="240"/>
      <c r="K4" s="240"/>
      <c r="L4" s="240"/>
      <c r="M4" s="240"/>
      <c r="N4" s="240"/>
    </row>
    <row r="5" spans="1:20" s="222" customFormat="1" ht="12" customHeight="1">
      <c r="A5" s="112" t="s">
        <v>417</v>
      </c>
      <c r="B5" s="244" t="s">
        <v>334</v>
      </c>
      <c r="C5" s="109">
        <f>+'3.mell. Bevétel'!C11</f>
        <v>590230</v>
      </c>
      <c r="D5" s="109">
        <f>+'3.mell. Bevétel'!D11</f>
        <v>8310</v>
      </c>
      <c r="E5" s="109">
        <f>+'3.mell. Bevétel'!E11</f>
        <v>598540</v>
      </c>
      <c r="F5" s="105"/>
      <c r="G5" s="105"/>
      <c r="H5" s="105"/>
      <c r="I5" s="105"/>
      <c r="J5" s="105"/>
      <c r="K5" s="105"/>
      <c r="L5" s="105"/>
      <c r="M5" s="105"/>
      <c r="N5" s="105"/>
    </row>
    <row r="6" spans="1:20" s="222" customFormat="1" ht="13.5" customHeight="1">
      <c r="A6" s="243" t="s">
        <v>418</v>
      </c>
      <c r="B6" s="244" t="s">
        <v>206</v>
      </c>
      <c r="C6" s="109">
        <f>+'3.mell. Bevétel'!C12+'6. mell. Int.összesen'!D4</f>
        <v>36407</v>
      </c>
      <c r="D6" s="109">
        <f>+'3.mell. Bevétel'!D12+'6. mell. Int.összesen'!E4</f>
        <v>1956</v>
      </c>
      <c r="E6" s="109">
        <f>+'3.mell. Bevétel'!E12+'6. mell. Int.összesen'!F4</f>
        <v>38363</v>
      </c>
      <c r="F6" s="105"/>
      <c r="G6" s="105"/>
      <c r="H6" s="105"/>
      <c r="I6" s="105"/>
      <c r="J6" s="105"/>
      <c r="K6" s="105"/>
      <c r="L6" s="105"/>
      <c r="M6" s="105"/>
      <c r="N6" s="105"/>
    </row>
    <row r="7" spans="1:20" s="242" customFormat="1" ht="12" customHeight="1">
      <c r="A7" s="81" t="s">
        <v>311</v>
      </c>
      <c r="B7" s="67" t="s">
        <v>332</v>
      </c>
      <c r="C7" s="92">
        <f>+C5+C6</f>
        <v>626637</v>
      </c>
      <c r="D7" s="92">
        <f t="shared" ref="D7:E7" si="1">+D5+D6</f>
        <v>10266</v>
      </c>
      <c r="E7" s="92">
        <f t="shared" si="1"/>
        <v>636903</v>
      </c>
      <c r="F7" s="240"/>
      <c r="G7" s="240"/>
      <c r="H7" s="240"/>
      <c r="I7" s="240"/>
      <c r="J7" s="240"/>
      <c r="K7" s="240"/>
      <c r="L7" s="240"/>
      <c r="M7" s="240"/>
      <c r="N7" s="240"/>
    </row>
    <row r="8" spans="1:20" s="222" customFormat="1" ht="12" customHeight="1">
      <c r="A8" s="234" t="s">
        <v>421</v>
      </c>
      <c r="B8" s="67" t="s">
        <v>338</v>
      </c>
      <c r="C8" s="92">
        <f>SUM(C9:C12)</f>
        <v>284500</v>
      </c>
      <c r="D8" s="92">
        <f t="shared" ref="D8:E8" si="2">SUM(D9:D12)</f>
        <v>0</v>
      </c>
      <c r="E8" s="92">
        <f t="shared" si="2"/>
        <v>284500</v>
      </c>
      <c r="F8" s="105"/>
      <c r="G8" s="105"/>
      <c r="H8" s="105"/>
      <c r="I8" s="105"/>
      <c r="J8" s="105"/>
      <c r="K8" s="105"/>
      <c r="L8" s="105"/>
      <c r="M8" s="105"/>
      <c r="N8" s="105"/>
    </row>
    <row r="9" spans="1:20" s="222" customFormat="1" ht="12" customHeight="1">
      <c r="A9" s="112" t="s">
        <v>422</v>
      </c>
      <c r="B9" s="244" t="s">
        <v>336</v>
      </c>
      <c r="C9" s="92">
        <f>+'3.mell. Bevétel'!C40</f>
        <v>0</v>
      </c>
      <c r="D9" s="92">
        <f>+'3.mell. Bevétel'!D40</f>
        <v>0</v>
      </c>
      <c r="E9" s="92">
        <f>+'3.mell. Bevétel'!E40</f>
        <v>0</v>
      </c>
      <c r="F9" s="105"/>
      <c r="G9" s="105"/>
      <c r="H9" s="105"/>
      <c r="I9" s="105"/>
      <c r="J9" s="105"/>
      <c r="K9" s="105"/>
      <c r="L9" s="105"/>
      <c r="M9" s="105"/>
      <c r="N9" s="105"/>
    </row>
    <row r="10" spans="1:20" s="222" customFormat="1" ht="12" customHeight="1">
      <c r="A10" s="243" t="s">
        <v>423</v>
      </c>
      <c r="B10" s="244" t="s">
        <v>221</v>
      </c>
      <c r="C10" s="92">
        <f>+'3.mell. Bevétel'!C43</f>
        <v>147800</v>
      </c>
      <c r="D10" s="92">
        <f>+'3.mell. Bevétel'!D43</f>
        <v>0</v>
      </c>
      <c r="E10" s="92">
        <f>+'3.mell. Bevétel'!E43</f>
        <v>147800</v>
      </c>
      <c r="F10" s="105"/>
      <c r="G10" s="105"/>
      <c r="H10" s="105"/>
      <c r="I10" s="105"/>
      <c r="J10" s="105"/>
      <c r="K10" s="105"/>
      <c r="L10" s="105"/>
      <c r="M10" s="105"/>
      <c r="N10" s="105"/>
    </row>
    <row r="11" spans="1:20" s="222" customFormat="1" ht="12" customHeight="1">
      <c r="A11" s="112" t="s">
        <v>424</v>
      </c>
      <c r="B11" s="244" t="s">
        <v>337</v>
      </c>
      <c r="C11" s="92">
        <f>+'3.mell. Bevétel'!C52</f>
        <v>135000</v>
      </c>
      <c r="D11" s="92">
        <f>+'3.mell. Bevétel'!D52</f>
        <v>0</v>
      </c>
      <c r="E11" s="92">
        <f>+'3.mell. Bevétel'!E52</f>
        <v>135000</v>
      </c>
      <c r="F11" s="105"/>
      <c r="G11" s="105"/>
      <c r="H11" s="105"/>
      <c r="I11" s="105"/>
      <c r="J11" s="105"/>
      <c r="K11" s="105"/>
      <c r="L11" s="105"/>
      <c r="M11" s="105"/>
      <c r="N11" s="105"/>
    </row>
    <row r="12" spans="1:20" s="222" customFormat="1" ht="12" customHeight="1">
      <c r="A12" s="243" t="s">
        <v>425</v>
      </c>
      <c r="B12" s="244" t="s">
        <v>234</v>
      </c>
      <c r="C12" s="92">
        <f>+'3.mell. Bevétel'!C53</f>
        <v>1700</v>
      </c>
      <c r="D12" s="92">
        <f>+'3.mell. Bevétel'!D53</f>
        <v>0</v>
      </c>
      <c r="E12" s="92">
        <f>+'3.mell. Bevétel'!E53</f>
        <v>1700</v>
      </c>
      <c r="F12" s="105"/>
      <c r="G12" s="105"/>
      <c r="H12" s="105"/>
      <c r="I12" s="105"/>
      <c r="J12" s="105"/>
      <c r="K12" s="105"/>
      <c r="L12" s="105"/>
      <c r="M12" s="105"/>
      <c r="N12" s="105"/>
    </row>
    <row r="13" spans="1:20" s="222" customFormat="1" ht="12" customHeight="1">
      <c r="A13" s="81">
        <v>3</v>
      </c>
      <c r="B13" s="67" t="s">
        <v>281</v>
      </c>
      <c r="C13" s="92">
        <f>+'3.mell. Bevétel'!C65+'6. mell. Int.összesen'!D36</f>
        <v>35591</v>
      </c>
      <c r="D13" s="92">
        <f>+'3.mell. Bevétel'!D65+'6. mell. Int.összesen'!E36</f>
        <v>1040</v>
      </c>
      <c r="E13" s="92">
        <f>+'3.mell. Bevétel'!E65+'6. mell. Int.összesen'!F36</f>
        <v>36631</v>
      </c>
      <c r="F13" s="105"/>
      <c r="G13" s="105"/>
      <c r="H13" s="105"/>
      <c r="I13" s="105"/>
      <c r="J13" s="105"/>
      <c r="K13" s="105"/>
      <c r="L13" s="105"/>
      <c r="M13" s="105"/>
      <c r="N13" s="105"/>
    </row>
    <row r="14" spans="1:20" s="222" customFormat="1" ht="12" customHeight="1">
      <c r="A14" s="234">
        <v>4</v>
      </c>
      <c r="B14" s="67" t="s">
        <v>279</v>
      </c>
      <c r="C14" s="92">
        <f>+'3.mell. Bevétel'!C69</f>
        <v>15042</v>
      </c>
      <c r="D14" s="92">
        <f>+'3.mell. Bevétel'!D69</f>
        <v>0</v>
      </c>
      <c r="E14" s="92">
        <f>+'3.mell. Bevétel'!E69</f>
        <v>15042</v>
      </c>
      <c r="F14" s="105"/>
      <c r="G14" s="105"/>
      <c r="H14" s="105"/>
      <c r="I14" s="105"/>
      <c r="J14" s="105"/>
      <c r="K14" s="105"/>
      <c r="L14" s="105"/>
      <c r="M14" s="105"/>
      <c r="N14" s="105"/>
    </row>
    <row r="15" spans="1:20" s="242" customFormat="1" ht="12" customHeight="1">
      <c r="A15" s="82" t="s">
        <v>426</v>
      </c>
      <c r="B15" s="232" t="s">
        <v>280</v>
      </c>
      <c r="C15" s="96">
        <f>SUM(C16:C18)</f>
        <v>21000</v>
      </c>
      <c r="D15" s="96">
        <f t="shared" ref="D15:E15" si="3">SUM(D16:D18)</f>
        <v>0</v>
      </c>
      <c r="E15" s="96">
        <f t="shared" si="3"/>
        <v>21000</v>
      </c>
      <c r="F15" s="240"/>
      <c r="G15" s="240"/>
      <c r="H15" s="240"/>
      <c r="I15" s="240"/>
      <c r="J15" s="240"/>
      <c r="K15" s="240"/>
      <c r="L15" s="240"/>
      <c r="M15" s="240"/>
      <c r="N15" s="240"/>
    </row>
    <row r="16" spans="1:20" s="222" customFormat="1" ht="12" customHeight="1">
      <c r="A16" s="234">
        <v>1</v>
      </c>
      <c r="B16" s="67" t="s">
        <v>333</v>
      </c>
      <c r="C16" s="92">
        <f>+'3.mell. Bevétel'!C37+'6. mell. Int.összesen'!D16</f>
        <v>0</v>
      </c>
      <c r="D16" s="92">
        <f>+'3.mell. Bevétel'!D37+'6. mell. Int.összesen'!E16</f>
        <v>0</v>
      </c>
      <c r="E16" s="92">
        <f>+'3.mell. Bevétel'!E37+'6. mell. Int.összesen'!F16</f>
        <v>0</v>
      </c>
      <c r="F16" s="105"/>
      <c r="G16" s="105"/>
      <c r="H16" s="105"/>
      <c r="I16" s="105"/>
      <c r="J16" s="105"/>
      <c r="K16" s="105"/>
      <c r="L16" s="105"/>
      <c r="M16" s="105"/>
      <c r="N16" s="105"/>
    </row>
    <row r="17" spans="1:20" s="222" customFormat="1" ht="12" customHeight="1">
      <c r="A17" s="81">
        <v>2</v>
      </c>
      <c r="B17" s="67" t="s">
        <v>280</v>
      </c>
      <c r="C17" s="92">
        <f>+'3.mell. Bevétel'!C66</f>
        <v>21000</v>
      </c>
      <c r="D17" s="92">
        <f>+'3.mell. Bevétel'!D66</f>
        <v>0</v>
      </c>
      <c r="E17" s="92">
        <f>+'3.mell. Bevétel'!E66</f>
        <v>21000</v>
      </c>
      <c r="F17" s="105"/>
      <c r="G17" s="105"/>
      <c r="H17" s="105"/>
      <c r="I17" s="105"/>
      <c r="J17" s="105"/>
      <c r="K17" s="105"/>
      <c r="L17" s="105"/>
      <c r="M17" s="105"/>
      <c r="N17" s="105"/>
    </row>
    <row r="18" spans="1:20" s="222" customFormat="1" ht="12" customHeight="1">
      <c r="A18" s="234">
        <v>3</v>
      </c>
      <c r="B18" s="67" t="s">
        <v>285</v>
      </c>
      <c r="C18" s="92">
        <f>+'3.mell. Bevétel'!C71</f>
        <v>0</v>
      </c>
      <c r="D18" s="92">
        <f>+'3.mell. Bevétel'!D71</f>
        <v>0</v>
      </c>
      <c r="E18" s="92">
        <f>+'3.mell. Bevétel'!E71</f>
        <v>0</v>
      </c>
      <c r="F18" s="105"/>
      <c r="G18" s="105"/>
      <c r="H18" s="105"/>
      <c r="I18" s="105"/>
      <c r="J18" s="105"/>
      <c r="K18" s="105"/>
      <c r="L18" s="105"/>
      <c r="M18" s="105"/>
      <c r="N18" s="105"/>
    </row>
    <row r="19" spans="1:20" s="222" customFormat="1" ht="12" customHeight="1">
      <c r="A19" s="81"/>
      <c r="B19" s="68" t="s">
        <v>404</v>
      </c>
      <c r="C19" s="96">
        <f>+C15+C4</f>
        <v>982770</v>
      </c>
      <c r="D19" s="96">
        <f t="shared" ref="D19:E19" si="4">+D15+D4</f>
        <v>11306</v>
      </c>
      <c r="E19" s="96">
        <f t="shared" si="4"/>
        <v>994076</v>
      </c>
      <c r="F19" s="105"/>
      <c r="G19" s="105"/>
      <c r="H19" s="105"/>
      <c r="I19" s="105"/>
      <c r="J19" s="105"/>
      <c r="K19" s="105"/>
      <c r="L19" s="105"/>
      <c r="M19" s="105"/>
      <c r="N19" s="105"/>
    </row>
    <row r="20" spans="1:20" s="222" customFormat="1" ht="12" customHeight="1">
      <c r="A20" s="239" t="s">
        <v>427</v>
      </c>
      <c r="B20" s="68" t="s">
        <v>288</v>
      </c>
      <c r="C20" s="96">
        <f>+C22+C21</f>
        <v>364092</v>
      </c>
      <c r="D20" s="96">
        <f t="shared" ref="D20:E20" si="5">+D22+D21</f>
        <v>48554</v>
      </c>
      <c r="E20" s="96">
        <f t="shared" si="5"/>
        <v>412646</v>
      </c>
      <c r="F20" s="105"/>
      <c r="G20" s="105"/>
      <c r="H20" s="105"/>
      <c r="I20" s="105"/>
      <c r="J20" s="105"/>
      <c r="K20" s="105"/>
      <c r="L20" s="105"/>
      <c r="M20" s="105"/>
      <c r="N20" s="105"/>
    </row>
    <row r="21" spans="1:20" s="222" customFormat="1" ht="12" customHeight="1">
      <c r="A21" s="81">
        <v>1</v>
      </c>
      <c r="B21" s="67" t="s">
        <v>401</v>
      </c>
      <c r="C21" s="92">
        <f>+'3.mell. Bevétel'!C74</f>
        <v>0</v>
      </c>
      <c r="D21" s="92">
        <f>+'3.mell. Bevétel'!D74</f>
        <v>0</v>
      </c>
      <c r="E21" s="92">
        <f>+'3.mell. Bevétel'!E74</f>
        <v>0</v>
      </c>
      <c r="F21" s="105"/>
      <c r="G21" s="105"/>
      <c r="H21" s="105"/>
      <c r="I21" s="105"/>
      <c r="J21" s="105"/>
      <c r="K21" s="105"/>
      <c r="L21" s="105"/>
      <c r="M21" s="105"/>
      <c r="N21" s="105"/>
    </row>
    <row r="22" spans="1:20" s="222" customFormat="1" ht="12" customHeight="1">
      <c r="A22" s="234">
        <v>2</v>
      </c>
      <c r="B22" s="67" t="s">
        <v>339</v>
      </c>
      <c r="C22" s="92">
        <f>SUM(C23:C24)</f>
        <v>364092</v>
      </c>
      <c r="D22" s="92">
        <f t="shared" ref="D22:E22" si="6">SUM(D23:D24)</f>
        <v>48554</v>
      </c>
      <c r="E22" s="92">
        <f t="shared" si="6"/>
        <v>412646</v>
      </c>
      <c r="F22" s="105"/>
      <c r="G22" s="105"/>
      <c r="H22" s="105"/>
      <c r="I22" s="105"/>
      <c r="J22" s="105"/>
      <c r="K22" s="105"/>
      <c r="L22" s="105"/>
      <c r="M22" s="105"/>
      <c r="N22" s="105"/>
    </row>
    <row r="23" spans="1:20" s="222" customFormat="1" ht="12" customHeight="1">
      <c r="A23" s="81" t="s">
        <v>417</v>
      </c>
      <c r="B23" s="244" t="s">
        <v>402</v>
      </c>
      <c r="C23" s="109">
        <f>+'3.mell. Bevétel'!C76+'6. mell. Int.összesen'!D44</f>
        <v>8286</v>
      </c>
      <c r="D23" s="109">
        <f>+'3.mell. Bevétel'!D76+'6. mell. Int.összesen'!E44</f>
        <v>48554</v>
      </c>
      <c r="E23" s="109">
        <f>+'3.mell. Bevétel'!E76+'6. mell. Int.összesen'!F44</f>
        <v>56840</v>
      </c>
      <c r="F23" s="105"/>
      <c r="G23" s="105"/>
      <c r="H23" s="105"/>
      <c r="I23" s="105"/>
      <c r="J23" s="105"/>
      <c r="K23" s="105"/>
      <c r="L23" s="105"/>
      <c r="M23" s="105"/>
      <c r="N23" s="105"/>
    </row>
    <row r="24" spans="1:20" s="222" customFormat="1" ht="12" customHeight="1">
      <c r="A24" s="234" t="s">
        <v>418</v>
      </c>
      <c r="B24" s="244" t="s">
        <v>403</v>
      </c>
      <c r="C24" s="109">
        <f>+'3.mell. Bevétel'!C77+'6. mell. Int.összesen'!D45</f>
        <v>355806</v>
      </c>
      <c r="D24" s="109">
        <f>+'3.mell. Bevétel'!D77+'6. mell. Int.összesen'!E45</f>
        <v>0</v>
      </c>
      <c r="E24" s="109">
        <f>+'3.mell. Bevétel'!E77+'6. mell. Int.összesen'!F45</f>
        <v>355806</v>
      </c>
      <c r="F24" s="105"/>
      <c r="G24" s="105"/>
      <c r="H24" s="105"/>
      <c r="I24" s="105"/>
      <c r="J24" s="105"/>
      <c r="K24" s="105"/>
      <c r="L24" s="105"/>
      <c r="M24" s="105"/>
      <c r="N24" s="105"/>
    </row>
    <row r="25" spans="1:20" s="222" customFormat="1" ht="12.75" customHeight="1">
      <c r="A25" s="940" t="s">
        <v>405</v>
      </c>
      <c r="B25" s="941"/>
      <c r="C25" s="246">
        <f>+C20+C15+C4</f>
        <v>1346862</v>
      </c>
      <c r="D25" s="246">
        <f t="shared" ref="D25:E25" si="7">+D20+D15+D4</f>
        <v>59860</v>
      </c>
      <c r="E25" s="246">
        <f t="shared" si="7"/>
        <v>1406722</v>
      </c>
      <c r="F25" s="105"/>
      <c r="G25" s="105"/>
      <c r="H25" s="105"/>
      <c r="I25" s="105"/>
      <c r="J25" s="105"/>
      <c r="K25" s="105"/>
      <c r="L25" s="105"/>
      <c r="M25" s="105"/>
      <c r="N25" s="105"/>
    </row>
    <row r="26" spans="1:20" s="222" customFormat="1" ht="12" customHeight="1">
      <c r="A26" s="220"/>
      <c r="B26" s="95"/>
      <c r="C26" s="235"/>
      <c r="D26" s="95"/>
      <c r="E26" s="95"/>
      <c r="F26" s="105"/>
      <c r="G26" s="105"/>
      <c r="H26" s="105"/>
      <c r="I26" s="105"/>
      <c r="J26" s="105"/>
      <c r="K26" s="105"/>
      <c r="L26" s="105"/>
      <c r="M26" s="105"/>
      <c r="N26" s="105"/>
    </row>
    <row r="27" spans="1:20" s="222" customFormat="1" ht="16.5" customHeight="1">
      <c r="A27" s="946" t="s">
        <v>312</v>
      </c>
      <c r="B27" s="947"/>
      <c r="C27" s="947"/>
      <c r="D27" s="947"/>
      <c r="E27" s="947"/>
      <c r="F27" s="105"/>
      <c r="G27" s="105"/>
      <c r="H27" s="105"/>
      <c r="I27" s="105"/>
      <c r="J27" s="105"/>
      <c r="K27" s="105"/>
      <c r="L27" s="105"/>
      <c r="M27" s="105"/>
      <c r="N27" s="105"/>
    </row>
    <row r="28" spans="1:20" s="222" customFormat="1" ht="15" customHeight="1">
      <c r="A28" s="945" t="s">
        <v>313</v>
      </c>
      <c r="B28" s="945"/>
      <c r="C28" s="223"/>
      <c r="D28" s="223"/>
      <c r="E28" s="223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</row>
    <row r="29" spans="1:20" ht="16.5" customHeight="1">
      <c r="A29" s="229"/>
      <c r="B29" s="229" t="s">
        <v>183</v>
      </c>
      <c r="C29" s="247" t="s">
        <v>178</v>
      </c>
      <c r="D29" s="76" t="s">
        <v>750</v>
      </c>
      <c r="E29" s="76" t="s">
        <v>751</v>
      </c>
    </row>
    <row r="30" spans="1:20" ht="16.5" customHeight="1">
      <c r="A30" s="239" t="s">
        <v>420</v>
      </c>
      <c r="B30" s="232" t="s">
        <v>431</v>
      </c>
      <c r="C30" s="245">
        <f>+C31+C32+C33+C34+C35+C36</f>
        <v>1328509</v>
      </c>
      <c r="D30" s="245">
        <f t="shared" ref="D30:E30" si="8">+D31+D32+D33+D34+D35+D36</f>
        <v>-49349</v>
      </c>
      <c r="E30" s="245">
        <f t="shared" si="8"/>
        <v>1279160</v>
      </c>
    </row>
    <row r="31" spans="1:20" ht="13.5" customHeight="1">
      <c r="A31" s="4">
        <v>1</v>
      </c>
      <c r="B31" s="214" t="s">
        <v>173</v>
      </c>
      <c r="C31" s="233">
        <f>+'5. mell. Önk.össz kiadás'!D5+'6. mell. Int.összesen'!D55</f>
        <v>264063</v>
      </c>
      <c r="D31" s="233">
        <f>+'5. mell. Önk.össz kiadás'!E5+'6. mell. Int.összesen'!E55</f>
        <v>-383</v>
      </c>
      <c r="E31" s="233">
        <f>+'5. mell. Önk.össz kiadás'!F5+'6. mell. Int.összesen'!F55</f>
        <v>263680</v>
      </c>
      <c r="O31" s="221"/>
      <c r="P31" s="221"/>
      <c r="Q31" s="221"/>
      <c r="R31" s="221"/>
      <c r="S31" s="221"/>
      <c r="T31" s="221"/>
    </row>
    <row r="32" spans="1:20" ht="12" customHeight="1">
      <c r="A32" s="4">
        <v>2</v>
      </c>
      <c r="B32" s="214" t="s">
        <v>172</v>
      </c>
      <c r="C32" s="233">
        <f>+'5. mell. Önk.össz kiadás'!D7+'6. mell. Int.összesen'!D56</f>
        <v>73680</v>
      </c>
      <c r="D32" s="233">
        <f>+'5. mell. Önk.össz kiadás'!E7+'6. mell. Int.összesen'!E56</f>
        <v>153</v>
      </c>
      <c r="E32" s="233">
        <f>+'5. mell. Önk.össz kiadás'!F7+'6. mell. Int.összesen'!F56</f>
        <v>73833</v>
      </c>
      <c r="O32" s="221"/>
      <c r="P32" s="221"/>
      <c r="Q32" s="221"/>
      <c r="R32" s="221"/>
      <c r="S32" s="221"/>
      <c r="T32" s="221"/>
    </row>
    <row r="33" spans="1:20" ht="12" customHeight="1">
      <c r="A33" s="4">
        <v>3</v>
      </c>
      <c r="B33" s="214" t="s">
        <v>152</v>
      </c>
      <c r="C33" s="233">
        <f>+'5. mell. Önk.össz kiadás'!D14+'6. mell. Int.összesen'!D63</f>
        <v>127677</v>
      </c>
      <c r="D33" s="233">
        <f>+'5. mell. Önk.össz kiadás'!E14+'6. mell. Int.összesen'!E63</f>
        <v>28507</v>
      </c>
      <c r="E33" s="233">
        <f>+'5. mell. Önk.össz kiadás'!F14+'6. mell. Int.összesen'!F63</f>
        <v>156184</v>
      </c>
      <c r="O33" s="221"/>
      <c r="P33" s="221"/>
      <c r="Q33" s="221"/>
      <c r="R33" s="221"/>
      <c r="S33" s="221"/>
      <c r="T33" s="221"/>
    </row>
    <row r="34" spans="1:20" ht="12" customHeight="1">
      <c r="A34" s="4">
        <v>4</v>
      </c>
      <c r="B34" s="215" t="s">
        <v>151</v>
      </c>
      <c r="C34" s="233">
        <f>+'5. mell. Önk.össz kiadás'!D16</f>
        <v>22778</v>
      </c>
      <c r="D34" s="233">
        <f>+'5. mell. Önk.össz kiadás'!E16</f>
        <v>-1158</v>
      </c>
      <c r="E34" s="233">
        <f>+'5. mell. Önk.össz kiadás'!F16</f>
        <v>21620</v>
      </c>
      <c r="O34" s="221"/>
      <c r="P34" s="221"/>
      <c r="Q34" s="221"/>
      <c r="R34" s="221"/>
      <c r="S34" s="221"/>
      <c r="T34" s="221"/>
    </row>
    <row r="35" spans="1:20" ht="12" customHeight="1">
      <c r="A35" s="4">
        <v>5</v>
      </c>
      <c r="B35" s="214" t="s">
        <v>164</v>
      </c>
      <c r="C35" s="233">
        <f>+'5. mell. Önk.össz kiadás'!D18+'6. mell. Int.összesen'!D67-C36</f>
        <v>388694</v>
      </c>
      <c r="D35" s="233">
        <f>+'5. mell. Önk.össz kiadás'!E18+'6. mell. Int.összesen'!E67-D36</f>
        <v>25483</v>
      </c>
      <c r="E35" s="233">
        <f>+'5. mell. Önk.össz kiadás'!F18+'6. mell. Int.összesen'!F67-E36</f>
        <v>414177</v>
      </c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</row>
    <row r="36" spans="1:20" ht="12" customHeight="1">
      <c r="A36" s="4">
        <v>6</v>
      </c>
      <c r="B36" s="214" t="s">
        <v>442</v>
      </c>
      <c r="C36" s="233">
        <f>+'5. mell. Önk.össz kiadás'!D19</f>
        <v>451617</v>
      </c>
      <c r="D36" s="233">
        <f>+'5. mell. Önk.össz kiadás'!E19</f>
        <v>-101951</v>
      </c>
      <c r="E36" s="233">
        <f>+'5. mell. Önk.össz kiadás'!F19</f>
        <v>349666</v>
      </c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</row>
    <row r="37" spans="1:20" ht="12" customHeight="1">
      <c r="A37" s="6" t="s">
        <v>432</v>
      </c>
      <c r="B37" s="232" t="s">
        <v>433</v>
      </c>
      <c r="C37" s="246">
        <f>+C38+C39+C40</f>
        <v>11680</v>
      </c>
      <c r="D37" s="246">
        <f t="shared" ref="D37:E37" si="9">+D38+D39+D40</f>
        <v>89625</v>
      </c>
      <c r="E37" s="246">
        <f t="shared" si="9"/>
        <v>101305</v>
      </c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</row>
    <row r="38" spans="1:20" ht="12" customHeight="1">
      <c r="A38" s="4">
        <v>1</v>
      </c>
      <c r="B38" s="214" t="s">
        <v>162</v>
      </c>
      <c r="C38" s="233">
        <f>+'5. mell. Önk.össz kiadás'!D21+'6. mell. Int.összesen'!D69</f>
        <v>7380</v>
      </c>
      <c r="D38" s="233">
        <f>+'5. mell. Önk.össz kiadás'!E21+'6. mell. Int.összesen'!E69</f>
        <v>75645</v>
      </c>
      <c r="E38" s="233">
        <f>+'5. mell. Önk.össz kiadás'!F21+'6. mell. Int.összesen'!F69</f>
        <v>83025</v>
      </c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</row>
    <row r="39" spans="1:20" ht="12" customHeight="1">
      <c r="A39" s="4">
        <v>2</v>
      </c>
      <c r="B39" s="214" t="s">
        <v>161</v>
      </c>
      <c r="C39" s="233">
        <f>+'5. mell. Önk.össz kiadás'!D23</f>
        <v>0</v>
      </c>
      <c r="D39" s="233">
        <f>+'5. mell. Önk.össz kiadás'!E23</f>
        <v>5663</v>
      </c>
      <c r="E39" s="233">
        <f>+'5. mell. Önk.össz kiadás'!F23</f>
        <v>5663</v>
      </c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</row>
    <row r="40" spans="1:20" ht="12" customHeight="1">
      <c r="A40" s="4">
        <v>3</v>
      </c>
      <c r="B40" s="214" t="s">
        <v>159</v>
      </c>
      <c r="C40" s="233">
        <f>+'5. mell. Önk.össz kiadás'!D25+'6. mell. Int.összesen'!D73</f>
        <v>4300</v>
      </c>
      <c r="D40" s="233">
        <f>+'5. mell. Önk.össz kiadás'!E25+'6. mell. Int.összesen'!E70</f>
        <v>8317</v>
      </c>
      <c r="E40" s="233">
        <f>+'5. mell. Önk.össz kiadás'!F25+'6. mell. Int.összesen'!F70</f>
        <v>12617</v>
      </c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</row>
    <row r="41" spans="1:20" s="241" customFormat="1" ht="12" customHeight="1">
      <c r="A41" s="6"/>
      <c r="B41" s="218" t="s">
        <v>429</v>
      </c>
      <c r="C41" s="246">
        <f>+C37+C30</f>
        <v>1340189</v>
      </c>
      <c r="D41" s="246">
        <f t="shared" ref="D41:E41" si="10">+D37+D30</f>
        <v>40276</v>
      </c>
      <c r="E41" s="246">
        <f t="shared" si="10"/>
        <v>1380465</v>
      </c>
    </row>
    <row r="42" spans="1:20" ht="12" customHeight="1">
      <c r="A42" s="6" t="s">
        <v>434</v>
      </c>
      <c r="B42" s="248" t="s">
        <v>278</v>
      </c>
      <c r="C42" s="246">
        <f>+'5.g. mell. Egyéb tev.'!D99+'5.g. mell. Egyéb tev.'!D100</f>
        <v>6673</v>
      </c>
      <c r="D42" s="246">
        <f>+'5.g. mell. Egyéb tev.'!E99+'5.g. mell. Egyéb tev.'!E100</f>
        <v>19584</v>
      </c>
      <c r="E42" s="246">
        <f>+'5.g. mell. Egyéb tev.'!F99+'5.g. mell. Egyéb tev.'!F100</f>
        <v>26257</v>
      </c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</row>
    <row r="43" spans="1:20" s="241" customFormat="1" ht="12" customHeight="1">
      <c r="A43" s="942" t="s">
        <v>430</v>
      </c>
      <c r="B43" s="943"/>
      <c r="C43" s="246">
        <f>C42+C41</f>
        <v>1346862</v>
      </c>
      <c r="D43" s="246">
        <f t="shared" ref="D43:E43" si="11">D42+D41</f>
        <v>59860</v>
      </c>
      <c r="E43" s="246">
        <f t="shared" si="11"/>
        <v>1406722</v>
      </c>
    </row>
    <row r="44" spans="1:20" ht="15" customHeight="1">
      <c r="A44" s="224"/>
      <c r="B44" s="105"/>
      <c r="C44" s="105"/>
      <c r="D44" s="105"/>
      <c r="E44" s="105"/>
      <c r="O44" s="221"/>
      <c r="P44" s="221"/>
      <c r="Q44" s="221"/>
      <c r="R44" s="221"/>
      <c r="S44" s="221"/>
      <c r="T44" s="221"/>
    </row>
    <row r="45" spans="1:20" s="222" customFormat="1" ht="15.75" customHeight="1">
      <c r="A45" s="944" t="s">
        <v>318</v>
      </c>
      <c r="B45" s="944"/>
      <c r="C45" s="944"/>
      <c r="D45" s="944"/>
      <c r="E45" s="944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</row>
    <row r="46" spans="1:20" s="105" customFormat="1">
      <c r="A46" s="225" t="s">
        <v>319</v>
      </c>
      <c r="B46" s="226"/>
      <c r="C46" s="221"/>
      <c r="D46" s="221"/>
      <c r="E46" s="221"/>
    </row>
    <row r="47" spans="1:20">
      <c r="A47" s="230">
        <v>1</v>
      </c>
      <c r="B47" s="104" t="s">
        <v>435</v>
      </c>
      <c r="C47" s="101">
        <f>+C19-C41</f>
        <v>-357419</v>
      </c>
      <c r="D47" s="101">
        <f t="shared" ref="D47:E47" si="12">+D19-D41</f>
        <v>-28970</v>
      </c>
      <c r="E47" s="101">
        <f t="shared" si="12"/>
        <v>-386389</v>
      </c>
    </row>
    <row r="48" spans="1:20">
      <c r="A48" s="224"/>
      <c r="B48" s="105"/>
      <c r="C48" s="105"/>
      <c r="D48" s="105"/>
      <c r="E48" s="105"/>
    </row>
    <row r="49" spans="1:20">
      <c r="A49" s="944" t="s">
        <v>320</v>
      </c>
      <c r="B49" s="944"/>
      <c r="C49" s="944"/>
      <c r="D49" s="944"/>
      <c r="E49" s="944"/>
    </row>
    <row r="50" spans="1:20">
      <c r="A50" s="225" t="s">
        <v>321</v>
      </c>
      <c r="B50" s="226"/>
    </row>
    <row r="51" spans="1:20">
      <c r="A51" s="230" t="s">
        <v>311</v>
      </c>
      <c r="B51" s="104" t="s">
        <v>322</v>
      </c>
      <c r="C51" s="101">
        <f>+C52-C53</f>
        <v>357419</v>
      </c>
      <c r="D51" s="101">
        <f t="shared" ref="D51:E51" si="13">+D52-D53</f>
        <v>28970</v>
      </c>
      <c r="E51" s="101">
        <f t="shared" si="13"/>
        <v>386389</v>
      </c>
    </row>
    <row r="52" spans="1:20">
      <c r="A52" s="231" t="s">
        <v>315</v>
      </c>
      <c r="B52" s="102" t="s">
        <v>436</v>
      </c>
      <c r="C52" s="103">
        <f>+C20</f>
        <v>364092</v>
      </c>
      <c r="D52" s="103">
        <f t="shared" ref="D52:E52" si="14">+D20</f>
        <v>48554</v>
      </c>
      <c r="E52" s="103">
        <f t="shared" si="14"/>
        <v>412646</v>
      </c>
    </row>
    <row r="53" spans="1:20">
      <c r="A53" s="231" t="s">
        <v>316</v>
      </c>
      <c r="B53" s="102" t="s">
        <v>437</v>
      </c>
      <c r="C53" s="103">
        <f>+C42</f>
        <v>6673</v>
      </c>
      <c r="D53" s="103">
        <f t="shared" ref="D53:E53" si="15">+D42</f>
        <v>19584</v>
      </c>
      <c r="E53" s="103">
        <f t="shared" si="15"/>
        <v>26257</v>
      </c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</row>
    <row r="54" spans="1:20">
      <c r="A54" s="224"/>
      <c r="B54" s="105"/>
      <c r="C54" s="105"/>
      <c r="D54" s="105"/>
      <c r="E54" s="105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</row>
    <row r="55" spans="1:20">
      <c r="A55" s="225" t="s">
        <v>323</v>
      </c>
      <c r="B55" s="226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</row>
    <row r="56" spans="1:20">
      <c r="A56" s="230">
        <v>1</v>
      </c>
      <c r="B56" s="104" t="s">
        <v>627</v>
      </c>
      <c r="C56" s="101">
        <f>+C25-C43</f>
        <v>0</v>
      </c>
      <c r="D56" s="101">
        <f t="shared" ref="D56:E56" si="16">+D25-D43</f>
        <v>0</v>
      </c>
      <c r="E56" s="101">
        <f t="shared" si="16"/>
        <v>0</v>
      </c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</row>
    <row r="57" spans="1:20">
      <c r="A57" s="224"/>
      <c r="B57" s="105"/>
      <c r="C57" s="105"/>
      <c r="D57" s="105"/>
      <c r="E57" s="105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</row>
    <row r="58" spans="1:20">
      <c r="A58" s="224"/>
      <c r="B58" s="105"/>
      <c r="C58" s="105"/>
      <c r="D58" s="105"/>
      <c r="E58" s="105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</row>
    <row r="59" spans="1:20">
      <c r="A59" s="224"/>
      <c r="B59" s="105"/>
      <c r="C59" s="105"/>
      <c r="D59" s="105"/>
      <c r="E59" s="105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</row>
    <row r="60" spans="1:20">
      <c r="A60" s="224"/>
      <c r="B60" s="105"/>
      <c r="C60" s="105"/>
      <c r="D60" s="105"/>
      <c r="E60" s="105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</row>
    <row r="61" spans="1:20">
      <c r="A61" s="224"/>
      <c r="B61" s="105"/>
      <c r="C61" s="105"/>
      <c r="D61" s="105"/>
      <c r="E61" s="105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</row>
    <row r="62" spans="1:20">
      <c r="A62" s="224"/>
      <c r="B62" s="105"/>
      <c r="C62" s="105"/>
      <c r="D62" s="105"/>
      <c r="E62" s="105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</row>
    <row r="63" spans="1:20">
      <c r="A63" s="224"/>
      <c r="B63" s="105"/>
      <c r="C63" s="105"/>
      <c r="D63" s="105"/>
      <c r="E63" s="105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</row>
    <row r="64" spans="1:20">
      <c r="A64" s="224"/>
      <c r="B64" s="105"/>
      <c r="C64" s="105"/>
      <c r="D64" s="105"/>
      <c r="E64" s="105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</row>
    <row r="65" spans="1:20">
      <c r="A65" s="224"/>
      <c r="B65" s="105"/>
      <c r="C65" s="105"/>
      <c r="D65" s="105"/>
      <c r="E65" s="105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</row>
    <row r="66" spans="1:20">
      <c r="A66" s="224"/>
      <c r="B66" s="105"/>
      <c r="C66" s="105"/>
      <c r="D66" s="105"/>
      <c r="E66" s="105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</row>
    <row r="67" spans="1:20">
      <c r="A67" s="224"/>
      <c r="B67" s="105"/>
      <c r="C67" s="105"/>
      <c r="D67" s="105"/>
      <c r="E67" s="105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</row>
    <row r="68" spans="1:20">
      <c r="A68" s="224"/>
      <c r="B68" s="105"/>
      <c r="C68" s="105"/>
      <c r="D68" s="105"/>
      <c r="E68" s="105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</row>
    <row r="69" spans="1:20">
      <c r="A69" s="224"/>
      <c r="B69" s="105"/>
      <c r="C69" s="105"/>
      <c r="D69" s="105"/>
      <c r="E69" s="105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</row>
    <row r="70" spans="1:20">
      <c r="A70" s="224"/>
      <c r="B70" s="105"/>
      <c r="C70" s="105"/>
      <c r="D70" s="105"/>
      <c r="E70" s="105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</row>
    <row r="71" spans="1:20">
      <c r="A71" s="224"/>
      <c r="B71" s="105"/>
      <c r="C71" s="105"/>
      <c r="D71" s="105"/>
      <c r="E71" s="105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</row>
    <row r="72" spans="1:20">
      <c r="A72" s="224"/>
      <c r="B72" s="105"/>
      <c r="C72" s="105"/>
      <c r="D72" s="105"/>
      <c r="E72" s="105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</row>
    <row r="73" spans="1:20">
      <c r="A73" s="224"/>
      <c r="B73" s="105"/>
      <c r="C73" s="105"/>
      <c r="D73" s="105"/>
      <c r="E73" s="105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</row>
    <row r="74" spans="1:20">
      <c r="A74" s="224"/>
      <c r="B74" s="105"/>
      <c r="C74" s="105"/>
      <c r="D74" s="105"/>
      <c r="E74" s="105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</row>
    <row r="75" spans="1:20">
      <c r="A75" s="224"/>
      <c r="B75" s="105"/>
      <c r="C75" s="105"/>
      <c r="D75" s="105"/>
      <c r="E75" s="105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</row>
    <row r="76" spans="1:20">
      <c r="A76" s="224"/>
      <c r="B76" s="105"/>
      <c r="C76" s="105"/>
      <c r="D76" s="105"/>
      <c r="E76" s="105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</row>
    <row r="77" spans="1:20">
      <c r="A77" s="224"/>
      <c r="B77" s="105"/>
      <c r="C77" s="105"/>
      <c r="D77" s="105"/>
      <c r="E77" s="105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</row>
    <row r="78" spans="1:20">
      <c r="A78" s="224"/>
      <c r="B78" s="105"/>
      <c r="C78" s="105"/>
      <c r="D78" s="105"/>
      <c r="E78" s="105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</row>
    <row r="79" spans="1:20">
      <c r="A79" s="224"/>
      <c r="B79" s="105"/>
      <c r="C79" s="105"/>
      <c r="D79" s="105"/>
      <c r="E79" s="105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</row>
    <row r="80" spans="1:20">
      <c r="A80" s="224"/>
      <c r="B80" s="105"/>
      <c r="C80" s="105"/>
      <c r="D80" s="105"/>
      <c r="E80" s="105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</row>
    <row r="81" spans="1:20">
      <c r="A81" s="224"/>
      <c r="B81" s="105"/>
      <c r="C81" s="105"/>
      <c r="D81" s="105"/>
      <c r="E81" s="105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</row>
    <row r="82" spans="1:20">
      <c r="A82" s="224"/>
      <c r="B82" s="105"/>
      <c r="C82" s="105"/>
      <c r="D82" s="105"/>
      <c r="E82" s="105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</row>
    <row r="83" spans="1:20">
      <c r="A83" s="224"/>
      <c r="B83" s="105"/>
      <c r="C83" s="105"/>
      <c r="D83" s="105"/>
      <c r="E83" s="105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</row>
    <row r="84" spans="1:20">
      <c r="A84" s="224"/>
      <c r="B84" s="105"/>
      <c r="C84" s="105"/>
      <c r="D84" s="105"/>
      <c r="E84" s="105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</row>
    <row r="85" spans="1:20">
      <c r="A85" s="224"/>
      <c r="B85" s="105"/>
      <c r="C85" s="105"/>
      <c r="D85" s="105"/>
      <c r="E85" s="105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</row>
    <row r="86" spans="1:20">
      <c r="A86" s="224"/>
      <c r="B86" s="105"/>
      <c r="C86" s="105"/>
      <c r="D86" s="105"/>
      <c r="E86" s="105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</row>
    <row r="87" spans="1:20">
      <c r="A87" s="224"/>
      <c r="B87" s="105"/>
      <c r="C87" s="105"/>
      <c r="D87" s="105"/>
      <c r="E87" s="105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</row>
    <row r="88" spans="1:20">
      <c r="A88" s="224"/>
      <c r="B88" s="105"/>
      <c r="C88" s="105"/>
      <c r="D88" s="105"/>
      <c r="E88" s="105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</row>
    <row r="89" spans="1:20">
      <c r="A89" s="224"/>
      <c r="B89" s="105"/>
      <c r="C89" s="105"/>
      <c r="D89" s="105"/>
      <c r="E89" s="105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</row>
    <row r="90" spans="1:20">
      <c r="A90" s="224"/>
      <c r="B90" s="105"/>
      <c r="C90" s="105"/>
      <c r="D90" s="105"/>
      <c r="E90" s="105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</row>
    <row r="91" spans="1:20">
      <c r="A91" s="224"/>
      <c r="B91" s="105"/>
      <c r="C91" s="105"/>
      <c r="D91" s="105"/>
      <c r="E91" s="105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</row>
    <row r="92" spans="1:20">
      <c r="A92" s="224"/>
      <c r="B92" s="105"/>
      <c r="C92" s="105"/>
      <c r="D92" s="105"/>
      <c r="E92" s="105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</row>
    <row r="93" spans="1:20">
      <c r="A93" s="224"/>
      <c r="B93" s="105"/>
      <c r="C93" s="105"/>
      <c r="D93" s="105"/>
      <c r="E93" s="105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</row>
    <row r="94" spans="1:20">
      <c r="A94" s="224"/>
      <c r="B94" s="105"/>
      <c r="C94" s="105"/>
      <c r="D94" s="105"/>
      <c r="E94" s="105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</row>
    <row r="95" spans="1:20">
      <c r="A95" s="224"/>
      <c r="B95" s="105"/>
      <c r="C95" s="105"/>
      <c r="D95" s="105"/>
      <c r="E95" s="105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</row>
    <row r="96" spans="1:20">
      <c r="A96" s="224"/>
      <c r="B96" s="105"/>
      <c r="C96" s="105"/>
      <c r="D96" s="105"/>
      <c r="E96" s="105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</row>
    <row r="97" spans="1:20">
      <c r="A97" s="224"/>
      <c r="B97" s="105"/>
      <c r="C97" s="105"/>
      <c r="D97" s="105"/>
      <c r="E97" s="105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</row>
    <row r="98" spans="1:20">
      <c r="A98" s="224"/>
      <c r="B98" s="105"/>
      <c r="C98" s="105"/>
      <c r="D98" s="105"/>
      <c r="E98" s="105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</row>
    <row r="99" spans="1:20">
      <c r="A99" s="224"/>
      <c r="B99" s="105"/>
      <c r="C99" s="105"/>
      <c r="D99" s="105"/>
      <c r="E99" s="105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</row>
    <row r="100" spans="1:20">
      <c r="A100" s="224"/>
      <c r="B100" s="105"/>
      <c r="C100" s="105"/>
      <c r="D100" s="105"/>
      <c r="E100" s="105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</row>
    <row r="101" spans="1:20">
      <c r="A101" s="224"/>
      <c r="B101" s="105"/>
      <c r="C101" s="105"/>
      <c r="D101" s="105"/>
      <c r="E101" s="105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</row>
    <row r="102" spans="1:20">
      <c r="A102" s="224"/>
      <c r="B102" s="105"/>
      <c r="C102" s="105"/>
      <c r="D102" s="105"/>
      <c r="E102" s="105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</row>
    <row r="103" spans="1:20">
      <c r="A103" s="224"/>
      <c r="B103" s="105"/>
      <c r="C103" s="105"/>
      <c r="D103" s="105"/>
      <c r="E103" s="105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</row>
    <row r="104" spans="1:20">
      <c r="A104" s="224"/>
      <c r="B104" s="105"/>
      <c r="C104" s="105"/>
      <c r="D104" s="105"/>
      <c r="E104" s="105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</row>
    <row r="105" spans="1:20">
      <c r="A105" s="224"/>
      <c r="B105" s="105"/>
      <c r="C105" s="105"/>
      <c r="D105" s="105"/>
      <c r="E105" s="105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</row>
    <row r="106" spans="1:20">
      <c r="A106" s="224"/>
      <c r="B106" s="105"/>
      <c r="C106" s="105"/>
      <c r="D106" s="105"/>
      <c r="E106" s="105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</row>
    <row r="107" spans="1:20">
      <c r="A107" s="224"/>
      <c r="B107" s="105"/>
      <c r="C107" s="105"/>
      <c r="D107" s="105"/>
      <c r="E107" s="105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</row>
    <row r="108" spans="1:20">
      <c r="A108" s="224"/>
      <c r="B108" s="105"/>
      <c r="C108" s="105"/>
      <c r="D108" s="105"/>
      <c r="E108" s="105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</row>
    <row r="109" spans="1:20">
      <c r="A109" s="224"/>
      <c r="B109" s="105"/>
      <c r="C109" s="105"/>
      <c r="D109" s="105"/>
      <c r="E109" s="105"/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</row>
    <row r="110" spans="1:20">
      <c r="A110" s="224"/>
      <c r="B110" s="105"/>
      <c r="C110" s="105"/>
      <c r="D110" s="105"/>
      <c r="E110" s="105"/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</row>
    <row r="111" spans="1:20">
      <c r="A111" s="224"/>
      <c r="B111" s="105"/>
      <c r="C111" s="105"/>
      <c r="D111" s="105"/>
      <c r="E111" s="105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</row>
    <row r="112" spans="1:20">
      <c r="A112" s="224"/>
      <c r="B112" s="105"/>
      <c r="C112" s="105"/>
      <c r="D112" s="105"/>
      <c r="E112" s="105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</row>
    <row r="113" spans="1:20">
      <c r="A113" s="224"/>
      <c r="B113" s="105"/>
      <c r="C113" s="105"/>
      <c r="D113" s="105"/>
      <c r="E113" s="105"/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</row>
    <row r="114" spans="1:20">
      <c r="A114" s="224"/>
      <c r="B114" s="105"/>
      <c r="C114" s="105"/>
      <c r="D114" s="105"/>
      <c r="E114" s="105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</row>
    <row r="115" spans="1:20">
      <c r="A115" s="224"/>
      <c r="B115" s="105"/>
      <c r="C115" s="105"/>
      <c r="D115" s="105"/>
      <c r="E115" s="105"/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</row>
    <row r="116" spans="1:20">
      <c r="A116" s="224"/>
      <c r="B116" s="105"/>
      <c r="C116" s="105"/>
      <c r="D116" s="105"/>
      <c r="E116" s="105"/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</row>
    <row r="117" spans="1:20" s="105" customFormat="1" ht="10.199999999999999">
      <c r="A117" s="224"/>
    </row>
    <row r="118" spans="1:20" s="105" customFormat="1" ht="10.199999999999999">
      <c r="A118" s="224"/>
    </row>
    <row r="119" spans="1:20" s="105" customFormat="1" ht="10.199999999999999">
      <c r="A119" s="224"/>
    </row>
    <row r="120" spans="1:20" s="105" customFormat="1" ht="10.199999999999999">
      <c r="A120" s="224"/>
    </row>
    <row r="121" spans="1:20" s="105" customFormat="1" ht="10.199999999999999">
      <c r="A121" s="224"/>
    </row>
    <row r="122" spans="1:20" s="105" customFormat="1" ht="10.199999999999999">
      <c r="A122" s="224"/>
    </row>
    <row r="123" spans="1:20" s="105" customFormat="1" ht="10.199999999999999">
      <c r="A123" s="224"/>
    </row>
    <row r="124" spans="1:20" s="105" customFormat="1" ht="10.199999999999999">
      <c r="A124" s="224"/>
    </row>
    <row r="125" spans="1:20" s="105" customFormat="1" ht="10.199999999999999">
      <c r="A125" s="224"/>
    </row>
    <row r="126" spans="1:20" s="105" customFormat="1" ht="10.199999999999999">
      <c r="A126" s="224"/>
    </row>
    <row r="127" spans="1:20" s="105" customFormat="1" ht="10.199999999999999">
      <c r="A127" s="224"/>
    </row>
    <row r="128" spans="1:20" s="105" customFormat="1">
      <c r="A128" s="227"/>
      <c r="B128" s="221"/>
      <c r="C128" s="221"/>
      <c r="D128" s="221"/>
      <c r="E128" s="221"/>
    </row>
    <row r="129" spans="1:5" s="105" customFormat="1">
      <c r="A129" s="227"/>
      <c r="B129" s="221"/>
      <c r="C129" s="221"/>
      <c r="D129" s="221"/>
      <c r="E129" s="221"/>
    </row>
  </sheetData>
  <mergeCells count="8">
    <mergeCell ref="A25:B25"/>
    <mergeCell ref="A43:B43"/>
    <mergeCell ref="A45:E45"/>
    <mergeCell ref="A49:E49"/>
    <mergeCell ref="A2:B2"/>
    <mergeCell ref="A27:E27"/>
    <mergeCell ref="A28:B28"/>
    <mergeCell ref="D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Header>&amp;C&amp;"Times New Roman,Félkövér"&amp;12Martonvásár Város Önkormányzat 
2016. évi költségvetésének pénzügyi mérlege&amp;R&amp;"Times New Roman,Normál" 1.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R87"/>
  <sheetViews>
    <sheetView zoomScalePageLayoutView="70" workbookViewId="0">
      <selection activeCell="G3" sqref="G3:I3"/>
    </sheetView>
  </sheetViews>
  <sheetFormatPr defaultColWidth="8.6640625" defaultRowHeight="14.4"/>
  <cols>
    <col min="1" max="1" width="7.109375" style="306" customWidth="1"/>
    <col min="2" max="2" width="7.109375" style="307" customWidth="1"/>
    <col min="3" max="3" width="22.33203125" style="307" customWidth="1"/>
    <col min="4" max="4" width="7.6640625" style="308" customWidth="1"/>
    <col min="5" max="5" width="7.109375" style="308" customWidth="1"/>
    <col min="6" max="7" width="7.6640625" style="308" customWidth="1"/>
    <col min="8" max="8" width="6.44140625" style="308" customWidth="1"/>
    <col min="9" max="9" width="9.6640625" style="308" customWidth="1"/>
    <col min="10" max="10" width="6.88671875" style="308" customWidth="1"/>
    <col min="11" max="11" width="7.6640625" style="308" customWidth="1"/>
    <col min="12" max="12" width="7.33203125" style="308" customWidth="1"/>
    <col min="13" max="13" width="7" style="308" customWidth="1"/>
    <col min="14" max="14" width="6.5546875" style="308" customWidth="1"/>
    <col min="15" max="15" width="7" style="308" customWidth="1"/>
    <col min="16" max="16" width="7.44140625" style="308" customWidth="1"/>
    <col min="17" max="17" width="7.33203125" style="308" customWidth="1"/>
    <col min="18" max="18" width="7" style="308" customWidth="1"/>
    <col min="19" max="16384" width="8.6640625" style="271"/>
  </cols>
  <sheetData>
    <row r="1" spans="1:18">
      <c r="A1" s="272"/>
      <c r="B1" s="273"/>
      <c r="C1" s="273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1115" t="s">
        <v>1073</v>
      </c>
      <c r="Q1" s="1115"/>
      <c r="R1" s="1115"/>
    </row>
    <row r="2" spans="1:18" ht="42" customHeight="1">
      <c r="A2" s="1132" t="s">
        <v>0</v>
      </c>
      <c r="B2" s="1126" t="s">
        <v>183</v>
      </c>
      <c r="C2" s="1127"/>
      <c r="D2" s="1120" t="s">
        <v>181</v>
      </c>
      <c r="E2" s="1121"/>
      <c r="F2" s="1122"/>
      <c r="G2" s="1109" t="s">
        <v>297</v>
      </c>
      <c r="H2" s="1110"/>
      <c r="I2" s="1111"/>
      <c r="J2" s="1109" t="s">
        <v>298</v>
      </c>
      <c r="K2" s="1110"/>
      <c r="L2" s="1111"/>
      <c r="M2" s="1109" t="s">
        <v>299</v>
      </c>
      <c r="N2" s="1110"/>
      <c r="O2" s="1111"/>
      <c r="P2" s="1109" t="s">
        <v>300</v>
      </c>
      <c r="Q2" s="1110"/>
      <c r="R2" s="1111"/>
    </row>
    <row r="3" spans="1:18" ht="15" customHeight="1">
      <c r="A3" s="1133"/>
      <c r="B3" s="1128"/>
      <c r="C3" s="1129"/>
      <c r="D3" s="1123"/>
      <c r="E3" s="1124"/>
      <c r="F3" s="1125"/>
      <c r="G3" s="1109" t="s">
        <v>190</v>
      </c>
      <c r="H3" s="1110"/>
      <c r="I3" s="1111"/>
      <c r="J3" s="1109" t="s">
        <v>190</v>
      </c>
      <c r="K3" s="1110"/>
      <c r="L3" s="1111"/>
      <c r="M3" s="1109" t="s">
        <v>190</v>
      </c>
      <c r="N3" s="1110"/>
      <c r="O3" s="1111"/>
      <c r="P3" s="1109" t="s">
        <v>190</v>
      </c>
      <c r="Q3" s="1110"/>
      <c r="R3" s="1111"/>
    </row>
    <row r="4" spans="1:18" s="275" customFormat="1" ht="30" customHeight="1">
      <c r="A4" s="1134"/>
      <c r="B4" s="1130"/>
      <c r="C4" s="1131"/>
      <c r="D4" s="850" t="s">
        <v>178</v>
      </c>
      <c r="E4" s="850" t="s">
        <v>750</v>
      </c>
      <c r="F4" s="850" t="s">
        <v>752</v>
      </c>
      <c r="G4" s="850" t="s">
        <v>178</v>
      </c>
      <c r="H4" s="850" t="s">
        <v>750</v>
      </c>
      <c r="I4" s="850" t="s">
        <v>752</v>
      </c>
      <c r="J4" s="850" t="s">
        <v>178</v>
      </c>
      <c r="K4" s="850" t="s">
        <v>750</v>
      </c>
      <c r="L4" s="850" t="s">
        <v>752</v>
      </c>
      <c r="M4" s="850" t="s">
        <v>178</v>
      </c>
      <c r="N4" s="850" t="s">
        <v>750</v>
      </c>
      <c r="O4" s="850" t="s">
        <v>752</v>
      </c>
      <c r="P4" s="850" t="s">
        <v>178</v>
      </c>
      <c r="Q4" s="850" t="s">
        <v>750</v>
      </c>
      <c r="R4" s="850" t="s">
        <v>752</v>
      </c>
    </row>
    <row r="5" spans="1:18" ht="15" customHeight="1">
      <c r="A5" s="276" t="s">
        <v>2</v>
      </c>
      <c r="B5" s="1116" t="s">
        <v>1</v>
      </c>
      <c r="C5" s="1117"/>
      <c r="D5" s="336">
        <f>+G5+J5+M5+P5</f>
        <v>13851</v>
      </c>
      <c r="E5" s="336">
        <f t="shared" ref="E5:F18" si="0">+H5+K5+N5+Q5</f>
        <v>-14</v>
      </c>
      <c r="F5" s="336">
        <f t="shared" si="0"/>
        <v>13837</v>
      </c>
      <c r="G5" s="336">
        <v>6781</v>
      </c>
      <c r="H5" s="336"/>
      <c r="I5" s="336">
        <f>+G5+H5</f>
        <v>6781</v>
      </c>
      <c r="J5" s="336">
        <v>3822</v>
      </c>
      <c r="K5" s="336"/>
      <c r="L5" s="336">
        <f>+J5+K5</f>
        <v>3822</v>
      </c>
      <c r="M5" s="336">
        <v>1737</v>
      </c>
      <c r="N5" s="336">
        <v>-5</v>
      </c>
      <c r="O5" s="336">
        <f>+M5+N5</f>
        <v>1732</v>
      </c>
      <c r="P5" s="336">
        <v>1511</v>
      </c>
      <c r="Q5" s="336">
        <v>-9</v>
      </c>
      <c r="R5" s="336">
        <f>+P5+Q5</f>
        <v>1502</v>
      </c>
    </row>
    <row r="6" spans="1:18" ht="15" customHeight="1">
      <c r="A6" s="276" t="s">
        <v>4</v>
      </c>
      <c r="B6" s="1116" t="s">
        <v>3</v>
      </c>
      <c r="C6" s="1117"/>
      <c r="D6" s="336">
        <f t="shared" ref="D6:D18" si="1">+G6+J6+M6+P6</f>
        <v>0</v>
      </c>
      <c r="E6" s="336">
        <f t="shared" si="0"/>
        <v>0</v>
      </c>
      <c r="F6" s="336">
        <f t="shared" si="0"/>
        <v>0</v>
      </c>
      <c r="G6" s="336"/>
      <c r="H6" s="336"/>
      <c r="I6" s="336"/>
      <c r="J6" s="336"/>
      <c r="K6" s="336"/>
      <c r="L6" s="336"/>
      <c r="M6" s="336"/>
      <c r="N6" s="336"/>
      <c r="O6" s="336"/>
      <c r="P6" s="336"/>
      <c r="Q6" s="336"/>
      <c r="R6" s="336"/>
    </row>
    <row r="7" spans="1:18" ht="15" customHeight="1">
      <c r="A7" s="276" t="s">
        <v>6</v>
      </c>
      <c r="B7" s="1116" t="s">
        <v>5</v>
      </c>
      <c r="C7" s="1117"/>
      <c r="D7" s="336">
        <f t="shared" si="1"/>
        <v>0</v>
      </c>
      <c r="E7" s="336">
        <f t="shared" si="0"/>
        <v>0</v>
      </c>
      <c r="F7" s="336">
        <f t="shared" si="0"/>
        <v>0</v>
      </c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</row>
    <row r="8" spans="1:18" ht="15" customHeight="1">
      <c r="A8" s="276" t="s">
        <v>8</v>
      </c>
      <c r="B8" s="1116" t="s">
        <v>7</v>
      </c>
      <c r="C8" s="1117"/>
      <c r="D8" s="336">
        <f t="shared" si="1"/>
        <v>0</v>
      </c>
      <c r="E8" s="336">
        <f t="shared" si="0"/>
        <v>0</v>
      </c>
      <c r="F8" s="336">
        <f t="shared" si="0"/>
        <v>0</v>
      </c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</row>
    <row r="9" spans="1:18" ht="15" customHeight="1">
      <c r="A9" s="276" t="s">
        <v>10</v>
      </c>
      <c r="B9" s="1116" t="s">
        <v>9</v>
      </c>
      <c r="C9" s="1117"/>
      <c r="D9" s="336">
        <f t="shared" si="1"/>
        <v>0</v>
      </c>
      <c r="E9" s="336">
        <f t="shared" si="0"/>
        <v>0</v>
      </c>
      <c r="F9" s="336">
        <f t="shared" si="0"/>
        <v>0</v>
      </c>
      <c r="G9" s="336"/>
      <c r="H9" s="336"/>
      <c r="I9" s="336"/>
      <c r="J9" s="336"/>
      <c r="K9" s="336"/>
      <c r="L9" s="336"/>
      <c r="M9" s="336"/>
      <c r="N9" s="336"/>
      <c r="O9" s="336"/>
      <c r="P9" s="336"/>
      <c r="Q9" s="336"/>
      <c r="R9" s="336"/>
    </row>
    <row r="10" spans="1:18" ht="15" customHeight="1">
      <c r="A10" s="276" t="s">
        <v>12</v>
      </c>
      <c r="B10" s="1116" t="s">
        <v>11</v>
      </c>
      <c r="C10" s="1117"/>
      <c r="D10" s="336">
        <f t="shared" si="1"/>
        <v>0</v>
      </c>
      <c r="E10" s="336">
        <f t="shared" si="0"/>
        <v>0</v>
      </c>
      <c r="F10" s="336">
        <f t="shared" si="0"/>
        <v>0</v>
      </c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</row>
    <row r="11" spans="1:18" ht="15" customHeight="1">
      <c r="A11" s="276" t="s">
        <v>14</v>
      </c>
      <c r="B11" s="1116" t="s">
        <v>13</v>
      </c>
      <c r="C11" s="1117"/>
      <c r="D11" s="336">
        <f t="shared" si="1"/>
        <v>360</v>
      </c>
      <c r="E11" s="336">
        <f t="shared" si="0"/>
        <v>0</v>
      </c>
      <c r="F11" s="336">
        <f t="shared" si="0"/>
        <v>360</v>
      </c>
      <c r="G11" s="336">
        <v>180</v>
      </c>
      <c r="H11" s="336"/>
      <c r="I11" s="336">
        <f>+G11+H11</f>
        <v>180</v>
      </c>
      <c r="J11" s="336">
        <v>120</v>
      </c>
      <c r="K11" s="336"/>
      <c r="L11" s="336">
        <f>+J11+K11</f>
        <v>120</v>
      </c>
      <c r="M11" s="336">
        <v>0</v>
      </c>
      <c r="N11" s="336"/>
      <c r="O11" s="336"/>
      <c r="P11" s="336">
        <v>60</v>
      </c>
      <c r="Q11" s="336"/>
      <c r="R11" s="336">
        <f>+P11+Q11</f>
        <v>60</v>
      </c>
    </row>
    <row r="12" spans="1:18" ht="15" customHeight="1">
      <c r="A12" s="276" t="s">
        <v>16</v>
      </c>
      <c r="B12" s="1116" t="s">
        <v>15</v>
      </c>
      <c r="C12" s="1117"/>
      <c r="D12" s="336">
        <f t="shared" si="1"/>
        <v>0</v>
      </c>
      <c r="E12" s="336">
        <f t="shared" si="0"/>
        <v>0</v>
      </c>
      <c r="F12" s="336">
        <f t="shared" si="0"/>
        <v>0</v>
      </c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>
        <f t="shared" ref="R12:R17" si="2">+P12+Q12</f>
        <v>0</v>
      </c>
    </row>
    <row r="13" spans="1:18" ht="15" customHeight="1">
      <c r="A13" s="276" t="s">
        <v>18</v>
      </c>
      <c r="B13" s="1116" t="s">
        <v>17</v>
      </c>
      <c r="C13" s="1117"/>
      <c r="D13" s="336">
        <f t="shared" si="1"/>
        <v>318</v>
      </c>
      <c r="E13" s="336">
        <f t="shared" si="0"/>
        <v>0</v>
      </c>
      <c r="F13" s="336">
        <f t="shared" si="0"/>
        <v>318</v>
      </c>
      <c r="G13" s="336">
        <v>91</v>
      </c>
      <c r="H13" s="336"/>
      <c r="I13" s="336">
        <f>+G13+H13</f>
        <v>91</v>
      </c>
      <c r="J13" s="336"/>
      <c r="K13" s="336"/>
      <c r="L13" s="336"/>
      <c r="M13" s="336">
        <v>227</v>
      </c>
      <c r="N13" s="336"/>
      <c r="O13" s="336">
        <f>+M13+N13</f>
        <v>227</v>
      </c>
      <c r="P13" s="336"/>
      <c r="Q13" s="336"/>
      <c r="R13" s="336">
        <f t="shared" si="2"/>
        <v>0</v>
      </c>
    </row>
    <row r="14" spans="1:18" ht="15" customHeight="1">
      <c r="A14" s="276" t="s">
        <v>20</v>
      </c>
      <c r="B14" s="1116" t="s">
        <v>19</v>
      </c>
      <c r="C14" s="1117"/>
      <c r="D14" s="336">
        <f t="shared" si="1"/>
        <v>0</v>
      </c>
      <c r="E14" s="336">
        <f t="shared" si="0"/>
        <v>0</v>
      </c>
      <c r="F14" s="336">
        <f t="shared" si="0"/>
        <v>0</v>
      </c>
      <c r="G14" s="336"/>
      <c r="H14" s="336"/>
      <c r="I14" s="336"/>
      <c r="J14" s="336"/>
      <c r="K14" s="336"/>
      <c r="L14" s="336"/>
      <c r="M14" s="336"/>
      <c r="N14" s="336"/>
      <c r="O14" s="336">
        <f t="shared" ref="O14:O17" si="3">+M14+N14</f>
        <v>0</v>
      </c>
      <c r="P14" s="336"/>
      <c r="Q14" s="336"/>
      <c r="R14" s="336">
        <f t="shared" si="2"/>
        <v>0</v>
      </c>
    </row>
    <row r="15" spans="1:18" ht="15" customHeight="1">
      <c r="A15" s="276" t="s">
        <v>22</v>
      </c>
      <c r="B15" s="1116" t="s">
        <v>21</v>
      </c>
      <c r="C15" s="1117"/>
      <c r="D15" s="336">
        <f t="shared" si="1"/>
        <v>733</v>
      </c>
      <c r="E15" s="336">
        <f t="shared" si="0"/>
        <v>0</v>
      </c>
      <c r="F15" s="336">
        <f t="shared" si="0"/>
        <v>733</v>
      </c>
      <c r="G15" s="336">
        <v>733</v>
      </c>
      <c r="H15" s="336"/>
      <c r="I15" s="336">
        <f>+G15+H15</f>
        <v>733</v>
      </c>
      <c r="J15" s="336"/>
      <c r="K15" s="336"/>
      <c r="L15" s="336"/>
      <c r="M15" s="336"/>
      <c r="N15" s="336"/>
      <c r="O15" s="336">
        <f t="shared" si="3"/>
        <v>0</v>
      </c>
      <c r="P15" s="336"/>
      <c r="Q15" s="336"/>
      <c r="R15" s="336">
        <f t="shared" si="2"/>
        <v>0</v>
      </c>
    </row>
    <row r="16" spans="1:18" ht="15" customHeight="1">
      <c r="A16" s="276" t="s">
        <v>24</v>
      </c>
      <c r="B16" s="1116" t="s">
        <v>23</v>
      </c>
      <c r="C16" s="1117"/>
      <c r="D16" s="336">
        <f t="shared" si="1"/>
        <v>0</v>
      </c>
      <c r="E16" s="336">
        <f t="shared" si="0"/>
        <v>0</v>
      </c>
      <c r="F16" s="336">
        <f t="shared" si="0"/>
        <v>0</v>
      </c>
      <c r="G16" s="336"/>
      <c r="H16" s="336"/>
      <c r="I16" s="336"/>
      <c r="J16" s="336"/>
      <c r="K16" s="336"/>
      <c r="L16" s="336"/>
      <c r="M16" s="336"/>
      <c r="N16" s="336"/>
      <c r="O16" s="336">
        <f t="shared" si="3"/>
        <v>0</v>
      </c>
      <c r="P16" s="336"/>
      <c r="Q16" s="336"/>
      <c r="R16" s="336">
        <f t="shared" si="2"/>
        <v>0</v>
      </c>
    </row>
    <row r="17" spans="1:18" ht="15" customHeight="1">
      <c r="A17" s="276" t="s">
        <v>25</v>
      </c>
      <c r="B17" s="1116" t="s">
        <v>176</v>
      </c>
      <c r="C17" s="1117"/>
      <c r="D17" s="336">
        <f t="shared" si="1"/>
        <v>0</v>
      </c>
      <c r="E17" s="336">
        <f t="shared" si="0"/>
        <v>31</v>
      </c>
      <c r="F17" s="336">
        <f t="shared" si="0"/>
        <v>31</v>
      </c>
      <c r="G17" s="336"/>
      <c r="H17" s="336"/>
      <c r="I17" s="336"/>
      <c r="J17" s="336"/>
      <c r="K17" s="336">
        <v>17</v>
      </c>
      <c r="L17" s="336">
        <f>SUM(K17)</f>
        <v>17</v>
      </c>
      <c r="M17" s="336"/>
      <c r="N17" s="336">
        <v>5</v>
      </c>
      <c r="O17" s="336">
        <f t="shared" si="3"/>
        <v>5</v>
      </c>
      <c r="P17" s="336"/>
      <c r="Q17" s="336">
        <v>9</v>
      </c>
      <c r="R17" s="336">
        <f t="shared" si="2"/>
        <v>9</v>
      </c>
    </row>
    <row r="18" spans="1:18" ht="15" customHeight="1">
      <c r="A18" s="276" t="s">
        <v>25</v>
      </c>
      <c r="B18" s="1116" t="s">
        <v>26</v>
      </c>
      <c r="C18" s="1117"/>
      <c r="D18" s="336">
        <f t="shared" si="1"/>
        <v>0</v>
      </c>
      <c r="E18" s="336">
        <f t="shared" si="0"/>
        <v>0</v>
      </c>
      <c r="F18" s="336">
        <f t="shared" si="0"/>
        <v>0</v>
      </c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</row>
    <row r="19" spans="1:18" s="340" customFormat="1" ht="15" customHeight="1">
      <c r="A19" s="337" t="s">
        <v>27</v>
      </c>
      <c r="B19" s="1118" t="s">
        <v>446</v>
      </c>
      <c r="C19" s="1119"/>
      <c r="D19" s="338">
        <f>SUM(D5:D18)</f>
        <v>15262</v>
      </c>
      <c r="E19" s="338">
        <f t="shared" ref="E19:R19" si="4">SUM(E5:E18)</f>
        <v>17</v>
      </c>
      <c r="F19" s="338">
        <f t="shared" si="4"/>
        <v>15279</v>
      </c>
      <c r="G19" s="338">
        <f t="shared" si="4"/>
        <v>7785</v>
      </c>
      <c r="H19" s="338">
        <f t="shared" si="4"/>
        <v>0</v>
      </c>
      <c r="I19" s="338">
        <f t="shared" si="4"/>
        <v>7785</v>
      </c>
      <c r="J19" s="338">
        <f t="shared" si="4"/>
        <v>3942</v>
      </c>
      <c r="K19" s="338">
        <f t="shared" si="4"/>
        <v>17</v>
      </c>
      <c r="L19" s="338">
        <f t="shared" si="4"/>
        <v>3959</v>
      </c>
      <c r="M19" s="338">
        <f t="shared" si="4"/>
        <v>1964</v>
      </c>
      <c r="N19" s="338">
        <f t="shared" si="4"/>
        <v>0</v>
      </c>
      <c r="O19" s="338">
        <f t="shared" si="4"/>
        <v>1964</v>
      </c>
      <c r="P19" s="338">
        <f t="shared" si="4"/>
        <v>1571</v>
      </c>
      <c r="Q19" s="338">
        <f t="shared" si="4"/>
        <v>0</v>
      </c>
      <c r="R19" s="338">
        <f t="shared" si="4"/>
        <v>1571</v>
      </c>
    </row>
    <row r="20" spans="1:18" ht="15" customHeight="1">
      <c r="A20" s="276" t="s">
        <v>29</v>
      </c>
      <c r="B20" s="1116" t="s">
        <v>28</v>
      </c>
      <c r="C20" s="1117"/>
      <c r="D20" s="336">
        <f>+G20+J20+M20+P20</f>
        <v>0</v>
      </c>
      <c r="E20" s="336">
        <f t="shared" ref="E20:F22" si="5">+H20+K20+N20+Q20</f>
        <v>0</v>
      </c>
      <c r="F20" s="336">
        <f t="shared" si="5"/>
        <v>0</v>
      </c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</row>
    <row r="21" spans="1:18" ht="23.25" customHeight="1">
      <c r="A21" s="276" t="s">
        <v>31</v>
      </c>
      <c r="B21" s="1116" t="s">
        <v>30</v>
      </c>
      <c r="C21" s="1117"/>
      <c r="D21" s="336">
        <f t="shared" ref="D21:D22" si="6">+G21+J21+M21+P21</f>
        <v>1600</v>
      </c>
      <c r="E21" s="336">
        <f t="shared" si="5"/>
        <v>0</v>
      </c>
      <c r="F21" s="336">
        <f t="shared" si="5"/>
        <v>1600</v>
      </c>
      <c r="G21" s="336">
        <v>1600</v>
      </c>
      <c r="H21" s="336"/>
      <c r="I21" s="336">
        <f>+G21+H21</f>
        <v>1600</v>
      </c>
      <c r="J21" s="336"/>
      <c r="K21" s="336"/>
      <c r="L21" s="336"/>
      <c r="M21" s="336"/>
      <c r="N21" s="336"/>
      <c r="O21" s="336"/>
      <c r="P21" s="336"/>
      <c r="Q21" s="336"/>
      <c r="R21" s="336"/>
    </row>
    <row r="22" spans="1:18" ht="15" customHeight="1">
      <c r="A22" s="276" t="s">
        <v>33</v>
      </c>
      <c r="B22" s="1116" t="s">
        <v>32</v>
      </c>
      <c r="C22" s="1117"/>
      <c r="D22" s="336">
        <f t="shared" si="6"/>
        <v>0</v>
      </c>
      <c r="E22" s="336">
        <f t="shared" si="5"/>
        <v>20</v>
      </c>
      <c r="F22" s="336">
        <f t="shared" si="5"/>
        <v>20</v>
      </c>
      <c r="G22" s="336"/>
      <c r="H22" s="336">
        <v>18</v>
      </c>
      <c r="I22" s="336">
        <f>+G22+H22</f>
        <v>18</v>
      </c>
      <c r="J22" s="336"/>
      <c r="K22" s="336">
        <v>2</v>
      </c>
      <c r="L22" s="336">
        <f>SUM(K22)</f>
        <v>2</v>
      </c>
      <c r="M22" s="336"/>
      <c r="N22" s="336"/>
      <c r="O22" s="336"/>
      <c r="P22" s="336"/>
      <c r="Q22" s="336"/>
      <c r="R22" s="336"/>
    </row>
    <row r="23" spans="1:18" s="340" customFormat="1" ht="15" customHeight="1">
      <c r="A23" s="337" t="s">
        <v>34</v>
      </c>
      <c r="B23" s="1118" t="s">
        <v>447</v>
      </c>
      <c r="C23" s="1119"/>
      <c r="D23" s="338">
        <f>+D22+D21+D20</f>
        <v>1600</v>
      </c>
      <c r="E23" s="338">
        <f t="shared" ref="E23:F23" si="7">+E22+E21+E20</f>
        <v>20</v>
      </c>
      <c r="F23" s="338">
        <f t="shared" si="7"/>
        <v>1620</v>
      </c>
      <c r="G23" s="338">
        <f t="shared" ref="G23:R23" si="8">SUM(G20:G22)</f>
        <v>1600</v>
      </c>
      <c r="H23" s="338">
        <f t="shared" si="8"/>
        <v>18</v>
      </c>
      <c r="I23" s="338">
        <f t="shared" si="8"/>
        <v>1618</v>
      </c>
      <c r="J23" s="338">
        <f t="shared" si="8"/>
        <v>0</v>
      </c>
      <c r="K23" s="338">
        <f t="shared" si="8"/>
        <v>2</v>
      </c>
      <c r="L23" s="338">
        <f t="shared" si="8"/>
        <v>2</v>
      </c>
      <c r="M23" s="338">
        <f t="shared" si="8"/>
        <v>0</v>
      </c>
      <c r="N23" s="338">
        <f t="shared" si="8"/>
        <v>0</v>
      </c>
      <c r="O23" s="338">
        <f t="shared" si="8"/>
        <v>0</v>
      </c>
      <c r="P23" s="338">
        <f t="shared" si="8"/>
        <v>0</v>
      </c>
      <c r="Q23" s="338">
        <f t="shared" si="8"/>
        <v>0</v>
      </c>
      <c r="R23" s="338">
        <f t="shared" si="8"/>
        <v>0</v>
      </c>
    </row>
    <row r="24" spans="1:18" s="340" customFormat="1" ht="15" customHeight="1">
      <c r="A24" s="337" t="s">
        <v>35</v>
      </c>
      <c r="B24" s="1118" t="s">
        <v>448</v>
      </c>
      <c r="C24" s="1119"/>
      <c r="D24" s="338">
        <f>+D23+D19</f>
        <v>16862</v>
      </c>
      <c r="E24" s="338">
        <f t="shared" ref="E24:R24" si="9">+E23+E19</f>
        <v>37</v>
      </c>
      <c r="F24" s="338">
        <f t="shared" si="9"/>
        <v>16899</v>
      </c>
      <c r="G24" s="338">
        <f t="shared" si="9"/>
        <v>9385</v>
      </c>
      <c r="H24" s="338">
        <f t="shared" si="9"/>
        <v>18</v>
      </c>
      <c r="I24" s="338">
        <f t="shared" si="9"/>
        <v>9403</v>
      </c>
      <c r="J24" s="338">
        <f t="shared" si="9"/>
        <v>3942</v>
      </c>
      <c r="K24" s="338">
        <f t="shared" si="9"/>
        <v>19</v>
      </c>
      <c r="L24" s="338">
        <f t="shared" si="9"/>
        <v>3961</v>
      </c>
      <c r="M24" s="338">
        <f t="shared" si="9"/>
        <v>1964</v>
      </c>
      <c r="N24" s="338">
        <f t="shared" si="9"/>
        <v>0</v>
      </c>
      <c r="O24" s="338">
        <f t="shared" si="9"/>
        <v>1964</v>
      </c>
      <c r="P24" s="338">
        <f t="shared" si="9"/>
        <v>1571</v>
      </c>
      <c r="Q24" s="338">
        <f t="shared" si="9"/>
        <v>0</v>
      </c>
      <c r="R24" s="338">
        <f t="shared" si="9"/>
        <v>1571</v>
      </c>
    </row>
    <row r="25" spans="1:18">
      <c r="A25" s="277"/>
      <c r="B25" s="849"/>
      <c r="C25" s="849"/>
      <c r="D25" s="278"/>
      <c r="E25" s="278"/>
      <c r="F25" s="278"/>
      <c r="G25" s="280"/>
      <c r="H25" s="278"/>
      <c r="I25" s="279"/>
      <c r="J25" s="280"/>
      <c r="K25" s="278"/>
      <c r="L25" s="279"/>
      <c r="M25" s="280"/>
      <c r="N25" s="278"/>
      <c r="O25" s="279"/>
      <c r="P25" s="280"/>
      <c r="Q25" s="278"/>
      <c r="R25" s="279"/>
    </row>
    <row r="26" spans="1:18" s="340" customFormat="1" ht="15" customHeight="1">
      <c r="A26" s="337" t="s">
        <v>36</v>
      </c>
      <c r="B26" s="1118" t="s">
        <v>449</v>
      </c>
      <c r="C26" s="1119"/>
      <c r="D26" s="338">
        <f>+G26+J26+M26+P26</f>
        <v>4494</v>
      </c>
      <c r="E26" s="338">
        <f t="shared" ref="E26:F31" si="10">+H26+K26+N26+Q26</f>
        <v>5</v>
      </c>
      <c r="F26" s="338">
        <f t="shared" si="10"/>
        <v>4499</v>
      </c>
      <c r="G26" s="338">
        <f t="shared" ref="G26:R26" si="11">SUM(G27:G31)</f>
        <v>2523</v>
      </c>
      <c r="H26" s="338">
        <f t="shared" si="11"/>
        <v>0</v>
      </c>
      <c r="I26" s="338">
        <f t="shared" si="11"/>
        <v>2523</v>
      </c>
      <c r="J26" s="338">
        <f t="shared" si="11"/>
        <v>1073</v>
      </c>
      <c r="K26" s="338">
        <f t="shared" si="11"/>
        <v>5</v>
      </c>
      <c r="L26" s="338">
        <f t="shared" si="11"/>
        <v>1078</v>
      </c>
      <c r="M26" s="338">
        <f t="shared" si="11"/>
        <v>469</v>
      </c>
      <c r="N26" s="338">
        <f t="shared" si="11"/>
        <v>0</v>
      </c>
      <c r="O26" s="338">
        <f t="shared" si="11"/>
        <v>469</v>
      </c>
      <c r="P26" s="338">
        <f t="shared" si="11"/>
        <v>429</v>
      </c>
      <c r="Q26" s="338">
        <f t="shared" si="11"/>
        <v>0</v>
      </c>
      <c r="R26" s="338">
        <f t="shared" si="11"/>
        <v>429</v>
      </c>
    </row>
    <row r="27" spans="1:18" ht="25.5" customHeight="1">
      <c r="A27" s="281" t="s">
        <v>36</v>
      </c>
      <c r="B27" s="282"/>
      <c r="C27" s="283" t="s">
        <v>37</v>
      </c>
      <c r="D27" s="336">
        <f>+G27+J27+M27+P27</f>
        <v>4370</v>
      </c>
      <c r="E27" s="336">
        <f t="shared" si="10"/>
        <v>5</v>
      </c>
      <c r="F27" s="336">
        <f t="shared" si="10"/>
        <v>4375</v>
      </c>
      <c r="G27" s="336">
        <v>2461</v>
      </c>
      <c r="H27" s="336"/>
      <c r="I27" s="336">
        <f>+G27+H27</f>
        <v>2461</v>
      </c>
      <c r="J27" s="336">
        <v>1032</v>
      </c>
      <c r="K27" s="336">
        <v>5</v>
      </c>
      <c r="L27" s="336">
        <f>+J27+K27</f>
        <v>1037</v>
      </c>
      <c r="M27" s="336">
        <v>469</v>
      </c>
      <c r="N27" s="336"/>
      <c r="O27" s="336">
        <f>+M27+N27</f>
        <v>469</v>
      </c>
      <c r="P27" s="336">
        <v>408</v>
      </c>
      <c r="Q27" s="336"/>
      <c r="R27" s="336">
        <f>+P27+Q27</f>
        <v>408</v>
      </c>
    </row>
    <row r="28" spans="1:18" ht="25.5" customHeight="1">
      <c r="A28" s="281" t="s">
        <v>36</v>
      </c>
      <c r="B28" s="282"/>
      <c r="C28" s="283" t="s">
        <v>38</v>
      </c>
      <c r="D28" s="336">
        <f t="shared" ref="D28:D31" si="12">+G28+J28+M28+P28</f>
        <v>0</v>
      </c>
      <c r="E28" s="336">
        <f t="shared" si="10"/>
        <v>0</v>
      </c>
      <c r="F28" s="336">
        <f t="shared" si="10"/>
        <v>0</v>
      </c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</row>
    <row r="29" spans="1:18" ht="25.5" customHeight="1">
      <c r="A29" s="281" t="s">
        <v>36</v>
      </c>
      <c r="B29" s="282"/>
      <c r="C29" s="283" t="s">
        <v>39</v>
      </c>
      <c r="D29" s="336">
        <f t="shared" si="12"/>
        <v>60</v>
      </c>
      <c r="E29" s="336">
        <f t="shared" si="10"/>
        <v>0</v>
      </c>
      <c r="F29" s="336">
        <f t="shared" si="10"/>
        <v>60</v>
      </c>
      <c r="G29" s="336">
        <v>30</v>
      </c>
      <c r="H29" s="336"/>
      <c r="I29" s="336">
        <f>+G29+H29</f>
        <v>30</v>
      </c>
      <c r="J29" s="336">
        <v>20</v>
      </c>
      <c r="K29" s="336"/>
      <c r="L29" s="336">
        <f>+J29+K29</f>
        <v>20</v>
      </c>
      <c r="M29" s="336"/>
      <c r="N29" s="336"/>
      <c r="O29" s="336"/>
      <c r="P29" s="336">
        <v>10</v>
      </c>
      <c r="Q29" s="336"/>
      <c r="R29" s="336">
        <f>+P29+Q29</f>
        <v>10</v>
      </c>
    </row>
    <row r="30" spans="1:18" ht="25.5" customHeight="1">
      <c r="A30" s="281" t="s">
        <v>36</v>
      </c>
      <c r="B30" s="282"/>
      <c r="C30" s="283" t="s">
        <v>450</v>
      </c>
      <c r="D30" s="336">
        <f t="shared" si="12"/>
        <v>0</v>
      </c>
      <c r="E30" s="336">
        <f t="shared" si="10"/>
        <v>0</v>
      </c>
      <c r="F30" s="336">
        <f t="shared" si="10"/>
        <v>0</v>
      </c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</row>
    <row r="31" spans="1:18" ht="39.6">
      <c r="A31" s="281" t="s">
        <v>36</v>
      </c>
      <c r="B31" s="282"/>
      <c r="C31" s="283" t="s">
        <v>41</v>
      </c>
      <c r="D31" s="336">
        <f t="shared" si="12"/>
        <v>64</v>
      </c>
      <c r="E31" s="336">
        <f t="shared" si="10"/>
        <v>0</v>
      </c>
      <c r="F31" s="336">
        <f t="shared" si="10"/>
        <v>64</v>
      </c>
      <c r="G31" s="336">
        <v>32</v>
      </c>
      <c r="H31" s="336"/>
      <c r="I31" s="336">
        <f>+G31+H31</f>
        <v>32</v>
      </c>
      <c r="J31" s="336">
        <v>21</v>
      </c>
      <c r="K31" s="336"/>
      <c r="L31" s="336">
        <f>+J31+K31</f>
        <v>21</v>
      </c>
      <c r="M31" s="336">
        <v>0</v>
      </c>
      <c r="N31" s="336"/>
      <c r="O31" s="336"/>
      <c r="P31" s="336">
        <v>11</v>
      </c>
      <c r="Q31" s="336"/>
      <c r="R31" s="336">
        <f>+P31+Q31</f>
        <v>11</v>
      </c>
    </row>
    <row r="32" spans="1:18" ht="9.75" customHeight="1">
      <c r="A32" s="284"/>
      <c r="B32" s="285"/>
      <c r="C32" s="286"/>
      <c r="D32" s="287"/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</row>
    <row r="33" spans="1:18" ht="9" customHeight="1">
      <c r="A33" s="288"/>
      <c r="B33" s="289"/>
      <c r="C33" s="290"/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</row>
    <row r="34" spans="1:18" ht="15" customHeight="1">
      <c r="A34" s="276" t="s">
        <v>43</v>
      </c>
      <c r="B34" s="1116" t="s">
        <v>42</v>
      </c>
      <c r="C34" s="1117"/>
      <c r="D34" s="336">
        <f>+G34+J34+M34+P34</f>
        <v>1385</v>
      </c>
      <c r="E34" s="336">
        <f t="shared" ref="E34:F36" si="13">+H34+K34+N34+Q34</f>
        <v>13</v>
      </c>
      <c r="F34" s="336">
        <f t="shared" si="13"/>
        <v>1398</v>
      </c>
      <c r="G34" s="336">
        <v>765</v>
      </c>
      <c r="H34" s="336"/>
      <c r="I34" s="336">
        <f t="shared" ref="I34:I35" si="14">+G34+H34</f>
        <v>765</v>
      </c>
      <c r="J34" s="336"/>
      <c r="K34" s="336">
        <v>13</v>
      </c>
      <c r="L34" s="336">
        <f>SUM(K34)</f>
        <v>13</v>
      </c>
      <c r="M34" s="336"/>
      <c r="N34" s="336"/>
      <c r="O34" s="336"/>
      <c r="P34" s="336">
        <v>620</v>
      </c>
      <c r="Q34" s="336"/>
      <c r="R34" s="336">
        <f>+P34+Q34</f>
        <v>620</v>
      </c>
    </row>
    <row r="35" spans="1:18" ht="15" customHeight="1">
      <c r="A35" s="276" t="s">
        <v>45</v>
      </c>
      <c r="B35" s="1116" t="s">
        <v>44</v>
      </c>
      <c r="C35" s="1117"/>
      <c r="D35" s="336">
        <f t="shared" ref="D35:D36" si="15">+G35+J35+M35+P35</f>
        <v>510</v>
      </c>
      <c r="E35" s="336">
        <f t="shared" si="13"/>
        <v>1147</v>
      </c>
      <c r="F35" s="336">
        <f t="shared" si="13"/>
        <v>1657</v>
      </c>
      <c r="G35" s="336">
        <v>510</v>
      </c>
      <c r="H35" s="336">
        <v>769</v>
      </c>
      <c r="I35" s="336">
        <f t="shared" si="14"/>
        <v>1279</v>
      </c>
      <c r="J35" s="336"/>
      <c r="K35" s="336">
        <v>300</v>
      </c>
      <c r="L35" s="336">
        <f t="shared" ref="L35:L36" si="16">SUM(K35)</f>
        <v>300</v>
      </c>
      <c r="M35" s="336"/>
      <c r="N35" s="336"/>
      <c r="O35" s="336"/>
      <c r="P35" s="336">
        <v>0</v>
      </c>
      <c r="Q35" s="336">
        <v>78</v>
      </c>
      <c r="R35" s="336">
        <f>+P35+Q35</f>
        <v>78</v>
      </c>
    </row>
    <row r="36" spans="1:18" ht="15" customHeight="1">
      <c r="A36" s="276" t="s">
        <v>47</v>
      </c>
      <c r="B36" s="1116" t="s">
        <v>46</v>
      </c>
      <c r="C36" s="1117"/>
      <c r="D36" s="336">
        <f t="shared" si="15"/>
        <v>0</v>
      </c>
      <c r="E36" s="336">
        <f t="shared" si="13"/>
        <v>0</v>
      </c>
      <c r="F36" s="336">
        <f t="shared" si="13"/>
        <v>0</v>
      </c>
      <c r="G36" s="336"/>
      <c r="H36" s="336"/>
      <c r="I36" s="336"/>
      <c r="J36" s="336"/>
      <c r="K36" s="336"/>
      <c r="L36" s="336">
        <f t="shared" si="16"/>
        <v>0</v>
      </c>
      <c r="M36" s="336"/>
      <c r="N36" s="336"/>
      <c r="O36" s="336"/>
      <c r="P36" s="336"/>
      <c r="Q36" s="336"/>
      <c r="R36" s="336"/>
    </row>
    <row r="37" spans="1:18" s="340" customFormat="1" ht="15" customHeight="1">
      <c r="A37" s="337" t="s">
        <v>48</v>
      </c>
      <c r="B37" s="1118" t="s">
        <v>451</v>
      </c>
      <c r="C37" s="1119"/>
      <c r="D37" s="338">
        <f>SUM(D34:D36)</f>
        <v>1895</v>
      </c>
      <c r="E37" s="338">
        <f t="shared" ref="E37:R37" si="17">SUM(E34:E36)</f>
        <v>1160</v>
      </c>
      <c r="F37" s="338">
        <f t="shared" si="17"/>
        <v>3055</v>
      </c>
      <c r="G37" s="338">
        <f t="shared" si="17"/>
        <v>1275</v>
      </c>
      <c r="H37" s="338">
        <f t="shared" si="17"/>
        <v>769</v>
      </c>
      <c r="I37" s="338">
        <f t="shared" si="17"/>
        <v>2044</v>
      </c>
      <c r="J37" s="338">
        <f t="shared" si="17"/>
        <v>0</v>
      </c>
      <c r="K37" s="338">
        <f t="shared" si="17"/>
        <v>313</v>
      </c>
      <c r="L37" s="338">
        <f t="shared" si="17"/>
        <v>313</v>
      </c>
      <c r="M37" s="338">
        <f t="shared" si="17"/>
        <v>0</v>
      </c>
      <c r="N37" s="338">
        <f t="shared" si="17"/>
        <v>0</v>
      </c>
      <c r="O37" s="338">
        <f t="shared" si="17"/>
        <v>0</v>
      </c>
      <c r="P37" s="338">
        <f t="shared" si="17"/>
        <v>620</v>
      </c>
      <c r="Q37" s="338">
        <f t="shared" si="17"/>
        <v>78</v>
      </c>
      <c r="R37" s="338">
        <f t="shared" si="17"/>
        <v>698</v>
      </c>
    </row>
    <row r="38" spans="1:18" ht="15" customHeight="1">
      <c r="A38" s="276" t="s">
        <v>50</v>
      </c>
      <c r="B38" s="1116" t="s">
        <v>49</v>
      </c>
      <c r="C38" s="1117"/>
      <c r="D38" s="336">
        <f>+G38+J38+M38+P38</f>
        <v>210</v>
      </c>
      <c r="E38" s="336">
        <f t="shared" ref="E38:F39" si="18">+H38+K38+N38+Q38</f>
        <v>0</v>
      </c>
      <c r="F38" s="336">
        <f t="shared" si="18"/>
        <v>210</v>
      </c>
      <c r="G38" s="336">
        <v>120</v>
      </c>
      <c r="H38" s="336"/>
      <c r="I38" s="336">
        <f t="shared" ref="I38:I39" si="19">+G38+H38</f>
        <v>120</v>
      </c>
      <c r="J38" s="336"/>
      <c r="K38" s="336"/>
      <c r="L38" s="336"/>
      <c r="M38" s="336"/>
      <c r="N38" s="336"/>
      <c r="O38" s="336"/>
      <c r="P38" s="336">
        <v>90</v>
      </c>
      <c r="Q38" s="336"/>
      <c r="R38" s="336">
        <f t="shared" ref="R38:R39" si="20">+P38+Q38</f>
        <v>90</v>
      </c>
    </row>
    <row r="39" spans="1:18" ht="15" customHeight="1">
      <c r="A39" s="276" t="s">
        <v>52</v>
      </c>
      <c r="B39" s="1116" t="s">
        <v>51</v>
      </c>
      <c r="C39" s="1117"/>
      <c r="D39" s="336">
        <f>+G39+J39+M39+P39</f>
        <v>330</v>
      </c>
      <c r="E39" s="336">
        <f t="shared" si="18"/>
        <v>0</v>
      </c>
      <c r="F39" s="336">
        <f t="shared" si="18"/>
        <v>330</v>
      </c>
      <c r="G39" s="336">
        <v>240</v>
      </c>
      <c r="H39" s="336"/>
      <c r="I39" s="336">
        <f t="shared" si="19"/>
        <v>240</v>
      </c>
      <c r="J39" s="336">
        <v>30</v>
      </c>
      <c r="K39" s="336"/>
      <c r="L39" s="336">
        <f>+J39+K39</f>
        <v>30</v>
      </c>
      <c r="M39" s="336"/>
      <c r="N39" s="336"/>
      <c r="O39" s="336"/>
      <c r="P39" s="336">
        <v>60</v>
      </c>
      <c r="Q39" s="336"/>
      <c r="R39" s="336">
        <f t="shared" si="20"/>
        <v>60</v>
      </c>
    </row>
    <row r="40" spans="1:18" s="340" customFormat="1" ht="15" customHeight="1">
      <c r="A40" s="337" t="s">
        <v>53</v>
      </c>
      <c r="B40" s="1118" t="s">
        <v>452</v>
      </c>
      <c r="C40" s="1119"/>
      <c r="D40" s="338">
        <f>SUM(D38:D39)</f>
        <v>540</v>
      </c>
      <c r="E40" s="338">
        <f t="shared" ref="E40:R40" si="21">SUM(E38:E39)</f>
        <v>0</v>
      </c>
      <c r="F40" s="338">
        <f t="shared" si="21"/>
        <v>540</v>
      </c>
      <c r="G40" s="338">
        <f t="shared" si="21"/>
        <v>360</v>
      </c>
      <c r="H40" s="338">
        <f t="shared" si="21"/>
        <v>0</v>
      </c>
      <c r="I40" s="338">
        <f t="shared" si="21"/>
        <v>360</v>
      </c>
      <c r="J40" s="338">
        <f t="shared" si="21"/>
        <v>30</v>
      </c>
      <c r="K40" s="338">
        <f t="shared" si="21"/>
        <v>0</v>
      </c>
      <c r="L40" s="338">
        <f t="shared" si="21"/>
        <v>30</v>
      </c>
      <c r="M40" s="338">
        <f t="shared" si="21"/>
        <v>0</v>
      </c>
      <c r="N40" s="338">
        <f t="shared" si="21"/>
        <v>0</v>
      </c>
      <c r="O40" s="338">
        <f t="shared" si="21"/>
        <v>0</v>
      </c>
      <c r="P40" s="338">
        <f t="shared" si="21"/>
        <v>150</v>
      </c>
      <c r="Q40" s="338">
        <f t="shared" si="21"/>
        <v>0</v>
      </c>
      <c r="R40" s="338">
        <f t="shared" si="21"/>
        <v>150</v>
      </c>
    </row>
    <row r="41" spans="1:18" ht="15" customHeight="1">
      <c r="A41" s="276" t="s">
        <v>55</v>
      </c>
      <c r="B41" s="1116" t="s">
        <v>54</v>
      </c>
      <c r="C41" s="1117"/>
      <c r="D41" s="336">
        <f>+G41+J41+M41+P41</f>
        <v>0</v>
      </c>
      <c r="E41" s="336">
        <f t="shared" ref="E41:F49" si="22">+H41+K41+N41+Q41</f>
        <v>0</v>
      </c>
      <c r="F41" s="336">
        <f t="shared" si="22"/>
        <v>0</v>
      </c>
      <c r="G41" s="336"/>
      <c r="H41" s="336"/>
      <c r="I41" s="336">
        <f t="shared" ref="I41:I44" si="23">+G41+H41</f>
        <v>0</v>
      </c>
      <c r="J41" s="336"/>
      <c r="K41" s="336"/>
      <c r="L41" s="336"/>
      <c r="M41" s="336"/>
      <c r="N41" s="336"/>
      <c r="O41" s="336"/>
      <c r="P41" s="336"/>
      <c r="Q41" s="336"/>
      <c r="R41" s="336"/>
    </row>
    <row r="42" spans="1:18" ht="15" customHeight="1">
      <c r="A42" s="276" t="s">
        <v>57</v>
      </c>
      <c r="B42" s="1116" t="s">
        <v>56</v>
      </c>
      <c r="C42" s="1117"/>
      <c r="D42" s="336">
        <f t="shared" ref="D42:D49" si="24">+G42+J42+M42+P42</f>
        <v>0</v>
      </c>
      <c r="E42" s="336">
        <f t="shared" si="22"/>
        <v>157</v>
      </c>
      <c r="F42" s="336">
        <f t="shared" si="22"/>
        <v>157</v>
      </c>
      <c r="G42" s="336"/>
      <c r="H42" s="336">
        <v>157</v>
      </c>
      <c r="I42" s="336">
        <f t="shared" si="23"/>
        <v>157</v>
      </c>
      <c r="J42" s="336"/>
      <c r="K42" s="336"/>
      <c r="L42" s="336"/>
      <c r="M42" s="336"/>
      <c r="N42" s="336"/>
      <c r="O42" s="336"/>
      <c r="P42" s="336"/>
      <c r="Q42" s="336"/>
      <c r="R42" s="336"/>
    </row>
    <row r="43" spans="1:18" ht="15" customHeight="1">
      <c r="A43" s="276" t="s">
        <v>58</v>
      </c>
      <c r="B43" s="1116" t="s">
        <v>453</v>
      </c>
      <c r="C43" s="1117"/>
      <c r="D43" s="336">
        <f t="shared" si="24"/>
        <v>440</v>
      </c>
      <c r="E43" s="336">
        <f t="shared" si="22"/>
        <v>0</v>
      </c>
      <c r="F43" s="336">
        <f t="shared" si="22"/>
        <v>440</v>
      </c>
      <c r="G43" s="336">
        <v>440</v>
      </c>
      <c r="H43" s="336"/>
      <c r="I43" s="336">
        <f t="shared" si="23"/>
        <v>440</v>
      </c>
      <c r="J43" s="336"/>
      <c r="K43" s="336"/>
      <c r="L43" s="336"/>
      <c r="M43" s="336"/>
      <c r="N43" s="336"/>
      <c r="O43" s="336"/>
      <c r="P43" s="336"/>
      <c r="Q43" s="336"/>
      <c r="R43" s="336"/>
    </row>
    <row r="44" spans="1:18" ht="15" customHeight="1">
      <c r="A44" s="276" t="s">
        <v>60</v>
      </c>
      <c r="B44" s="1116" t="s">
        <v>59</v>
      </c>
      <c r="C44" s="1117"/>
      <c r="D44" s="336">
        <f t="shared" si="24"/>
        <v>50</v>
      </c>
      <c r="E44" s="336">
        <f t="shared" si="22"/>
        <v>164</v>
      </c>
      <c r="F44" s="336">
        <f t="shared" si="22"/>
        <v>214</v>
      </c>
      <c r="G44" s="336">
        <v>50</v>
      </c>
      <c r="H44" s="336"/>
      <c r="I44" s="336">
        <f t="shared" si="23"/>
        <v>50</v>
      </c>
      <c r="J44" s="336"/>
      <c r="K44" s="336"/>
      <c r="L44" s="336"/>
      <c r="M44" s="336"/>
      <c r="N44" s="336"/>
      <c r="O44" s="336"/>
      <c r="P44" s="336"/>
      <c r="Q44" s="336">
        <v>164</v>
      </c>
      <c r="R44" s="336">
        <f>SUM(Q44)</f>
        <v>164</v>
      </c>
    </row>
    <row r="45" spans="1:18" ht="15" customHeight="1">
      <c r="A45" s="276" t="s">
        <v>61</v>
      </c>
      <c r="B45" s="1116" t="s">
        <v>167</v>
      </c>
      <c r="C45" s="1117"/>
      <c r="D45" s="336">
        <f t="shared" si="24"/>
        <v>0</v>
      </c>
      <c r="E45" s="336">
        <f t="shared" si="22"/>
        <v>40</v>
      </c>
      <c r="F45" s="336">
        <f t="shared" si="22"/>
        <v>40</v>
      </c>
      <c r="G45" s="336"/>
      <c r="H45" s="336">
        <f>H47+H46</f>
        <v>40</v>
      </c>
      <c r="I45" s="336">
        <f>I47+I46</f>
        <v>40</v>
      </c>
      <c r="J45" s="336"/>
      <c r="K45" s="336"/>
      <c r="L45" s="336"/>
      <c r="M45" s="336"/>
      <c r="N45" s="336"/>
      <c r="O45" s="336"/>
      <c r="P45" s="336"/>
      <c r="Q45" s="336"/>
      <c r="R45" s="336"/>
    </row>
    <row r="46" spans="1:18" ht="25.5" customHeight="1">
      <c r="A46" s="281" t="s">
        <v>61</v>
      </c>
      <c r="B46" s="282"/>
      <c r="C46" s="283" t="s">
        <v>62</v>
      </c>
      <c r="D46" s="336">
        <f t="shared" si="24"/>
        <v>0</v>
      </c>
      <c r="E46" s="336">
        <f t="shared" si="22"/>
        <v>0</v>
      </c>
      <c r="F46" s="336">
        <f t="shared" si="22"/>
        <v>0</v>
      </c>
      <c r="G46" s="336"/>
      <c r="H46" s="336"/>
      <c r="I46" s="336"/>
      <c r="J46" s="336"/>
      <c r="K46" s="336"/>
      <c r="L46" s="336"/>
      <c r="M46" s="336"/>
      <c r="N46" s="336"/>
      <c r="O46" s="336"/>
      <c r="P46" s="336"/>
      <c r="Q46" s="336"/>
      <c r="R46" s="336"/>
    </row>
    <row r="47" spans="1:18" ht="25.5" customHeight="1">
      <c r="A47" s="281" t="s">
        <v>61</v>
      </c>
      <c r="B47" s="282"/>
      <c r="C47" s="283" t="s">
        <v>169</v>
      </c>
      <c r="D47" s="336">
        <f t="shared" si="24"/>
        <v>0</v>
      </c>
      <c r="E47" s="336">
        <f t="shared" si="22"/>
        <v>40</v>
      </c>
      <c r="F47" s="336">
        <f t="shared" si="22"/>
        <v>40</v>
      </c>
      <c r="G47" s="336"/>
      <c r="H47" s="336">
        <v>40</v>
      </c>
      <c r="I47" s="336">
        <f>SUM(H47)</f>
        <v>40</v>
      </c>
      <c r="J47" s="336"/>
      <c r="K47" s="336"/>
      <c r="L47" s="336"/>
      <c r="M47" s="336"/>
      <c r="N47" s="336"/>
      <c r="O47" s="336"/>
      <c r="P47" s="336"/>
      <c r="Q47" s="336"/>
      <c r="R47" s="336"/>
    </row>
    <row r="48" spans="1:18" ht="15" customHeight="1">
      <c r="A48" s="276" t="s">
        <v>64</v>
      </c>
      <c r="B48" s="1116" t="s">
        <v>454</v>
      </c>
      <c r="C48" s="1117"/>
      <c r="D48" s="336">
        <f t="shared" si="24"/>
        <v>200</v>
      </c>
      <c r="E48" s="336">
        <f t="shared" si="22"/>
        <v>0</v>
      </c>
      <c r="F48" s="336">
        <f t="shared" si="22"/>
        <v>200</v>
      </c>
      <c r="G48" s="336">
        <v>200</v>
      </c>
      <c r="H48" s="336"/>
      <c r="I48" s="336">
        <f t="shared" ref="I48:I49" si="25">+G48+H48</f>
        <v>200</v>
      </c>
      <c r="J48" s="336"/>
      <c r="K48" s="336"/>
      <c r="L48" s="336"/>
      <c r="M48" s="336"/>
      <c r="N48" s="336"/>
      <c r="O48" s="336"/>
      <c r="P48" s="336"/>
      <c r="Q48" s="336"/>
      <c r="R48" s="336"/>
    </row>
    <row r="49" spans="1:18" ht="15" customHeight="1">
      <c r="A49" s="276" t="s">
        <v>66</v>
      </c>
      <c r="B49" s="1116" t="s">
        <v>455</v>
      </c>
      <c r="C49" s="1117"/>
      <c r="D49" s="336">
        <f t="shared" si="24"/>
        <v>4644</v>
      </c>
      <c r="E49" s="336">
        <f t="shared" si="22"/>
        <v>507</v>
      </c>
      <c r="F49" s="336">
        <f t="shared" si="22"/>
        <v>5151</v>
      </c>
      <c r="G49" s="336">
        <v>3010</v>
      </c>
      <c r="H49" s="336">
        <v>150</v>
      </c>
      <c r="I49" s="336">
        <f t="shared" si="25"/>
        <v>3160</v>
      </c>
      <c r="J49" s="336"/>
      <c r="K49" s="336">
        <v>351</v>
      </c>
      <c r="L49" s="336">
        <f>SUM(K49)</f>
        <v>351</v>
      </c>
      <c r="M49" s="336">
        <f>884+600</f>
        <v>1484</v>
      </c>
      <c r="N49" s="336"/>
      <c r="O49" s="336">
        <f>+M49+N49</f>
        <v>1484</v>
      </c>
      <c r="P49" s="336">
        <v>150</v>
      </c>
      <c r="Q49" s="336">
        <v>6</v>
      </c>
      <c r="R49" s="336">
        <f>+P49+Q49</f>
        <v>156</v>
      </c>
    </row>
    <row r="50" spans="1:18" s="340" customFormat="1" ht="15" customHeight="1">
      <c r="A50" s="337" t="s">
        <v>67</v>
      </c>
      <c r="B50" s="1118" t="s">
        <v>456</v>
      </c>
      <c r="C50" s="1119"/>
      <c r="D50" s="338">
        <f>SUM(D41:D49)</f>
        <v>5334</v>
      </c>
      <c r="E50" s="338">
        <f>E42+E44+E45+E48+E49</f>
        <v>868</v>
      </c>
      <c r="F50" s="338">
        <f>F42+F44+F45+F48+F49+F43</f>
        <v>6202</v>
      </c>
      <c r="G50" s="338">
        <f t="shared" ref="G50:R50" si="26">SUM(G41:G49)</f>
        <v>3700</v>
      </c>
      <c r="H50" s="338">
        <f>H42+H43+H44+H45+H48+H49</f>
        <v>347</v>
      </c>
      <c r="I50" s="338">
        <f>I42+I43+I44+I45+I48+I49</f>
        <v>4047</v>
      </c>
      <c r="J50" s="338">
        <f t="shared" si="26"/>
        <v>0</v>
      </c>
      <c r="K50" s="338">
        <f t="shared" si="26"/>
        <v>351</v>
      </c>
      <c r="L50" s="338">
        <f t="shared" si="26"/>
        <v>351</v>
      </c>
      <c r="M50" s="338">
        <f t="shared" si="26"/>
        <v>1484</v>
      </c>
      <c r="N50" s="338">
        <f t="shared" si="26"/>
        <v>0</v>
      </c>
      <c r="O50" s="338">
        <f t="shared" si="26"/>
        <v>1484</v>
      </c>
      <c r="P50" s="338">
        <f t="shared" si="26"/>
        <v>150</v>
      </c>
      <c r="Q50" s="338">
        <f t="shared" si="26"/>
        <v>170</v>
      </c>
      <c r="R50" s="338">
        <f t="shared" si="26"/>
        <v>320</v>
      </c>
    </row>
    <row r="51" spans="1:18" ht="15" customHeight="1">
      <c r="A51" s="276" t="s">
        <v>69</v>
      </c>
      <c r="B51" s="1116" t="s">
        <v>68</v>
      </c>
      <c r="C51" s="1117"/>
      <c r="D51" s="336">
        <f>+G51+J51+M51+P51</f>
        <v>225</v>
      </c>
      <c r="E51" s="336">
        <f t="shared" ref="E51:F52" si="27">+H51+K51+N51+Q51</f>
        <v>11</v>
      </c>
      <c r="F51" s="336">
        <f t="shared" si="27"/>
        <v>236</v>
      </c>
      <c r="G51" s="336">
        <v>200</v>
      </c>
      <c r="H51" s="336"/>
      <c r="I51" s="336">
        <f t="shared" ref="I51:I52" si="28">+G51+H51</f>
        <v>200</v>
      </c>
      <c r="J51" s="336"/>
      <c r="K51" s="336">
        <v>11</v>
      </c>
      <c r="L51" s="336">
        <f>SUM(K51)</f>
        <v>11</v>
      </c>
      <c r="M51" s="336"/>
      <c r="N51" s="336"/>
      <c r="O51" s="336"/>
      <c r="P51" s="336">
        <v>25</v>
      </c>
      <c r="Q51" s="336"/>
      <c r="R51" s="336">
        <f>+P51+Q51</f>
        <v>25</v>
      </c>
    </row>
    <row r="52" spans="1:18" ht="15" customHeight="1">
      <c r="A52" s="276" t="s">
        <v>71</v>
      </c>
      <c r="B52" s="1116" t="s">
        <v>70</v>
      </c>
      <c r="C52" s="1117"/>
      <c r="D52" s="336">
        <f>+G52+J52+M52+P52</f>
        <v>700</v>
      </c>
      <c r="E52" s="336">
        <f t="shared" si="27"/>
        <v>0</v>
      </c>
      <c r="F52" s="336">
        <f t="shared" si="27"/>
        <v>700</v>
      </c>
      <c r="G52" s="336">
        <v>700</v>
      </c>
      <c r="H52" s="336"/>
      <c r="I52" s="336">
        <f t="shared" si="28"/>
        <v>700</v>
      </c>
      <c r="J52" s="336"/>
      <c r="K52" s="336"/>
      <c r="L52" s="336"/>
      <c r="M52" s="336"/>
      <c r="N52" s="336"/>
      <c r="O52" s="336"/>
      <c r="P52" s="336"/>
      <c r="Q52" s="336"/>
      <c r="R52" s="336"/>
    </row>
    <row r="53" spans="1:18" s="340" customFormat="1" ht="15" customHeight="1">
      <c r="A53" s="337" t="s">
        <v>72</v>
      </c>
      <c r="B53" s="1118" t="s">
        <v>156</v>
      </c>
      <c r="C53" s="1119"/>
      <c r="D53" s="338">
        <f>SUM(D51:D52)</f>
        <v>925</v>
      </c>
      <c r="E53" s="338">
        <f t="shared" ref="E53:R53" si="29">SUM(E51:E52)</f>
        <v>11</v>
      </c>
      <c r="F53" s="338">
        <f t="shared" si="29"/>
        <v>936</v>
      </c>
      <c r="G53" s="338">
        <f t="shared" si="29"/>
        <v>900</v>
      </c>
      <c r="H53" s="338">
        <f t="shared" si="29"/>
        <v>0</v>
      </c>
      <c r="I53" s="338">
        <f t="shared" si="29"/>
        <v>900</v>
      </c>
      <c r="J53" s="338">
        <f t="shared" si="29"/>
        <v>0</v>
      </c>
      <c r="K53" s="338">
        <f t="shared" si="29"/>
        <v>11</v>
      </c>
      <c r="L53" s="338">
        <f t="shared" si="29"/>
        <v>11</v>
      </c>
      <c r="M53" s="338">
        <f t="shared" si="29"/>
        <v>0</v>
      </c>
      <c r="N53" s="338">
        <f t="shared" si="29"/>
        <v>0</v>
      </c>
      <c r="O53" s="338">
        <f t="shared" si="29"/>
        <v>0</v>
      </c>
      <c r="P53" s="338">
        <f t="shared" si="29"/>
        <v>25</v>
      </c>
      <c r="Q53" s="338">
        <f t="shared" si="29"/>
        <v>0</v>
      </c>
      <c r="R53" s="338">
        <f t="shared" si="29"/>
        <v>25</v>
      </c>
    </row>
    <row r="54" spans="1:18" ht="15" customHeight="1">
      <c r="A54" s="276" t="s">
        <v>74</v>
      </c>
      <c r="B54" s="1116" t="s">
        <v>73</v>
      </c>
      <c r="C54" s="1117"/>
      <c r="D54" s="336">
        <f>+G54+J54+M54+P54</f>
        <v>1826</v>
      </c>
      <c r="E54" s="336">
        <f t="shared" ref="E54:F58" si="30">+H54+K54+N54+Q54</f>
        <v>58</v>
      </c>
      <c r="F54" s="336">
        <f t="shared" si="30"/>
        <v>1884</v>
      </c>
      <c r="G54" s="336">
        <v>1488</v>
      </c>
      <c r="H54" s="336">
        <v>-192</v>
      </c>
      <c r="I54" s="336">
        <f t="shared" ref="I54:I55" si="31">+G54+H54</f>
        <v>1296</v>
      </c>
      <c r="J54" s="336"/>
      <c r="K54" s="336">
        <v>183</v>
      </c>
      <c r="L54" s="336">
        <f>SUM(K54)</f>
        <v>183</v>
      </c>
      <c r="M54" s="336">
        <v>239</v>
      </c>
      <c r="N54" s="336"/>
      <c r="O54" s="336">
        <f>+M54+N54</f>
        <v>239</v>
      </c>
      <c r="P54" s="336">
        <v>99</v>
      </c>
      <c r="Q54" s="336">
        <v>67</v>
      </c>
      <c r="R54" s="336">
        <f>+P54+Q54</f>
        <v>166</v>
      </c>
    </row>
    <row r="55" spans="1:18" ht="15" customHeight="1">
      <c r="A55" s="276" t="s">
        <v>76</v>
      </c>
      <c r="B55" s="1116" t="s">
        <v>457</v>
      </c>
      <c r="C55" s="1117"/>
      <c r="D55" s="336">
        <f t="shared" ref="D55:D58" si="32">+G55+J55+M55+P55</f>
        <v>337</v>
      </c>
      <c r="E55" s="336">
        <f t="shared" si="30"/>
        <v>416</v>
      </c>
      <c r="F55" s="336">
        <f t="shared" si="30"/>
        <v>753</v>
      </c>
      <c r="G55" s="336">
        <v>40</v>
      </c>
      <c r="H55" s="336">
        <v>416</v>
      </c>
      <c r="I55" s="336">
        <f t="shared" si="31"/>
        <v>456</v>
      </c>
      <c r="J55" s="336">
        <v>270</v>
      </c>
      <c r="K55" s="336"/>
      <c r="L55" s="336">
        <f>+J55+K55</f>
        <v>270</v>
      </c>
      <c r="M55" s="336"/>
      <c r="N55" s="336"/>
      <c r="O55" s="336"/>
      <c r="P55" s="336">
        <v>27</v>
      </c>
      <c r="Q55" s="336"/>
      <c r="R55" s="336">
        <f>+P55+Q55</f>
        <v>27</v>
      </c>
    </row>
    <row r="56" spans="1:18" ht="15" customHeight="1">
      <c r="A56" s="276" t="s">
        <v>77</v>
      </c>
      <c r="B56" s="1116" t="s">
        <v>458</v>
      </c>
      <c r="C56" s="1117"/>
      <c r="D56" s="336">
        <f t="shared" si="32"/>
        <v>0</v>
      </c>
      <c r="E56" s="336">
        <f t="shared" si="30"/>
        <v>0</v>
      </c>
      <c r="F56" s="336">
        <f t="shared" si="30"/>
        <v>0</v>
      </c>
      <c r="G56" s="336"/>
      <c r="H56" s="336"/>
      <c r="I56" s="336"/>
      <c r="J56" s="336"/>
      <c r="K56" s="336"/>
      <c r="L56" s="336"/>
      <c r="M56" s="336"/>
      <c r="N56" s="336"/>
      <c r="O56" s="336"/>
      <c r="P56" s="336"/>
      <c r="Q56" s="336"/>
      <c r="R56" s="336"/>
    </row>
    <row r="57" spans="1:18" ht="15" customHeight="1">
      <c r="A57" s="276" t="s">
        <v>78</v>
      </c>
      <c r="B57" s="1116" t="s">
        <v>459</v>
      </c>
      <c r="C57" s="1117"/>
      <c r="D57" s="336">
        <f t="shared" si="32"/>
        <v>0</v>
      </c>
      <c r="E57" s="336">
        <f t="shared" si="30"/>
        <v>0</v>
      </c>
      <c r="F57" s="336">
        <f t="shared" si="30"/>
        <v>0</v>
      </c>
      <c r="G57" s="336"/>
      <c r="H57" s="336"/>
      <c r="I57" s="336"/>
      <c r="J57" s="336"/>
      <c r="K57" s="336"/>
      <c r="L57" s="336"/>
      <c r="M57" s="336"/>
      <c r="N57" s="336"/>
      <c r="O57" s="336"/>
      <c r="P57" s="336"/>
      <c r="Q57" s="336"/>
      <c r="R57" s="336"/>
    </row>
    <row r="58" spans="1:18" ht="15" customHeight="1">
      <c r="A58" s="276" t="s">
        <v>80</v>
      </c>
      <c r="B58" s="1116" t="s">
        <v>79</v>
      </c>
      <c r="C58" s="1117"/>
      <c r="D58" s="336">
        <f t="shared" si="32"/>
        <v>25</v>
      </c>
      <c r="E58" s="336">
        <f t="shared" si="30"/>
        <v>0</v>
      </c>
      <c r="F58" s="336">
        <f t="shared" si="30"/>
        <v>25</v>
      </c>
      <c r="G58" s="336"/>
      <c r="H58" s="336"/>
      <c r="I58" s="336"/>
      <c r="J58" s="336"/>
      <c r="K58" s="336"/>
      <c r="L58" s="336"/>
      <c r="M58" s="336"/>
      <c r="N58" s="336"/>
      <c r="O58" s="336"/>
      <c r="P58" s="336">
        <v>25</v>
      </c>
      <c r="Q58" s="336"/>
      <c r="R58" s="336">
        <f>+P58+Q58</f>
        <v>25</v>
      </c>
    </row>
    <row r="59" spans="1:18" ht="15" customHeight="1">
      <c r="A59" s="337" t="s">
        <v>81</v>
      </c>
      <c r="B59" s="1118" t="s">
        <v>153</v>
      </c>
      <c r="C59" s="1119"/>
      <c r="D59" s="338">
        <f>SUM(D54:D58)</f>
        <v>2188</v>
      </c>
      <c r="E59" s="338">
        <f t="shared" ref="E59:R59" si="33">SUM(E54:E58)</f>
        <v>474</v>
      </c>
      <c r="F59" s="338">
        <f t="shared" si="33"/>
        <v>2662</v>
      </c>
      <c r="G59" s="338">
        <f t="shared" si="33"/>
        <v>1528</v>
      </c>
      <c r="H59" s="338">
        <f t="shared" si="33"/>
        <v>224</v>
      </c>
      <c r="I59" s="338">
        <f t="shared" si="33"/>
        <v>1752</v>
      </c>
      <c r="J59" s="338">
        <f t="shared" si="33"/>
        <v>270</v>
      </c>
      <c r="K59" s="338">
        <f t="shared" si="33"/>
        <v>183</v>
      </c>
      <c r="L59" s="338">
        <f t="shared" si="33"/>
        <v>453</v>
      </c>
      <c r="M59" s="338">
        <f t="shared" si="33"/>
        <v>239</v>
      </c>
      <c r="N59" s="338">
        <f t="shared" si="33"/>
        <v>0</v>
      </c>
      <c r="O59" s="338">
        <f t="shared" si="33"/>
        <v>239</v>
      </c>
      <c r="P59" s="338">
        <f t="shared" si="33"/>
        <v>151</v>
      </c>
      <c r="Q59" s="338">
        <f t="shared" si="33"/>
        <v>67</v>
      </c>
      <c r="R59" s="338">
        <f t="shared" si="33"/>
        <v>218</v>
      </c>
    </row>
    <row r="60" spans="1:18" ht="15" customHeight="1">
      <c r="A60" s="337" t="s">
        <v>82</v>
      </c>
      <c r="B60" s="1118" t="s">
        <v>346</v>
      </c>
      <c r="C60" s="1119"/>
      <c r="D60" s="338">
        <f>+D59+D53+D50+D40+D37</f>
        <v>10882</v>
      </c>
      <c r="E60" s="338">
        <f t="shared" ref="E60:F60" si="34">+E59+E53+E50+E40+E37</f>
        <v>2513</v>
      </c>
      <c r="F60" s="338">
        <f t="shared" si="34"/>
        <v>13395</v>
      </c>
      <c r="G60" s="338">
        <f>+G59+G53+G50+G40+G37</f>
        <v>7763</v>
      </c>
      <c r="H60" s="338">
        <f>+H59+H53+H50+H40+H37</f>
        <v>1340</v>
      </c>
      <c r="I60" s="338">
        <f t="shared" ref="I60:R60" si="35">+I59+I53+I50+I40+I37</f>
        <v>9103</v>
      </c>
      <c r="J60" s="338">
        <f t="shared" si="35"/>
        <v>300</v>
      </c>
      <c r="K60" s="338">
        <f t="shared" si="35"/>
        <v>858</v>
      </c>
      <c r="L60" s="338">
        <f t="shared" si="35"/>
        <v>1158</v>
      </c>
      <c r="M60" s="338">
        <f t="shared" si="35"/>
        <v>1723</v>
      </c>
      <c r="N60" s="338">
        <f t="shared" si="35"/>
        <v>0</v>
      </c>
      <c r="O60" s="338">
        <f t="shared" si="35"/>
        <v>1723</v>
      </c>
      <c r="P60" s="338">
        <f t="shared" si="35"/>
        <v>1096</v>
      </c>
      <c r="Q60" s="338">
        <f t="shared" si="35"/>
        <v>315</v>
      </c>
      <c r="R60" s="338">
        <f t="shared" si="35"/>
        <v>1411</v>
      </c>
    </row>
    <row r="61" spans="1:18" ht="15" customHeight="1">
      <c r="A61" s="277"/>
      <c r="B61" s="851"/>
      <c r="C61" s="851"/>
      <c r="D61" s="842"/>
      <c r="E61" s="842"/>
      <c r="F61" s="842"/>
      <c r="G61" s="843"/>
      <c r="H61" s="842"/>
      <c r="I61" s="844"/>
      <c r="J61" s="843"/>
      <c r="K61" s="842"/>
      <c r="L61" s="844"/>
      <c r="M61" s="843"/>
      <c r="N61" s="842"/>
      <c r="O61" s="844"/>
      <c r="P61" s="843"/>
      <c r="Q61" s="842"/>
      <c r="R61" s="844"/>
    </row>
    <row r="62" spans="1:18" ht="27" customHeight="1">
      <c r="A62" s="838" t="s">
        <v>102</v>
      </c>
      <c r="B62" s="1116" t="s">
        <v>1021</v>
      </c>
      <c r="C62" s="1117"/>
      <c r="D62" s="336"/>
      <c r="E62" s="336">
        <f>E63</f>
        <v>584</v>
      </c>
      <c r="F62" s="336">
        <f>F63</f>
        <v>584</v>
      </c>
      <c r="G62" s="338"/>
      <c r="H62" s="336">
        <f>H63</f>
        <v>584</v>
      </c>
      <c r="I62" s="336">
        <f>SUM(H62)</f>
        <v>584</v>
      </c>
      <c r="J62" s="338"/>
      <c r="K62" s="338"/>
      <c r="L62" s="338"/>
      <c r="M62" s="338"/>
      <c r="N62" s="338"/>
      <c r="O62" s="338"/>
      <c r="P62" s="338"/>
      <c r="Q62" s="338"/>
      <c r="R62" s="338"/>
    </row>
    <row r="63" spans="1:18" ht="26.4">
      <c r="A63" s="839" t="s">
        <v>102</v>
      </c>
      <c r="B63" s="851"/>
      <c r="C63" s="840" t="s">
        <v>1023</v>
      </c>
      <c r="D63" s="336"/>
      <c r="E63" s="336">
        <f>H63+K63+N63+Q63</f>
        <v>584</v>
      </c>
      <c r="F63" s="336">
        <f>SUM(E63)</f>
        <v>584</v>
      </c>
      <c r="G63" s="336"/>
      <c r="H63" s="857">
        <v>584</v>
      </c>
      <c r="I63" s="857">
        <f>SUM(H63)</f>
        <v>584</v>
      </c>
      <c r="J63" s="336"/>
      <c r="K63" s="336"/>
      <c r="L63" s="336"/>
      <c r="M63" s="336"/>
      <c r="N63" s="336"/>
      <c r="O63" s="336"/>
      <c r="P63" s="336"/>
      <c r="Q63" s="336"/>
      <c r="R63" s="336"/>
    </row>
    <row r="64" spans="1:18" ht="34.5" customHeight="1">
      <c r="A64" s="276" t="s">
        <v>108</v>
      </c>
      <c r="B64" s="1116" t="s">
        <v>165</v>
      </c>
      <c r="C64" s="1117"/>
      <c r="D64" s="336">
        <f>(((+G64+J64)+M64)+P64)</f>
        <v>18343</v>
      </c>
      <c r="E64" s="336">
        <f>(((+H64+K64)+N64)+Q64)+F67</f>
        <v>232</v>
      </c>
      <c r="F64" s="336">
        <f t="shared" ref="F64" si="36">(((+I64+L64)+O64)+R64)+G67</f>
        <v>18575</v>
      </c>
      <c r="G64" s="336">
        <v>12028</v>
      </c>
      <c r="H64" s="336">
        <f>H65</f>
        <v>232</v>
      </c>
      <c r="I64" s="336">
        <f t="shared" ref="I64" si="37">+G64+H64</f>
        <v>12260</v>
      </c>
      <c r="J64" s="336"/>
      <c r="K64" s="336"/>
      <c r="L64" s="336"/>
      <c r="M64" s="336"/>
      <c r="N64" s="336"/>
      <c r="O64" s="336"/>
      <c r="P64" s="336">
        <v>6315</v>
      </c>
      <c r="Q64" s="336"/>
      <c r="R64" s="336">
        <f>+P64+Q64</f>
        <v>6315</v>
      </c>
    </row>
    <row r="65" spans="1:18" ht="38.25" customHeight="1">
      <c r="A65" s="292" t="s">
        <v>108</v>
      </c>
      <c r="B65" s="282"/>
      <c r="C65" s="293" t="s">
        <v>105</v>
      </c>
      <c r="D65" s="336">
        <f>(((+G65+J65)+M65)+P65)</f>
        <v>18343</v>
      </c>
      <c r="E65" s="336">
        <f t="shared" ref="E65:F65" si="38">(((+H65+K65)+N65)+Q65)</f>
        <v>232</v>
      </c>
      <c r="F65" s="336">
        <f t="shared" si="38"/>
        <v>18575</v>
      </c>
      <c r="G65" s="336">
        <v>12028</v>
      </c>
      <c r="H65" s="336">
        <v>232</v>
      </c>
      <c r="I65" s="336">
        <f>+G65+H65</f>
        <v>12260</v>
      </c>
      <c r="J65" s="336"/>
      <c r="K65" s="336"/>
      <c r="L65" s="336"/>
      <c r="M65" s="336"/>
      <c r="N65" s="336"/>
      <c r="O65" s="336"/>
      <c r="P65" s="336">
        <v>6315</v>
      </c>
      <c r="Q65" s="336"/>
      <c r="R65" s="336">
        <f>+P65+Q65</f>
        <v>6315</v>
      </c>
    </row>
    <row r="66" spans="1:18" ht="15" customHeight="1">
      <c r="A66" s="337" t="s">
        <v>109</v>
      </c>
      <c r="B66" s="1118" t="s">
        <v>164</v>
      </c>
      <c r="C66" s="1119"/>
      <c r="D66" s="338">
        <f>+D64</f>
        <v>18343</v>
      </c>
      <c r="E66" s="338">
        <f>+E64+E62</f>
        <v>816</v>
      </c>
      <c r="F66" s="338">
        <f>+F64+F62</f>
        <v>19159</v>
      </c>
      <c r="G66" s="338">
        <f t="shared" ref="G66:R66" si="39">+G64</f>
        <v>12028</v>
      </c>
      <c r="H66" s="338">
        <f>+H64+H62</f>
        <v>816</v>
      </c>
      <c r="I66" s="338">
        <f>+I64+I62</f>
        <v>12844</v>
      </c>
      <c r="J66" s="338">
        <f t="shared" si="39"/>
        <v>0</v>
      </c>
      <c r="K66" s="338">
        <f t="shared" si="39"/>
        <v>0</v>
      </c>
      <c r="L66" s="338">
        <f t="shared" si="39"/>
        <v>0</v>
      </c>
      <c r="M66" s="338">
        <f t="shared" si="39"/>
        <v>0</v>
      </c>
      <c r="N66" s="338">
        <f t="shared" si="39"/>
        <v>0</v>
      </c>
      <c r="O66" s="338">
        <f t="shared" si="39"/>
        <v>0</v>
      </c>
      <c r="P66" s="338">
        <f t="shared" si="39"/>
        <v>6315</v>
      </c>
      <c r="Q66" s="338">
        <f t="shared" si="39"/>
        <v>0</v>
      </c>
      <c r="R66" s="338">
        <f t="shared" si="39"/>
        <v>6315</v>
      </c>
    </row>
    <row r="67" spans="1:18" ht="27.75" customHeight="1">
      <c r="A67" s="294"/>
      <c r="B67" s="295"/>
      <c r="C67" s="295"/>
      <c r="D67" s="296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</row>
    <row r="68" spans="1:18" ht="21.75" customHeight="1">
      <c r="A68" s="297"/>
      <c r="B68" s="298"/>
      <c r="C68" s="298"/>
      <c r="D68" s="291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</row>
    <row r="69" spans="1:18" ht="15" customHeight="1">
      <c r="A69" s="276" t="s">
        <v>111</v>
      </c>
      <c r="B69" s="1116" t="s">
        <v>110</v>
      </c>
      <c r="C69" s="1117"/>
      <c r="D69" s="336">
        <f>+G69+J69+M69+P69</f>
        <v>0</v>
      </c>
      <c r="E69" s="336">
        <f t="shared" ref="E69:F76" si="40">+H69+K69+N69+Q69</f>
        <v>0</v>
      </c>
      <c r="F69" s="336">
        <f t="shared" si="40"/>
        <v>0</v>
      </c>
      <c r="G69" s="336"/>
      <c r="H69" s="336"/>
      <c r="I69" s="336"/>
      <c r="J69" s="336"/>
      <c r="K69" s="336"/>
      <c r="L69" s="336"/>
      <c r="M69" s="336"/>
      <c r="N69" s="336"/>
      <c r="O69" s="336"/>
      <c r="P69" s="336"/>
      <c r="Q69" s="336"/>
      <c r="R69" s="336"/>
    </row>
    <row r="70" spans="1:18" ht="15" customHeight="1">
      <c r="A70" s="276" t="s">
        <v>112</v>
      </c>
      <c r="B70" s="1116" t="s">
        <v>460</v>
      </c>
      <c r="C70" s="1117"/>
      <c r="D70" s="336">
        <f t="shared" ref="D70:D76" si="41">+G70+J70+M70+P70</f>
        <v>0</v>
      </c>
      <c r="E70" s="336">
        <f t="shared" si="40"/>
        <v>0</v>
      </c>
      <c r="F70" s="336">
        <f t="shared" si="40"/>
        <v>0</v>
      </c>
      <c r="G70" s="336"/>
      <c r="H70" s="336"/>
      <c r="I70" s="336"/>
      <c r="J70" s="336"/>
      <c r="K70" s="336"/>
      <c r="L70" s="336"/>
      <c r="M70" s="336"/>
      <c r="N70" s="336"/>
      <c r="O70" s="336"/>
      <c r="P70" s="336"/>
      <c r="Q70" s="336"/>
      <c r="R70" s="336"/>
    </row>
    <row r="71" spans="1:18" ht="25.5" customHeight="1">
      <c r="A71" s="281" t="s">
        <v>112</v>
      </c>
      <c r="B71" s="282"/>
      <c r="C71" s="293" t="s">
        <v>113</v>
      </c>
      <c r="D71" s="336">
        <f t="shared" si="41"/>
        <v>0</v>
      </c>
      <c r="E71" s="336">
        <f t="shared" si="40"/>
        <v>0</v>
      </c>
      <c r="F71" s="336">
        <f t="shared" si="40"/>
        <v>0</v>
      </c>
      <c r="G71" s="336"/>
      <c r="H71" s="336"/>
      <c r="I71" s="336"/>
      <c r="J71" s="336"/>
      <c r="K71" s="336"/>
      <c r="L71" s="336"/>
      <c r="M71" s="336"/>
      <c r="N71" s="336"/>
      <c r="O71" s="336"/>
      <c r="P71" s="336"/>
      <c r="Q71" s="336"/>
      <c r="R71" s="336"/>
    </row>
    <row r="72" spans="1:18" ht="15" customHeight="1">
      <c r="A72" s="276" t="s">
        <v>115</v>
      </c>
      <c r="B72" s="1116" t="s">
        <v>114</v>
      </c>
      <c r="C72" s="1117"/>
      <c r="D72" s="336">
        <f t="shared" si="41"/>
        <v>0</v>
      </c>
      <c r="E72" s="336">
        <f t="shared" si="40"/>
        <v>0</v>
      </c>
      <c r="F72" s="336">
        <f t="shared" si="40"/>
        <v>0</v>
      </c>
      <c r="G72" s="336"/>
      <c r="H72" s="336"/>
      <c r="I72" s="336"/>
      <c r="J72" s="336"/>
      <c r="K72" s="336"/>
      <c r="L72" s="336"/>
      <c r="M72" s="336"/>
      <c r="N72" s="336"/>
      <c r="O72" s="336"/>
      <c r="P72" s="336"/>
      <c r="Q72" s="336"/>
      <c r="R72" s="336"/>
    </row>
    <row r="73" spans="1:18" ht="15" customHeight="1">
      <c r="A73" s="276" t="s">
        <v>117</v>
      </c>
      <c r="B73" s="1116" t="s">
        <v>116</v>
      </c>
      <c r="C73" s="1117"/>
      <c r="D73" s="336">
        <f t="shared" si="41"/>
        <v>3984</v>
      </c>
      <c r="E73" s="336">
        <f t="shared" si="40"/>
        <v>-1465</v>
      </c>
      <c r="F73" s="336">
        <f t="shared" si="40"/>
        <v>2519</v>
      </c>
      <c r="G73" s="336">
        <f>79+3905</f>
        <v>3984</v>
      </c>
      <c r="H73" s="336">
        <v>-2331</v>
      </c>
      <c r="I73" s="336">
        <f t="shared" ref="I73" si="42">+G73+H73</f>
        <v>1653</v>
      </c>
      <c r="J73" s="336"/>
      <c r="K73" s="336">
        <v>866</v>
      </c>
      <c r="L73" s="336">
        <f>SUM(K73)</f>
        <v>866</v>
      </c>
      <c r="M73" s="336"/>
      <c r="N73" s="336"/>
      <c r="O73" s="336"/>
      <c r="P73" s="336"/>
      <c r="Q73" s="336"/>
      <c r="R73" s="336"/>
    </row>
    <row r="74" spans="1:18" ht="15" customHeight="1">
      <c r="A74" s="276" t="s">
        <v>119</v>
      </c>
      <c r="B74" s="1116" t="s">
        <v>118</v>
      </c>
      <c r="C74" s="1117"/>
      <c r="D74" s="336">
        <f t="shared" si="41"/>
        <v>0</v>
      </c>
      <c r="E74" s="336">
        <f t="shared" si="40"/>
        <v>0</v>
      </c>
      <c r="F74" s="336">
        <f t="shared" si="40"/>
        <v>0</v>
      </c>
      <c r="G74" s="336"/>
      <c r="H74" s="336"/>
      <c r="I74" s="336"/>
      <c r="J74" s="336"/>
      <c r="K74" s="336"/>
      <c r="L74" s="336">
        <f t="shared" ref="L74:L76" si="43">SUM(K74)</f>
        <v>0</v>
      </c>
      <c r="M74" s="336"/>
      <c r="N74" s="336"/>
      <c r="O74" s="336"/>
      <c r="P74" s="336"/>
      <c r="Q74" s="336"/>
      <c r="R74" s="336"/>
    </row>
    <row r="75" spans="1:18" ht="15" customHeight="1">
      <c r="A75" s="276" t="s">
        <v>121</v>
      </c>
      <c r="B75" s="1116" t="s">
        <v>120</v>
      </c>
      <c r="C75" s="1117"/>
      <c r="D75" s="336">
        <f t="shared" si="41"/>
        <v>0</v>
      </c>
      <c r="E75" s="336">
        <f t="shared" si="40"/>
        <v>0</v>
      </c>
      <c r="F75" s="336">
        <f t="shared" si="40"/>
        <v>0</v>
      </c>
      <c r="G75" s="336"/>
      <c r="H75" s="336"/>
      <c r="I75" s="336"/>
      <c r="J75" s="336"/>
      <c r="K75" s="336"/>
      <c r="L75" s="336">
        <f t="shared" si="43"/>
        <v>0</v>
      </c>
      <c r="M75" s="336"/>
      <c r="N75" s="336"/>
      <c r="O75" s="336"/>
      <c r="P75" s="336"/>
      <c r="Q75" s="336"/>
      <c r="R75" s="336"/>
    </row>
    <row r="76" spans="1:18" ht="15" customHeight="1">
      <c r="A76" s="276" t="s">
        <v>123</v>
      </c>
      <c r="B76" s="1116" t="s">
        <v>122</v>
      </c>
      <c r="C76" s="1117"/>
      <c r="D76" s="336">
        <f t="shared" si="41"/>
        <v>1076</v>
      </c>
      <c r="E76" s="336">
        <f t="shared" si="40"/>
        <v>-395</v>
      </c>
      <c r="F76" s="336">
        <f t="shared" si="40"/>
        <v>681</v>
      </c>
      <c r="G76" s="336">
        <f>21+1055</f>
        <v>1076</v>
      </c>
      <c r="H76" s="336">
        <v>-629</v>
      </c>
      <c r="I76" s="336">
        <f t="shared" ref="I76" si="44">+G76+H76</f>
        <v>447</v>
      </c>
      <c r="J76" s="336"/>
      <c r="K76" s="336">
        <v>234</v>
      </c>
      <c r="L76" s="336">
        <f t="shared" si="43"/>
        <v>234</v>
      </c>
      <c r="M76" s="336"/>
      <c r="N76" s="336"/>
      <c r="O76" s="336"/>
      <c r="P76" s="336"/>
      <c r="Q76" s="336"/>
      <c r="R76" s="336"/>
    </row>
    <row r="77" spans="1:18" ht="15" customHeight="1">
      <c r="A77" s="337" t="s">
        <v>124</v>
      </c>
      <c r="B77" s="1118" t="s">
        <v>162</v>
      </c>
      <c r="C77" s="1119"/>
      <c r="D77" s="338">
        <f>SUM(D69:D76)</f>
        <v>5060</v>
      </c>
      <c r="E77" s="338">
        <f t="shared" ref="E77:R77" si="45">SUM(E69:E76)</f>
        <v>-1860</v>
      </c>
      <c r="F77" s="338">
        <f t="shared" si="45"/>
        <v>3200</v>
      </c>
      <c r="G77" s="338">
        <f t="shared" si="45"/>
        <v>5060</v>
      </c>
      <c r="H77" s="338">
        <f>SUM(H69:H76)</f>
        <v>-2960</v>
      </c>
      <c r="I77" s="338">
        <f t="shared" si="45"/>
        <v>2100</v>
      </c>
      <c r="J77" s="338">
        <f t="shared" si="45"/>
        <v>0</v>
      </c>
      <c r="K77" s="338">
        <f t="shared" si="45"/>
        <v>1100</v>
      </c>
      <c r="L77" s="338">
        <f t="shared" si="45"/>
        <v>1100</v>
      </c>
      <c r="M77" s="338">
        <f t="shared" si="45"/>
        <v>0</v>
      </c>
      <c r="N77" s="338">
        <f t="shared" si="45"/>
        <v>0</v>
      </c>
      <c r="O77" s="338">
        <f t="shared" si="45"/>
        <v>0</v>
      </c>
      <c r="P77" s="338">
        <f t="shared" si="45"/>
        <v>0</v>
      </c>
      <c r="Q77" s="338">
        <f t="shared" si="45"/>
        <v>0</v>
      </c>
      <c r="R77" s="338">
        <f t="shared" si="45"/>
        <v>0</v>
      </c>
    </row>
    <row r="78" spans="1:18">
      <c r="A78" s="277"/>
      <c r="B78" s="849"/>
      <c r="C78" s="849"/>
      <c r="D78" s="278"/>
      <c r="E78" s="278"/>
      <c r="F78" s="278"/>
      <c r="G78" s="280"/>
      <c r="H78" s="278"/>
      <c r="I78" s="279"/>
      <c r="J78" s="280"/>
      <c r="K78" s="278"/>
      <c r="L78" s="279"/>
      <c r="M78" s="280"/>
      <c r="N78" s="278"/>
      <c r="O78" s="279"/>
      <c r="P78" s="280"/>
      <c r="Q78" s="278"/>
      <c r="R78" s="279"/>
    </row>
    <row r="79" spans="1:18" ht="15" customHeight="1">
      <c r="A79" s="276" t="s">
        <v>126</v>
      </c>
      <c r="B79" s="1116" t="s">
        <v>125</v>
      </c>
      <c r="C79" s="1117"/>
      <c r="D79" s="336">
        <f>(((+G79+J79)+M79)+P79)</f>
        <v>0</v>
      </c>
      <c r="E79" s="336">
        <f t="shared" ref="E79:F82" si="46">(((+H79+K79)+N79)+Q79)</f>
        <v>0</v>
      </c>
      <c r="F79" s="336">
        <f t="shared" si="46"/>
        <v>0</v>
      </c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6"/>
      <c r="R79" s="336"/>
    </row>
    <row r="80" spans="1:18" ht="15" customHeight="1">
      <c r="A80" s="276" t="s">
        <v>128</v>
      </c>
      <c r="B80" s="1116" t="s">
        <v>127</v>
      </c>
      <c r="C80" s="1117"/>
      <c r="D80" s="336">
        <f t="shared" ref="D80:D82" si="47">(((+G80+J80)+M80)+P80)</f>
        <v>0</v>
      </c>
      <c r="E80" s="336">
        <f t="shared" si="46"/>
        <v>0</v>
      </c>
      <c r="F80" s="336">
        <f t="shared" si="46"/>
        <v>0</v>
      </c>
      <c r="G80" s="336"/>
      <c r="H80" s="336"/>
      <c r="I80" s="336"/>
      <c r="J80" s="336"/>
      <c r="K80" s="336"/>
      <c r="L80" s="336"/>
      <c r="M80" s="336"/>
      <c r="N80" s="336"/>
      <c r="O80" s="336"/>
      <c r="P80" s="336"/>
      <c r="Q80" s="336"/>
      <c r="R80" s="336"/>
    </row>
    <row r="81" spans="1:18" ht="15" customHeight="1">
      <c r="A81" s="276" t="s">
        <v>130</v>
      </c>
      <c r="B81" s="1116" t="s">
        <v>461</v>
      </c>
      <c r="C81" s="1117"/>
      <c r="D81" s="336">
        <f t="shared" si="47"/>
        <v>0</v>
      </c>
      <c r="E81" s="336">
        <f t="shared" si="46"/>
        <v>0</v>
      </c>
      <c r="F81" s="336">
        <f t="shared" si="46"/>
        <v>0</v>
      </c>
      <c r="G81" s="336"/>
      <c r="H81" s="336"/>
      <c r="I81" s="336"/>
      <c r="J81" s="336"/>
      <c r="K81" s="336"/>
      <c r="L81" s="336"/>
      <c r="M81" s="336"/>
      <c r="N81" s="336"/>
      <c r="O81" s="336"/>
      <c r="P81" s="336"/>
      <c r="Q81" s="336"/>
      <c r="R81" s="336"/>
    </row>
    <row r="82" spans="1:18" ht="15" customHeight="1">
      <c r="A82" s="276" t="s">
        <v>132</v>
      </c>
      <c r="B82" s="1116" t="s">
        <v>131</v>
      </c>
      <c r="C82" s="1117"/>
      <c r="D82" s="336">
        <f t="shared" si="47"/>
        <v>0</v>
      </c>
      <c r="E82" s="336">
        <f t="shared" si="46"/>
        <v>0</v>
      </c>
      <c r="F82" s="336">
        <f t="shared" si="46"/>
        <v>0</v>
      </c>
      <c r="G82" s="336"/>
      <c r="H82" s="336"/>
      <c r="I82" s="336"/>
      <c r="J82" s="336"/>
      <c r="K82" s="336"/>
      <c r="L82" s="336"/>
      <c r="M82" s="336"/>
      <c r="N82" s="336"/>
      <c r="O82" s="336"/>
      <c r="P82" s="336"/>
      <c r="Q82" s="336"/>
      <c r="R82" s="336"/>
    </row>
    <row r="83" spans="1:18" ht="15" customHeight="1">
      <c r="A83" s="337" t="s">
        <v>133</v>
      </c>
      <c r="B83" s="1118" t="s">
        <v>317</v>
      </c>
      <c r="C83" s="1119"/>
      <c r="D83" s="338">
        <f t="shared" ref="D83:R83" si="48">SUM(D79:D82)</f>
        <v>0</v>
      </c>
      <c r="E83" s="338">
        <f t="shared" ref="E83:F83" si="49">SUM(E79:E82)</f>
        <v>0</v>
      </c>
      <c r="F83" s="338">
        <f t="shared" si="49"/>
        <v>0</v>
      </c>
      <c r="G83" s="338">
        <f t="shared" si="48"/>
        <v>0</v>
      </c>
      <c r="H83" s="338">
        <f t="shared" si="48"/>
        <v>0</v>
      </c>
      <c r="I83" s="338">
        <f t="shared" si="48"/>
        <v>0</v>
      </c>
      <c r="J83" s="338">
        <f t="shared" si="48"/>
        <v>0</v>
      </c>
      <c r="K83" s="338">
        <f t="shared" si="48"/>
        <v>0</v>
      </c>
      <c r="L83" s="338">
        <f t="shared" si="48"/>
        <v>0</v>
      </c>
      <c r="M83" s="338">
        <f t="shared" si="48"/>
        <v>0</v>
      </c>
      <c r="N83" s="338">
        <f t="shared" si="48"/>
        <v>0</v>
      </c>
      <c r="O83" s="338">
        <f t="shared" si="48"/>
        <v>0</v>
      </c>
      <c r="P83" s="338">
        <f t="shared" si="48"/>
        <v>0</v>
      </c>
      <c r="Q83" s="338">
        <f t="shared" si="48"/>
        <v>0</v>
      </c>
      <c r="R83" s="338">
        <f t="shared" si="48"/>
        <v>0</v>
      </c>
    </row>
    <row r="84" spans="1:18">
      <c r="A84" s="277"/>
      <c r="B84" s="851"/>
      <c r="C84" s="851"/>
      <c r="D84" s="278"/>
      <c r="E84" s="278"/>
      <c r="F84" s="278"/>
      <c r="G84" s="280"/>
      <c r="H84" s="278"/>
      <c r="I84" s="279"/>
      <c r="J84" s="280"/>
      <c r="K84" s="278"/>
      <c r="L84" s="279"/>
      <c r="M84" s="280"/>
      <c r="N84" s="278"/>
      <c r="O84" s="279"/>
      <c r="P84" s="280"/>
      <c r="Q84" s="278"/>
      <c r="R84" s="279"/>
    </row>
    <row r="85" spans="1:18" ht="15" customHeight="1">
      <c r="A85" s="337" t="s">
        <v>135</v>
      </c>
      <c r="B85" s="1118" t="s">
        <v>159</v>
      </c>
      <c r="C85" s="1119"/>
      <c r="D85" s="336"/>
      <c r="E85" s="336"/>
      <c r="F85" s="336"/>
      <c r="G85" s="336"/>
      <c r="H85" s="336"/>
      <c r="I85" s="336"/>
      <c r="J85" s="336"/>
      <c r="K85" s="336"/>
      <c r="L85" s="336"/>
      <c r="M85" s="336"/>
      <c r="N85" s="336"/>
      <c r="O85" s="336"/>
      <c r="P85" s="336"/>
      <c r="Q85" s="336"/>
      <c r="R85" s="336"/>
    </row>
    <row r="86" spans="1:18" ht="15.75" customHeight="1" thickBot="1">
      <c r="A86" s="299"/>
      <c r="B86" s="300"/>
      <c r="C86" s="300"/>
      <c r="D86" s="301"/>
      <c r="E86" s="301"/>
      <c r="F86" s="301"/>
      <c r="G86" s="303"/>
      <c r="H86" s="301"/>
      <c r="I86" s="302"/>
      <c r="J86" s="303"/>
      <c r="K86" s="301"/>
      <c r="L86" s="302"/>
      <c r="M86" s="303"/>
      <c r="N86" s="301"/>
      <c r="O86" s="302"/>
      <c r="P86" s="303"/>
      <c r="Q86" s="301"/>
      <c r="R86" s="302"/>
    </row>
    <row r="87" spans="1:18" ht="15.75" customHeight="1" thickBot="1">
      <c r="A87" s="304" t="s">
        <v>136</v>
      </c>
      <c r="B87" s="1113" t="s">
        <v>462</v>
      </c>
      <c r="C87" s="1114"/>
      <c r="D87" s="305">
        <f>+D85+D83+D77+D66+D60+D26+D24</f>
        <v>55641</v>
      </c>
      <c r="E87" s="305">
        <f t="shared" ref="E87:R87" si="50">+E85+E83+E77+E66+E60+E26+E24</f>
        <v>1511</v>
      </c>
      <c r="F87" s="305">
        <f t="shared" si="50"/>
        <v>57152</v>
      </c>
      <c r="G87" s="305">
        <f t="shared" si="50"/>
        <v>36759</v>
      </c>
      <c r="H87" s="305">
        <f>+H85+H83+H77+H66+H60+H26+H24</f>
        <v>-786</v>
      </c>
      <c r="I87" s="305">
        <f t="shared" si="50"/>
        <v>35973</v>
      </c>
      <c r="J87" s="305">
        <f t="shared" si="50"/>
        <v>5315</v>
      </c>
      <c r="K87" s="305">
        <f t="shared" si="50"/>
        <v>1982</v>
      </c>
      <c r="L87" s="305">
        <f t="shared" si="50"/>
        <v>7297</v>
      </c>
      <c r="M87" s="305">
        <f t="shared" si="50"/>
        <v>4156</v>
      </c>
      <c r="N87" s="305">
        <f t="shared" si="50"/>
        <v>0</v>
      </c>
      <c r="O87" s="305">
        <f t="shared" si="50"/>
        <v>4156</v>
      </c>
      <c r="P87" s="305">
        <f t="shared" si="50"/>
        <v>9411</v>
      </c>
      <c r="Q87" s="305">
        <f t="shared" si="50"/>
        <v>315</v>
      </c>
      <c r="R87" s="305">
        <f t="shared" si="50"/>
        <v>9726</v>
      </c>
    </row>
  </sheetData>
  <mergeCells count="76">
    <mergeCell ref="B11:C11"/>
    <mergeCell ref="A2:A4"/>
    <mergeCell ref="B87:C87"/>
    <mergeCell ref="B40:C40"/>
    <mergeCell ref="B20:C20"/>
    <mergeCell ref="B16:C16"/>
    <mergeCell ref="B55:C55"/>
    <mergeCell ref="B56:C56"/>
    <mergeCell ref="B45:C45"/>
    <mergeCell ref="B62:C62"/>
    <mergeCell ref="B57:C57"/>
    <mergeCell ref="B64:C64"/>
    <mergeCell ref="B77:C77"/>
    <mergeCell ref="B70:C70"/>
    <mergeCell ref="B66:C66"/>
    <mergeCell ref="B69:C69"/>
    <mergeCell ref="J2:L2"/>
    <mergeCell ref="G3:I3"/>
    <mergeCell ref="M2:O2"/>
    <mergeCell ref="P2:R2"/>
    <mergeCell ref="J3:L3"/>
    <mergeCell ref="M3:O3"/>
    <mergeCell ref="P3:R3"/>
    <mergeCell ref="B35:C35"/>
    <mergeCell ref="B36:C36"/>
    <mergeCell ref="B37:C37"/>
    <mergeCell ref="B38:C38"/>
    <mergeCell ref="G2:I2"/>
    <mergeCell ref="D2:F3"/>
    <mergeCell ref="B2:C4"/>
    <mergeCell ref="B5:C5"/>
    <mergeCell ref="B17:C17"/>
    <mergeCell ref="B9:C9"/>
    <mergeCell ref="B6:C6"/>
    <mergeCell ref="B7:C7"/>
    <mergeCell ref="B8:C8"/>
    <mergeCell ref="B12:C12"/>
    <mergeCell ref="B13:C13"/>
    <mergeCell ref="B10:C10"/>
    <mergeCell ref="B85:C85"/>
    <mergeCell ref="B58:C58"/>
    <mergeCell ref="B59:C59"/>
    <mergeCell ref="B75:C75"/>
    <mergeCell ref="B60:C60"/>
    <mergeCell ref="B83:C83"/>
    <mergeCell ref="B79:C79"/>
    <mergeCell ref="B81:C81"/>
    <mergeCell ref="B72:C72"/>
    <mergeCell ref="B74:C74"/>
    <mergeCell ref="B73:C73"/>
    <mergeCell ref="B80:C80"/>
    <mergeCell ref="B82:C82"/>
    <mergeCell ref="B76:C76"/>
    <mergeCell ref="B48:C48"/>
    <mergeCell ref="B49:C49"/>
    <mergeCell ref="B50:C50"/>
    <mergeCell ref="B53:C53"/>
    <mergeCell ref="B54:C54"/>
    <mergeCell ref="B52:C52"/>
    <mergeCell ref="B51:C51"/>
    <mergeCell ref="P1:R1"/>
    <mergeCell ref="B41:C41"/>
    <mergeCell ref="B42:C42"/>
    <mergeCell ref="B43:C43"/>
    <mergeCell ref="B44:C44"/>
    <mergeCell ref="B22:C22"/>
    <mergeCell ref="B26:C26"/>
    <mergeCell ref="B21:C21"/>
    <mergeCell ref="B23:C23"/>
    <mergeCell ref="B14:C14"/>
    <mergeCell ref="B15:C15"/>
    <mergeCell ref="B24:C24"/>
    <mergeCell ref="B18:C18"/>
    <mergeCell ref="B19:C19"/>
    <mergeCell ref="B34:C34"/>
    <mergeCell ref="B39:C39"/>
  </mergeCells>
  <printOptions horizontalCentered="1"/>
  <pageMargins left="0.31496062992125984" right="0.11811023622047245" top="0.74803149606299213" bottom="0.74803149606299213" header="0.31496062992125984" footer="0.31496062992125984"/>
  <pageSetup paperSize="9" scale="67" fitToHeight="2" orientation="portrait" cellComments="asDisplayed" r:id="rId1"/>
  <headerFooter>
    <oddHeader>&amp;C&amp;"Times New Roman,Félkövér"&amp;12Martonvásár Város Önkormányzatának kiadásai 2016.
Brunszvik-Beehtoven Kulturális Központ&amp;R&amp;"Times New Roman,Félkövér"&amp;12 6.c melléklet</oddHeader>
  </headerFooter>
  <rowBreaks count="1" manualBreakCount="1">
    <brk id="6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9"/>
  <sheetViews>
    <sheetView workbookViewId="0">
      <selection activeCell="E55" sqref="E55"/>
    </sheetView>
  </sheetViews>
  <sheetFormatPr defaultColWidth="9.109375" defaultRowHeight="13.2"/>
  <cols>
    <col min="1" max="1" width="6.88671875" style="256" customWidth="1"/>
    <col min="2" max="2" width="50.109375" style="256" customWidth="1"/>
    <col min="3" max="3" width="10.44140625" style="256" customWidth="1"/>
    <col min="4" max="4" width="9.5546875" style="258" bestFit="1" customWidth="1"/>
    <col min="5" max="5" width="10.33203125" style="258" customWidth="1"/>
    <col min="6" max="6" width="7.88671875" style="258" bestFit="1" customWidth="1"/>
    <col min="7" max="7" width="8.5546875" style="269" bestFit="1" customWidth="1"/>
    <col min="8" max="8" width="11.6640625" style="258" customWidth="1"/>
    <col min="9" max="16384" width="9.109375" style="256"/>
  </cols>
  <sheetData>
    <row r="1" spans="1:8" ht="14.25" customHeight="1">
      <c r="B1" s="257"/>
      <c r="G1" s="1135" t="s">
        <v>411</v>
      </c>
      <c r="H1" s="1135"/>
    </row>
    <row r="2" spans="1:8" s="257" customFormat="1" ht="39.6">
      <c r="A2" s="249" t="s">
        <v>352</v>
      </c>
      <c r="B2" s="249" t="s">
        <v>353</v>
      </c>
      <c r="C2" s="249" t="s">
        <v>283</v>
      </c>
      <c r="D2" s="249" t="s">
        <v>750</v>
      </c>
      <c r="E2" s="249" t="s">
        <v>762</v>
      </c>
      <c r="F2" s="249" t="s">
        <v>354</v>
      </c>
      <c r="G2" s="249" t="s">
        <v>355</v>
      </c>
      <c r="H2" s="259" t="s">
        <v>406</v>
      </c>
    </row>
    <row r="3" spans="1:8">
      <c r="A3" s="260">
        <v>1</v>
      </c>
      <c r="B3" s="259"/>
      <c r="C3" s="259"/>
      <c r="D3" s="261"/>
      <c r="E3" s="261"/>
      <c r="F3" s="261"/>
      <c r="G3" s="261"/>
      <c r="H3" s="261"/>
    </row>
    <row r="4" spans="1:8" ht="12.75" customHeight="1">
      <c r="A4" s="260">
        <v>2</v>
      </c>
      <c r="B4" s="251"/>
      <c r="C4" s="208"/>
      <c r="D4" s="208"/>
      <c r="E4" s="208"/>
      <c r="F4" s="208"/>
      <c r="G4" s="208"/>
      <c r="H4" s="252"/>
    </row>
    <row r="5" spans="1:8" s="262" customFormat="1" ht="12.75" customHeight="1">
      <c r="A5" s="931">
        <v>3</v>
      </c>
      <c r="B5" s="250" t="s">
        <v>444</v>
      </c>
      <c r="C5" s="254"/>
      <c r="D5" s="254"/>
      <c r="E5" s="254"/>
      <c r="F5" s="254"/>
      <c r="G5" s="254"/>
      <c r="H5" s="254"/>
    </row>
    <row r="6" spans="1:8" ht="12.75" customHeight="1">
      <c r="A6" s="260">
        <v>4</v>
      </c>
      <c r="B6" s="206"/>
      <c r="C6" s="205"/>
      <c r="D6" s="209"/>
      <c r="E6" s="209"/>
      <c r="F6" s="205"/>
      <c r="G6" s="205"/>
      <c r="H6" s="264"/>
    </row>
    <row r="7" spans="1:8" s="262" customFormat="1" ht="12.75" customHeight="1">
      <c r="A7" s="931">
        <v>5</v>
      </c>
      <c r="B7" s="263" t="s">
        <v>357</v>
      </c>
      <c r="C7" s="254"/>
      <c r="D7" s="254"/>
      <c r="E7" s="254"/>
      <c r="F7" s="254"/>
      <c r="G7" s="254"/>
      <c r="H7" s="254"/>
    </row>
    <row r="8" spans="1:8" s="262" customFormat="1" ht="12.75" customHeight="1" thickBot="1">
      <c r="A8" s="260">
        <v>6</v>
      </c>
      <c r="B8" s="543"/>
      <c r="C8" s="544"/>
      <c r="D8" s="544"/>
      <c r="E8" s="544"/>
      <c r="F8" s="544"/>
      <c r="G8" s="544"/>
      <c r="H8" s="544"/>
    </row>
    <row r="9" spans="1:8" ht="12.75" customHeight="1" thickBot="1">
      <c r="A9" s="930">
        <v>7</v>
      </c>
      <c r="B9" s="540" t="s">
        <v>443</v>
      </c>
      <c r="C9" s="548"/>
      <c r="D9" s="542"/>
      <c r="E9" s="542"/>
      <c r="F9" s="542"/>
      <c r="G9" s="542"/>
      <c r="H9" s="933"/>
    </row>
    <row r="10" spans="1:8" ht="12.75" customHeight="1">
      <c r="A10" s="260">
        <v>8</v>
      </c>
      <c r="B10" s="934"/>
      <c r="C10" s="545"/>
      <c r="D10" s="546"/>
      <c r="E10" s="546"/>
      <c r="F10" s="546"/>
      <c r="G10" s="546"/>
      <c r="H10" s="547"/>
    </row>
    <row r="11" spans="1:8" ht="12.75" customHeight="1">
      <c r="A11" s="931">
        <v>9</v>
      </c>
      <c r="B11" s="263" t="s">
        <v>358</v>
      </c>
      <c r="C11" s="208">
        <f t="shared" ref="C11:H11" si="0">+SUM(C12:C41)</f>
        <v>320</v>
      </c>
      <c r="D11" s="208">
        <f t="shared" si="0"/>
        <v>76289</v>
      </c>
      <c r="E11" s="208">
        <f t="shared" si="0"/>
        <v>76609</v>
      </c>
      <c r="F11" s="208">
        <f t="shared" si="0"/>
        <v>0</v>
      </c>
      <c r="G11" s="208">
        <f t="shared" si="0"/>
        <v>0</v>
      </c>
      <c r="H11" s="208">
        <f t="shared" si="0"/>
        <v>0</v>
      </c>
    </row>
    <row r="12" spans="1:8" ht="12.75" customHeight="1">
      <c r="A12" s="260">
        <v>10</v>
      </c>
      <c r="B12" s="533" t="s">
        <v>620</v>
      </c>
      <c r="C12" s="208">
        <v>320</v>
      </c>
      <c r="D12" s="209"/>
      <c r="E12" s="209">
        <f>+C12+D12</f>
        <v>320</v>
      </c>
      <c r="F12" s="209"/>
      <c r="G12" s="209"/>
      <c r="H12" s="264"/>
    </row>
    <row r="13" spans="1:8" ht="12.75" customHeight="1">
      <c r="A13" s="260">
        <v>11</v>
      </c>
      <c r="B13" s="533" t="s">
        <v>1049</v>
      </c>
      <c r="C13" s="929"/>
      <c r="D13" s="209">
        <v>953</v>
      </c>
      <c r="E13" s="209">
        <f t="shared" ref="E13:E41" si="1">+C13+D13</f>
        <v>953</v>
      </c>
      <c r="F13" s="209"/>
      <c r="G13" s="209"/>
      <c r="H13" s="264"/>
    </row>
    <row r="14" spans="1:8" ht="12.75" customHeight="1">
      <c r="A14" s="260">
        <v>12</v>
      </c>
      <c r="B14" s="533" t="s">
        <v>1050</v>
      </c>
      <c r="C14" s="208"/>
      <c r="D14" s="209">
        <v>1270</v>
      </c>
      <c r="E14" s="209">
        <f t="shared" si="1"/>
        <v>1270</v>
      </c>
      <c r="F14" s="209"/>
      <c r="G14" s="209"/>
      <c r="H14" s="264"/>
    </row>
    <row r="15" spans="1:8" ht="12.75" customHeight="1">
      <c r="A15" s="260">
        <v>13</v>
      </c>
      <c r="B15" s="533" t="s">
        <v>1051</v>
      </c>
      <c r="C15" s="208"/>
      <c r="D15" s="209">
        <v>2159</v>
      </c>
      <c r="E15" s="209">
        <f t="shared" si="1"/>
        <v>2159</v>
      </c>
      <c r="F15" s="209"/>
      <c r="G15" s="209"/>
      <c r="H15" s="264"/>
    </row>
    <row r="16" spans="1:8" ht="12.75" customHeight="1">
      <c r="A16" s="260">
        <v>14</v>
      </c>
      <c r="B16" s="533" t="s">
        <v>882</v>
      </c>
      <c r="C16" s="208"/>
      <c r="D16" s="209">
        <v>1499</v>
      </c>
      <c r="E16" s="209">
        <f t="shared" si="1"/>
        <v>1499</v>
      </c>
      <c r="F16" s="209"/>
      <c r="G16" s="209"/>
      <c r="H16" s="264"/>
    </row>
    <row r="17" spans="1:8" ht="12.75" customHeight="1">
      <c r="A17" s="260">
        <v>15</v>
      </c>
      <c r="B17" s="533" t="s">
        <v>883</v>
      </c>
      <c r="C17" s="208"/>
      <c r="D17" s="209">
        <v>1499</v>
      </c>
      <c r="E17" s="209">
        <f t="shared" si="1"/>
        <v>1499</v>
      </c>
      <c r="F17" s="209"/>
      <c r="G17" s="209"/>
      <c r="H17" s="264"/>
    </row>
    <row r="18" spans="1:8" ht="12.75" customHeight="1">
      <c r="A18" s="260">
        <v>16</v>
      </c>
      <c r="B18" s="533" t="s">
        <v>895</v>
      </c>
      <c r="C18" s="208"/>
      <c r="D18" s="209">
        <v>3175</v>
      </c>
      <c r="E18" s="209">
        <f t="shared" si="1"/>
        <v>3175</v>
      </c>
      <c r="F18" s="209"/>
      <c r="G18" s="209"/>
      <c r="H18" s="264"/>
    </row>
    <row r="19" spans="1:8" ht="12.75" customHeight="1">
      <c r="A19" s="260">
        <v>17</v>
      </c>
      <c r="B19" s="533" t="s">
        <v>916</v>
      </c>
      <c r="C19" s="208"/>
      <c r="D19" s="209">
        <v>6750</v>
      </c>
      <c r="E19" s="209">
        <f t="shared" si="1"/>
        <v>6750</v>
      </c>
      <c r="F19" s="209"/>
      <c r="G19" s="209"/>
      <c r="H19" s="264"/>
    </row>
    <row r="20" spans="1:8" ht="12.75" customHeight="1">
      <c r="A20" s="260">
        <v>18</v>
      </c>
      <c r="B20" s="533" t="s">
        <v>917</v>
      </c>
      <c r="C20" s="208"/>
      <c r="D20" s="209">
        <v>31742</v>
      </c>
      <c r="E20" s="209">
        <f t="shared" si="1"/>
        <v>31742</v>
      </c>
      <c r="F20" s="209"/>
      <c r="G20" s="209"/>
      <c r="H20" s="264"/>
    </row>
    <row r="21" spans="1:8" ht="12.75" customHeight="1">
      <c r="A21" s="260">
        <v>19</v>
      </c>
      <c r="B21" s="533" t="s">
        <v>1052</v>
      </c>
      <c r="C21" s="208"/>
      <c r="D21" s="209">
        <v>152</v>
      </c>
      <c r="E21" s="209">
        <f t="shared" si="1"/>
        <v>152</v>
      </c>
      <c r="F21" s="209"/>
      <c r="G21" s="209"/>
      <c r="H21" s="264"/>
    </row>
    <row r="22" spans="1:8" ht="12.75" customHeight="1">
      <c r="A22" s="260">
        <v>20</v>
      </c>
      <c r="B22" s="533" t="s">
        <v>1053</v>
      </c>
      <c r="C22" s="208"/>
      <c r="D22" s="209">
        <v>381</v>
      </c>
      <c r="E22" s="209">
        <f t="shared" si="1"/>
        <v>381</v>
      </c>
      <c r="F22" s="209"/>
      <c r="G22" s="209"/>
      <c r="H22" s="264"/>
    </row>
    <row r="23" spans="1:8" ht="12.75" customHeight="1">
      <c r="A23" s="260">
        <v>21</v>
      </c>
      <c r="B23" s="533" t="s">
        <v>1054</v>
      </c>
      <c r="C23" s="208"/>
      <c r="D23" s="209">
        <v>15000</v>
      </c>
      <c r="E23" s="209">
        <f t="shared" si="1"/>
        <v>15000</v>
      </c>
      <c r="F23" s="209"/>
      <c r="G23" s="209"/>
      <c r="H23" s="264"/>
    </row>
    <row r="24" spans="1:8" ht="12.75" customHeight="1">
      <c r="A24" s="260">
        <v>22</v>
      </c>
      <c r="B24" s="533" t="s">
        <v>1055</v>
      </c>
      <c r="C24" s="208"/>
      <c r="D24" s="209">
        <v>665</v>
      </c>
      <c r="E24" s="209">
        <f t="shared" si="1"/>
        <v>665</v>
      </c>
      <c r="F24" s="209"/>
      <c r="G24" s="209"/>
      <c r="H24" s="264"/>
    </row>
    <row r="25" spans="1:8" ht="12.75" customHeight="1">
      <c r="A25" s="260">
        <v>23</v>
      </c>
      <c r="B25" s="533" t="s">
        <v>846</v>
      </c>
      <c r="C25" s="208"/>
      <c r="D25" s="209">
        <v>100</v>
      </c>
      <c r="E25" s="209">
        <f t="shared" si="1"/>
        <v>100</v>
      </c>
      <c r="F25" s="209"/>
      <c r="G25" s="209"/>
      <c r="H25" s="264"/>
    </row>
    <row r="26" spans="1:8" ht="12.75" customHeight="1">
      <c r="A26" s="260">
        <v>24</v>
      </c>
      <c r="B26" s="533" t="s">
        <v>1056</v>
      </c>
      <c r="C26" s="208"/>
      <c r="D26" s="209">
        <v>1346</v>
      </c>
      <c r="E26" s="209">
        <f t="shared" si="1"/>
        <v>1346</v>
      </c>
      <c r="F26" s="209"/>
      <c r="G26" s="209"/>
      <c r="H26" s="264"/>
    </row>
    <row r="27" spans="1:8" ht="12.75" customHeight="1">
      <c r="A27" s="260">
        <v>25</v>
      </c>
      <c r="B27" s="533" t="s">
        <v>1057</v>
      </c>
      <c r="C27" s="208"/>
      <c r="D27" s="209">
        <v>53</v>
      </c>
      <c r="E27" s="209">
        <f t="shared" si="1"/>
        <v>53</v>
      </c>
      <c r="F27" s="209"/>
      <c r="G27" s="209"/>
      <c r="H27" s="264"/>
    </row>
    <row r="28" spans="1:8" ht="12.75" customHeight="1">
      <c r="A28" s="260">
        <v>26</v>
      </c>
      <c r="B28" s="533" t="s">
        <v>1058</v>
      </c>
      <c r="C28" s="208"/>
      <c r="D28" s="209">
        <v>279</v>
      </c>
      <c r="E28" s="209">
        <f t="shared" si="1"/>
        <v>279</v>
      </c>
      <c r="F28" s="209"/>
      <c r="G28" s="209"/>
      <c r="H28" s="264"/>
    </row>
    <row r="29" spans="1:8" ht="12.75" customHeight="1">
      <c r="A29" s="260">
        <v>27</v>
      </c>
      <c r="B29" s="533" t="s">
        <v>1059</v>
      </c>
      <c r="C29" s="208"/>
      <c r="D29" s="209">
        <v>300</v>
      </c>
      <c r="E29" s="209">
        <f t="shared" si="1"/>
        <v>300</v>
      </c>
      <c r="F29" s="209"/>
      <c r="G29" s="209"/>
      <c r="H29" s="264"/>
    </row>
    <row r="30" spans="1:8" ht="12.75" customHeight="1">
      <c r="A30" s="260">
        <v>28</v>
      </c>
      <c r="B30" s="533" t="s">
        <v>1060</v>
      </c>
      <c r="C30" s="208"/>
      <c r="D30" s="209">
        <v>1600</v>
      </c>
      <c r="E30" s="209">
        <f t="shared" si="1"/>
        <v>1600</v>
      </c>
      <c r="F30" s="209"/>
      <c r="G30" s="209"/>
      <c r="H30" s="264"/>
    </row>
    <row r="31" spans="1:8" ht="12.75" customHeight="1">
      <c r="A31" s="260">
        <v>29</v>
      </c>
      <c r="B31" s="533" t="s">
        <v>1061</v>
      </c>
      <c r="C31" s="208"/>
      <c r="D31" s="209">
        <v>3000</v>
      </c>
      <c r="E31" s="209">
        <f t="shared" si="1"/>
        <v>3000</v>
      </c>
      <c r="F31" s="209"/>
      <c r="G31" s="209"/>
      <c r="H31" s="264"/>
    </row>
    <row r="32" spans="1:8" ht="12.75" customHeight="1">
      <c r="A32" s="260">
        <v>30</v>
      </c>
      <c r="B32" s="533" t="s">
        <v>1062</v>
      </c>
      <c r="C32" s="208"/>
      <c r="D32" s="209">
        <v>55</v>
      </c>
      <c r="E32" s="209">
        <f t="shared" si="1"/>
        <v>55</v>
      </c>
      <c r="F32" s="209"/>
      <c r="G32" s="209"/>
      <c r="H32" s="264"/>
    </row>
    <row r="33" spans="1:8" ht="12.75" customHeight="1">
      <c r="A33" s="260">
        <v>31</v>
      </c>
      <c r="B33" s="533" t="s">
        <v>1063</v>
      </c>
      <c r="C33" s="208"/>
      <c r="D33" s="209">
        <f>295+198</f>
        <v>493</v>
      </c>
      <c r="E33" s="209">
        <f t="shared" si="1"/>
        <v>493</v>
      </c>
      <c r="F33" s="209"/>
      <c r="G33" s="209"/>
      <c r="H33" s="264"/>
    </row>
    <row r="34" spans="1:8" ht="12.75" customHeight="1">
      <c r="A34" s="260">
        <v>32</v>
      </c>
      <c r="B34" s="533" t="s">
        <v>1064</v>
      </c>
      <c r="C34" s="208"/>
      <c r="D34" s="209">
        <v>953</v>
      </c>
      <c r="E34" s="209">
        <f t="shared" si="1"/>
        <v>953</v>
      </c>
      <c r="F34" s="209"/>
      <c r="G34" s="209"/>
      <c r="H34" s="264"/>
    </row>
    <row r="35" spans="1:8" ht="12.75" customHeight="1">
      <c r="A35" s="260">
        <v>33</v>
      </c>
      <c r="B35" s="533" t="s">
        <v>1065</v>
      </c>
      <c r="C35" s="208"/>
      <c r="D35" s="209">
        <v>150</v>
      </c>
      <c r="E35" s="209">
        <f t="shared" si="1"/>
        <v>150</v>
      </c>
      <c r="F35" s="209"/>
      <c r="G35" s="209"/>
      <c r="H35" s="264"/>
    </row>
    <row r="36" spans="1:8" ht="12.75" customHeight="1">
      <c r="A36" s="260">
        <v>34</v>
      </c>
      <c r="B36" s="533" t="s">
        <v>1066</v>
      </c>
      <c r="C36" s="208"/>
      <c r="D36" s="209">
        <v>10</v>
      </c>
      <c r="E36" s="209">
        <f t="shared" si="1"/>
        <v>10</v>
      </c>
      <c r="F36" s="209"/>
      <c r="G36" s="209"/>
      <c r="H36" s="264"/>
    </row>
    <row r="37" spans="1:8" ht="12.75" customHeight="1">
      <c r="A37" s="260">
        <v>35</v>
      </c>
      <c r="B37" s="533" t="s">
        <v>1067</v>
      </c>
      <c r="C37" s="208"/>
      <c r="D37" s="209">
        <v>494</v>
      </c>
      <c r="E37" s="209">
        <f t="shared" si="1"/>
        <v>494</v>
      </c>
      <c r="F37" s="209"/>
      <c r="G37" s="209"/>
      <c r="H37" s="264"/>
    </row>
    <row r="38" spans="1:8" ht="12.75" customHeight="1">
      <c r="A38" s="260">
        <v>36</v>
      </c>
      <c r="B38" s="533" t="s">
        <v>1068</v>
      </c>
      <c r="C38" s="208"/>
      <c r="D38" s="209">
        <v>565</v>
      </c>
      <c r="E38" s="209">
        <f t="shared" si="1"/>
        <v>565</v>
      </c>
      <c r="F38" s="209"/>
      <c r="G38" s="209"/>
      <c r="H38" s="264"/>
    </row>
    <row r="39" spans="1:8" ht="12.75" customHeight="1">
      <c r="A39" s="260">
        <v>37</v>
      </c>
      <c r="B39" s="533" t="s">
        <v>1069</v>
      </c>
      <c r="C39" s="208"/>
      <c r="D39" s="209">
        <f>1156+476</f>
        <v>1632</v>
      </c>
      <c r="E39" s="209">
        <f t="shared" si="1"/>
        <v>1632</v>
      </c>
      <c r="F39" s="209"/>
      <c r="G39" s="209"/>
      <c r="H39" s="264"/>
    </row>
    <row r="40" spans="1:8" ht="12.75" customHeight="1">
      <c r="A40" s="260">
        <v>38</v>
      </c>
      <c r="B40" s="533" t="s">
        <v>1070</v>
      </c>
      <c r="C40" s="208"/>
      <c r="D40" s="209">
        <v>14</v>
      </c>
      <c r="E40" s="209">
        <f t="shared" si="1"/>
        <v>14</v>
      </c>
      <c r="F40" s="209"/>
      <c r="G40" s="209"/>
      <c r="H40" s="264"/>
    </row>
    <row r="41" spans="1:8" ht="12.75" customHeight="1">
      <c r="A41" s="260">
        <v>39</v>
      </c>
      <c r="B41" s="533"/>
      <c r="C41" s="208"/>
      <c r="D41" s="209"/>
      <c r="E41" s="209">
        <f t="shared" si="1"/>
        <v>0</v>
      </c>
      <c r="F41" s="209"/>
      <c r="G41" s="209"/>
      <c r="H41" s="264"/>
    </row>
    <row r="42" spans="1:8" ht="12.75" customHeight="1">
      <c r="A42" s="931">
        <v>40</v>
      </c>
      <c r="B42" s="263" t="s">
        <v>359</v>
      </c>
      <c r="C42" s="205"/>
      <c r="D42" s="211"/>
      <c r="E42" s="211"/>
      <c r="F42" s="211"/>
      <c r="G42" s="211"/>
      <c r="H42" s="253"/>
    </row>
    <row r="43" spans="1:8" ht="12.75" customHeight="1" thickBot="1">
      <c r="A43" s="260">
        <v>41</v>
      </c>
      <c r="B43" s="533"/>
      <c r="C43" s="534"/>
      <c r="D43" s="535"/>
      <c r="E43" s="535"/>
      <c r="F43" s="535"/>
      <c r="G43" s="535"/>
      <c r="H43" s="536"/>
    </row>
    <row r="44" spans="1:8" s="262" customFormat="1" ht="12.75" customHeight="1" thickBot="1">
      <c r="A44" s="930">
        <v>42</v>
      </c>
      <c r="B44" s="540" t="s">
        <v>360</v>
      </c>
      <c r="C44" s="541">
        <f t="shared" ref="C44:H44" si="2">+C42+C11</f>
        <v>320</v>
      </c>
      <c r="D44" s="541">
        <f t="shared" si="2"/>
        <v>76289</v>
      </c>
      <c r="E44" s="541">
        <f t="shared" si="2"/>
        <v>76609</v>
      </c>
      <c r="F44" s="541">
        <f t="shared" si="2"/>
        <v>0</v>
      </c>
      <c r="G44" s="541">
        <f t="shared" si="2"/>
        <v>0</v>
      </c>
      <c r="H44" s="541">
        <f t="shared" si="2"/>
        <v>0</v>
      </c>
    </row>
    <row r="45" spans="1:8" ht="12.75" customHeight="1">
      <c r="A45" s="260">
        <v>43</v>
      </c>
      <c r="B45" s="537"/>
      <c r="C45" s="538"/>
      <c r="D45" s="539"/>
      <c r="E45" s="539"/>
      <c r="F45" s="539"/>
      <c r="G45" s="539"/>
      <c r="H45" s="539"/>
    </row>
    <row r="46" spans="1:8" ht="12.75" customHeight="1">
      <c r="A46" s="932">
        <v>44</v>
      </c>
      <c r="B46" s="212" t="s">
        <v>361</v>
      </c>
      <c r="C46" s="205"/>
      <c r="D46" s="211"/>
      <c r="E46" s="211"/>
      <c r="F46" s="211"/>
      <c r="G46" s="211"/>
      <c r="H46" s="211"/>
    </row>
    <row r="47" spans="1:8" ht="12.75" customHeight="1">
      <c r="A47" s="260">
        <v>45</v>
      </c>
      <c r="B47" s="265"/>
      <c r="C47" s="208"/>
      <c r="D47" s="209"/>
      <c r="E47" s="209"/>
      <c r="F47" s="209"/>
      <c r="G47" s="209"/>
      <c r="H47" s="264"/>
    </row>
    <row r="48" spans="1:8" ht="12.75" customHeight="1">
      <c r="A48" s="932">
        <v>46</v>
      </c>
      <c r="B48" s="212" t="s">
        <v>363</v>
      </c>
      <c r="C48" s="205"/>
      <c r="D48" s="254"/>
      <c r="E48" s="254"/>
      <c r="F48" s="254"/>
      <c r="G48" s="254"/>
      <c r="H48" s="254"/>
    </row>
    <row r="49" spans="1:8" ht="12.75" customHeight="1">
      <c r="A49" s="260">
        <v>47</v>
      </c>
      <c r="B49" s="212"/>
      <c r="C49" s="205"/>
      <c r="D49" s="211"/>
      <c r="E49" s="211"/>
      <c r="F49" s="211"/>
      <c r="G49" s="211"/>
      <c r="H49" s="253"/>
    </row>
    <row r="50" spans="1:8" ht="12.75" customHeight="1">
      <c r="A50" s="932">
        <v>48</v>
      </c>
      <c r="B50" s="212" t="s">
        <v>613</v>
      </c>
      <c r="C50" s="205"/>
      <c r="D50" s="211"/>
      <c r="E50" s="211"/>
      <c r="F50" s="211"/>
      <c r="G50" s="211"/>
      <c r="H50" s="253"/>
    </row>
    <row r="51" spans="1:8" ht="12.75" customHeight="1">
      <c r="A51" s="260">
        <v>49</v>
      </c>
      <c r="B51" s="207" t="s">
        <v>614</v>
      </c>
      <c r="C51" s="208">
        <v>5060</v>
      </c>
      <c r="D51" s="209">
        <v>-1860</v>
      </c>
      <c r="E51" s="209">
        <f>+C51+D51</f>
        <v>3200</v>
      </c>
      <c r="F51" s="209"/>
      <c r="G51" s="209"/>
      <c r="H51" s="264"/>
    </row>
    <row r="52" spans="1:8" ht="12.75" customHeight="1">
      <c r="A52" s="260">
        <v>50</v>
      </c>
      <c r="B52" s="207" t="s">
        <v>615</v>
      </c>
      <c r="C52" s="208"/>
      <c r="D52" s="209"/>
      <c r="E52" s="209"/>
      <c r="F52" s="209"/>
      <c r="G52" s="209"/>
      <c r="H52" s="264"/>
    </row>
    <row r="53" spans="1:8" ht="12.75" customHeight="1">
      <c r="A53" s="260">
        <v>51</v>
      </c>
      <c r="B53" s="207" t="s">
        <v>616</v>
      </c>
      <c r="C53" s="208"/>
      <c r="D53" s="209">
        <v>17</v>
      </c>
      <c r="E53" s="209">
        <f>+C53+D53</f>
        <v>17</v>
      </c>
      <c r="F53" s="209"/>
      <c r="G53" s="209"/>
      <c r="H53" s="264"/>
    </row>
    <row r="54" spans="1:8" ht="12.75" customHeight="1">
      <c r="A54" s="260">
        <v>52</v>
      </c>
      <c r="B54" s="533" t="s">
        <v>617</v>
      </c>
      <c r="C54" s="534"/>
      <c r="D54" s="535"/>
      <c r="E54" s="535"/>
      <c r="F54" s="535"/>
      <c r="G54" s="535"/>
      <c r="H54" s="536"/>
    </row>
    <row r="55" spans="1:8" ht="12.75" customHeight="1">
      <c r="A55" s="260">
        <v>53</v>
      </c>
      <c r="B55" s="533" t="s">
        <v>618</v>
      </c>
      <c r="C55" s="534"/>
      <c r="D55" s="535">
        <f>283+147+21+15</f>
        <v>466</v>
      </c>
      <c r="E55" s="209">
        <f>+C55+D55</f>
        <v>466</v>
      </c>
      <c r="F55" s="535"/>
      <c r="G55" s="535"/>
      <c r="H55" s="536"/>
    </row>
    <row r="56" spans="1:8" ht="12.75" customHeight="1" thickBot="1">
      <c r="A56" s="260">
        <v>54</v>
      </c>
      <c r="B56" s="533" t="s">
        <v>619</v>
      </c>
      <c r="C56" s="534">
        <v>2000</v>
      </c>
      <c r="D56" s="535">
        <f>-283-147-21-15+1199</f>
        <v>733</v>
      </c>
      <c r="E56" s="535">
        <f>+C56+D56</f>
        <v>2733</v>
      </c>
      <c r="F56" s="535"/>
      <c r="G56" s="535"/>
      <c r="H56" s="536"/>
    </row>
    <row r="57" spans="1:8" s="262" customFormat="1" ht="12.75" customHeight="1" thickBot="1">
      <c r="A57" s="930">
        <v>55</v>
      </c>
      <c r="B57" s="540" t="s">
        <v>364</v>
      </c>
      <c r="C57" s="541">
        <f>SUM(C51:C56)</f>
        <v>7060</v>
      </c>
      <c r="D57" s="541">
        <f t="shared" ref="D57:H57" si="3">SUM(D51:D56)</f>
        <v>-644</v>
      </c>
      <c r="E57" s="541">
        <f t="shared" si="3"/>
        <v>6416</v>
      </c>
      <c r="F57" s="541">
        <f t="shared" si="3"/>
        <v>0</v>
      </c>
      <c r="G57" s="541">
        <f t="shared" si="3"/>
        <v>0</v>
      </c>
      <c r="H57" s="541">
        <f t="shared" si="3"/>
        <v>0</v>
      </c>
    </row>
    <row r="58" spans="1:8" s="262" customFormat="1" ht="13.5" customHeight="1" thickBot="1">
      <c r="A58" s="935">
        <v>56</v>
      </c>
      <c r="B58" s="936" t="s">
        <v>367</v>
      </c>
      <c r="C58" s="937">
        <f>+C57+C44</f>
        <v>7380</v>
      </c>
      <c r="D58" s="937">
        <f t="shared" ref="D58:H58" si="4">+D57+D44</f>
        <v>75645</v>
      </c>
      <c r="E58" s="937">
        <f t="shared" si="4"/>
        <v>83025</v>
      </c>
      <c r="F58" s="937">
        <f t="shared" si="4"/>
        <v>0</v>
      </c>
      <c r="G58" s="937">
        <f t="shared" si="4"/>
        <v>0</v>
      </c>
      <c r="H58" s="938">
        <f t="shared" si="4"/>
        <v>0</v>
      </c>
    </row>
    <row r="59" spans="1:8" ht="13.5" customHeight="1">
      <c r="B59" s="213"/>
      <c r="C59" s="266"/>
      <c r="D59" s="267"/>
      <c r="E59" s="267"/>
      <c r="F59" s="267"/>
      <c r="G59" s="267"/>
      <c r="H59" s="268"/>
    </row>
  </sheetData>
  <mergeCells count="1">
    <mergeCell ref="G1:H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&amp;C&amp;"Times New Roman,Félkövér"&amp;12Martonvásár Város Önkormányzat beruházási (felhalmozási) célú kiadásai
előirányzata feladatonként    &amp;R&amp;"Times New Roman,Félkövér"&amp;10 7.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workbookViewId="0">
      <selection activeCell="B16" sqref="B16"/>
    </sheetView>
  </sheetViews>
  <sheetFormatPr defaultColWidth="53.109375" defaultRowHeight="14.4"/>
  <cols>
    <col min="1" max="1" width="5.5546875" style="116" customWidth="1"/>
    <col min="2" max="2" width="53.109375" style="117" customWidth="1"/>
    <col min="3" max="3" width="13.6640625" style="116" customWidth="1"/>
    <col min="4" max="4" width="13.44140625" style="116" customWidth="1"/>
    <col min="5" max="5" width="13.33203125" style="116" customWidth="1"/>
    <col min="6" max="6" width="11.33203125" style="116" customWidth="1"/>
    <col min="7" max="7" width="11.88671875" style="116" customWidth="1"/>
    <col min="8" max="8" width="11.6640625" style="149" customWidth="1"/>
    <col min="9" max="16384" width="53.109375" style="116"/>
  </cols>
  <sheetData>
    <row r="1" spans="1:8" ht="12.75" customHeight="1" thickBot="1">
      <c r="G1" s="1136" t="s">
        <v>411</v>
      </c>
      <c r="H1" s="1136"/>
    </row>
    <row r="2" spans="1:8" s="145" customFormat="1" ht="39.75" customHeight="1" thickBot="1">
      <c r="A2" s="143" t="s">
        <v>368</v>
      </c>
      <c r="B2" s="118" t="s">
        <v>369</v>
      </c>
      <c r="C2" s="118" t="s">
        <v>370</v>
      </c>
      <c r="D2" s="118" t="s">
        <v>750</v>
      </c>
      <c r="E2" s="118" t="s">
        <v>305</v>
      </c>
      <c r="F2" s="118" t="s">
        <v>354</v>
      </c>
      <c r="G2" s="118" t="s">
        <v>355</v>
      </c>
      <c r="H2" s="144" t="s">
        <v>181</v>
      </c>
    </row>
    <row r="3" spans="1:8" s="149" customFormat="1" ht="12.75" customHeight="1">
      <c r="A3" s="146">
        <v>1</v>
      </c>
      <c r="B3" s="147" t="s">
        <v>306</v>
      </c>
      <c r="C3" s="147" t="s">
        <v>314</v>
      </c>
      <c r="D3" s="147" t="s">
        <v>307</v>
      </c>
      <c r="E3" s="147" t="s">
        <v>308</v>
      </c>
      <c r="F3" s="147" t="s">
        <v>309</v>
      </c>
      <c r="G3" s="147" t="s">
        <v>310</v>
      </c>
      <c r="H3" s="148" t="s">
        <v>356</v>
      </c>
    </row>
    <row r="4" spans="1:8" s="149" customFormat="1" ht="12.75" customHeight="1">
      <c r="A4" s="150">
        <v>2</v>
      </c>
      <c r="B4" s="151" t="s">
        <v>371</v>
      </c>
      <c r="C4" s="152"/>
      <c r="D4" s="152"/>
      <c r="E4" s="152"/>
      <c r="F4" s="152"/>
      <c r="G4" s="152"/>
      <c r="H4" s="153"/>
    </row>
    <row r="5" spans="1:8" ht="13.5" customHeight="1">
      <c r="A5" s="150">
        <v>3</v>
      </c>
      <c r="B5" s="133"/>
      <c r="C5" s="154"/>
      <c r="D5" s="155"/>
      <c r="E5" s="156"/>
      <c r="F5" s="156"/>
      <c r="G5" s="156"/>
      <c r="H5" s="157"/>
    </row>
    <row r="6" spans="1:8" ht="12.75" customHeight="1">
      <c r="A6" s="150">
        <v>4</v>
      </c>
      <c r="B6" s="158"/>
      <c r="C6" s="154"/>
      <c r="D6" s="155"/>
      <c r="E6" s="156"/>
      <c r="F6" s="156"/>
      <c r="G6" s="156"/>
      <c r="H6" s="157"/>
    </row>
    <row r="7" spans="1:8" ht="12.75" customHeight="1" thickBot="1">
      <c r="A7" s="159">
        <v>5</v>
      </c>
      <c r="B7" s="134"/>
      <c r="C7" s="160"/>
      <c r="D7" s="161"/>
      <c r="E7" s="162"/>
      <c r="F7" s="162"/>
      <c r="G7" s="162"/>
      <c r="H7" s="163"/>
    </row>
    <row r="8" spans="1:8" ht="12.75" customHeight="1" thickBot="1">
      <c r="A8" s="164">
        <v>6</v>
      </c>
      <c r="B8" s="119" t="s">
        <v>372</v>
      </c>
      <c r="C8" s="165"/>
      <c r="D8" s="166"/>
      <c r="E8" s="127"/>
      <c r="F8" s="127"/>
      <c r="G8" s="127"/>
      <c r="H8" s="167"/>
    </row>
    <row r="9" spans="1:8" ht="12.75" customHeight="1">
      <c r="A9" s="146">
        <v>7</v>
      </c>
      <c r="B9" s="168" t="s">
        <v>445</v>
      </c>
      <c r="C9" s="169"/>
      <c r="D9" s="170"/>
      <c r="E9" s="128"/>
      <c r="F9" s="128"/>
      <c r="G9" s="128"/>
      <c r="H9" s="171"/>
    </row>
    <row r="10" spans="1:8" ht="12.75" customHeight="1" thickBot="1">
      <c r="A10" s="159">
        <v>8</v>
      </c>
      <c r="B10" s="134"/>
      <c r="C10" s="160"/>
      <c r="D10" s="161"/>
      <c r="E10" s="162"/>
      <c r="F10" s="162"/>
      <c r="G10" s="162"/>
      <c r="H10" s="163"/>
    </row>
    <row r="11" spans="1:8" ht="12.75" customHeight="1" thickBot="1">
      <c r="A11" s="164">
        <v>9</v>
      </c>
      <c r="B11" s="132" t="s">
        <v>357</v>
      </c>
      <c r="C11" s="165"/>
      <c r="D11" s="166"/>
      <c r="E11" s="127"/>
      <c r="F11" s="127"/>
      <c r="G11" s="127"/>
      <c r="H11" s="167"/>
    </row>
    <row r="12" spans="1:8" ht="12.75" customHeight="1">
      <c r="A12" s="146">
        <v>10</v>
      </c>
      <c r="B12" s="168" t="s">
        <v>373</v>
      </c>
      <c r="C12" s="169">
        <f>+SUM(C13:C14)</f>
        <v>0</v>
      </c>
      <c r="D12" s="169">
        <f t="shared" ref="D12:E12" si="0">+SUM(D13:D14)</f>
        <v>5663</v>
      </c>
      <c r="E12" s="169">
        <f t="shared" si="0"/>
        <v>5663</v>
      </c>
      <c r="F12" s="128"/>
      <c r="G12" s="128"/>
      <c r="H12" s="171"/>
    </row>
    <row r="13" spans="1:8" ht="12.75" customHeight="1">
      <c r="A13" s="150">
        <v>11</v>
      </c>
      <c r="B13" s="207" t="s">
        <v>1071</v>
      </c>
      <c r="C13" s="208"/>
      <c r="D13" s="209">
        <v>5418</v>
      </c>
      <c r="E13" s="208">
        <f>+C13+D13</f>
        <v>5418</v>
      </c>
      <c r="F13" s="208"/>
      <c r="G13" s="120"/>
      <c r="H13" s="157"/>
    </row>
    <row r="14" spans="1:8" ht="12.75" customHeight="1">
      <c r="A14" s="150">
        <v>12</v>
      </c>
      <c r="B14" s="207" t="s">
        <v>1072</v>
      </c>
      <c r="C14" s="208"/>
      <c r="D14" s="209">
        <v>245</v>
      </c>
      <c r="E14" s="208">
        <f>+C14+D14</f>
        <v>245</v>
      </c>
      <c r="F14" s="208"/>
      <c r="G14" s="120"/>
      <c r="H14" s="157"/>
    </row>
    <row r="15" spans="1:8" ht="12.75" customHeight="1">
      <c r="A15" s="150">
        <v>13</v>
      </c>
      <c r="B15" s="130"/>
      <c r="C15" s="174"/>
      <c r="D15" s="175"/>
      <c r="E15" s="131"/>
      <c r="F15" s="131"/>
      <c r="G15" s="131"/>
      <c r="H15" s="176"/>
    </row>
    <row r="16" spans="1:8" ht="12.75" customHeight="1" thickBot="1">
      <c r="A16" s="159">
        <v>14</v>
      </c>
      <c r="B16" s="207"/>
      <c r="C16" s="208"/>
      <c r="D16" s="210"/>
      <c r="E16" s="208"/>
      <c r="F16" s="208"/>
      <c r="G16" s="124"/>
      <c r="H16" s="163"/>
    </row>
    <row r="17" spans="1:8" ht="12.75" customHeight="1" thickBot="1">
      <c r="A17" s="164">
        <v>15</v>
      </c>
      <c r="B17" s="135" t="s">
        <v>374</v>
      </c>
      <c r="C17" s="136">
        <f>SUM(C13:C16)</f>
        <v>0</v>
      </c>
      <c r="D17" s="136">
        <f t="shared" ref="D17:E17" si="1">SUM(D13:D16)</f>
        <v>5663</v>
      </c>
      <c r="E17" s="136">
        <f t="shared" si="1"/>
        <v>5663</v>
      </c>
      <c r="F17" s="136">
        <f>SUM(F13:F16)</f>
        <v>0</v>
      </c>
      <c r="G17" s="136">
        <f>SUM(G13:G13)</f>
        <v>0</v>
      </c>
      <c r="H17" s="137">
        <f>SUM(H13:H13)</f>
        <v>0</v>
      </c>
    </row>
    <row r="18" spans="1:8" ht="12.75" customHeight="1">
      <c r="A18" s="146">
        <v>16</v>
      </c>
      <c r="B18" s="138" t="s">
        <v>361</v>
      </c>
      <c r="C18" s="139"/>
      <c r="D18" s="178"/>
      <c r="E18" s="139"/>
      <c r="F18" s="139"/>
      <c r="G18" s="139"/>
      <c r="H18" s="171"/>
    </row>
    <row r="19" spans="1:8" ht="12.75" customHeight="1">
      <c r="A19" s="150">
        <v>17</v>
      </c>
      <c r="B19" s="133"/>
      <c r="C19" s="120"/>
      <c r="D19" s="173"/>
      <c r="E19" s="120"/>
      <c r="F19" s="120"/>
      <c r="G19" s="120"/>
      <c r="H19" s="157"/>
    </row>
    <row r="20" spans="1:8" ht="12.75" customHeight="1">
      <c r="A20" s="150">
        <v>18</v>
      </c>
      <c r="B20" s="130" t="s">
        <v>362</v>
      </c>
      <c r="C20" s="174"/>
      <c r="D20" s="175"/>
      <c r="E20" s="131"/>
      <c r="F20" s="131"/>
      <c r="G20" s="131"/>
      <c r="H20" s="176"/>
    </row>
    <row r="21" spans="1:8" ht="12.75" customHeight="1">
      <c r="A21" s="150">
        <v>19</v>
      </c>
      <c r="B21" s="130"/>
      <c r="C21" s="174"/>
      <c r="D21" s="175"/>
      <c r="E21" s="131"/>
      <c r="F21" s="131"/>
      <c r="G21" s="131"/>
      <c r="H21" s="176"/>
    </row>
    <row r="22" spans="1:8" ht="12.75" customHeight="1" thickBot="1">
      <c r="A22" s="159">
        <v>20</v>
      </c>
      <c r="B22" s="123"/>
      <c r="C22" s="124"/>
      <c r="D22" s="177"/>
      <c r="E22" s="124"/>
      <c r="F22" s="124"/>
      <c r="G22" s="124"/>
      <c r="H22" s="163">
        <f>SUM(F22:G22)</f>
        <v>0</v>
      </c>
    </row>
    <row r="23" spans="1:8" ht="12.75" customHeight="1" thickBot="1">
      <c r="A23" s="164">
        <v>21</v>
      </c>
      <c r="B23" s="135" t="s">
        <v>363</v>
      </c>
      <c r="C23" s="136"/>
      <c r="D23" s="141">
        <f>SUM(D21:D22)</f>
        <v>0</v>
      </c>
      <c r="E23" s="141">
        <f>SUM(E21:E22)</f>
        <v>0</v>
      </c>
      <c r="F23" s="141">
        <f>SUM(F21:F22)</f>
        <v>0</v>
      </c>
      <c r="G23" s="141">
        <f>SUM(G21:G22)</f>
        <v>0</v>
      </c>
      <c r="H23" s="142">
        <f>SUM(H21:H22)</f>
        <v>0</v>
      </c>
    </row>
    <row r="24" spans="1:8" ht="12.75" customHeight="1">
      <c r="A24" s="146">
        <v>22</v>
      </c>
      <c r="B24" s="138" t="s">
        <v>375</v>
      </c>
      <c r="C24" s="139"/>
      <c r="D24" s="178"/>
      <c r="E24" s="139"/>
      <c r="F24" s="139"/>
      <c r="G24" s="139"/>
      <c r="H24" s="171"/>
    </row>
    <row r="25" spans="1:8" ht="12.75" customHeight="1" thickBot="1">
      <c r="A25" s="159">
        <v>23</v>
      </c>
      <c r="B25" s="179"/>
      <c r="C25" s="124"/>
      <c r="D25" s="180"/>
      <c r="E25" s="124"/>
      <c r="F25" s="124"/>
      <c r="G25" s="124"/>
      <c r="H25" s="163"/>
    </row>
    <row r="26" spans="1:8" ht="12.75" customHeight="1" thickBot="1">
      <c r="A26" s="164">
        <v>24</v>
      </c>
      <c r="B26" s="135" t="s">
        <v>376</v>
      </c>
      <c r="C26" s="136"/>
      <c r="D26" s="141">
        <f>SUM(D25:D25)</f>
        <v>0</v>
      </c>
      <c r="E26" s="141">
        <f>SUM(E25:E25)</f>
        <v>0</v>
      </c>
      <c r="F26" s="141">
        <f>SUM(F25:F25)</f>
        <v>0</v>
      </c>
      <c r="G26" s="141">
        <f>SUM(G25:G25)</f>
        <v>0</v>
      </c>
      <c r="H26" s="142">
        <f>SUM(H25:H25)</f>
        <v>0</v>
      </c>
    </row>
    <row r="27" spans="1:8" ht="12.75" customHeight="1">
      <c r="A27" s="146">
        <v>25</v>
      </c>
      <c r="B27" s="138" t="s">
        <v>365</v>
      </c>
      <c r="C27" s="139"/>
      <c r="D27" s="140"/>
      <c r="E27" s="140"/>
      <c r="F27" s="140"/>
      <c r="G27" s="139"/>
      <c r="H27" s="129"/>
    </row>
    <row r="28" spans="1:8" ht="12.75" customHeight="1">
      <c r="A28" s="150">
        <v>26</v>
      </c>
      <c r="B28" s="172"/>
      <c r="C28" s="120"/>
      <c r="D28" s="121"/>
      <c r="E28" s="121"/>
      <c r="F28" s="121"/>
      <c r="G28" s="120"/>
      <c r="H28" s="122"/>
    </row>
    <row r="29" spans="1:8" ht="12.75" customHeight="1" thickBot="1">
      <c r="A29" s="159">
        <v>27</v>
      </c>
      <c r="B29" s="179"/>
      <c r="C29" s="124"/>
      <c r="D29" s="125"/>
      <c r="E29" s="125"/>
      <c r="F29" s="125"/>
      <c r="G29" s="124"/>
      <c r="H29" s="126"/>
    </row>
    <row r="30" spans="1:8" s="182" customFormat="1" ht="12.75" customHeight="1" thickBot="1">
      <c r="A30" s="164">
        <v>28</v>
      </c>
      <c r="B30" s="135" t="s">
        <v>366</v>
      </c>
      <c r="C30" s="136"/>
      <c r="D30" s="141"/>
      <c r="E30" s="141"/>
      <c r="F30" s="141"/>
      <c r="G30" s="136"/>
      <c r="H30" s="181"/>
    </row>
    <row r="31" spans="1:8" ht="12.75" customHeight="1">
      <c r="A31" s="146">
        <v>29</v>
      </c>
      <c r="B31" s="183"/>
      <c r="C31" s="184"/>
      <c r="D31" s="185"/>
      <c r="E31" s="185"/>
      <c r="F31" s="185"/>
      <c r="G31" s="184"/>
      <c r="H31" s="186"/>
    </row>
    <row r="32" spans="1:8" s="182" customFormat="1" ht="12.75" customHeight="1" thickBot="1">
      <c r="A32" s="159">
        <v>30</v>
      </c>
      <c r="B32" s="187"/>
      <c r="C32" s="188"/>
      <c r="D32" s="189"/>
      <c r="E32" s="189"/>
      <c r="F32" s="189"/>
      <c r="G32" s="188"/>
      <c r="H32" s="190"/>
    </row>
    <row r="33" spans="1:8" s="182" customFormat="1" ht="12.75" customHeight="1" thickBot="1">
      <c r="A33" s="164">
        <v>31</v>
      </c>
      <c r="B33" s="191" t="s">
        <v>377</v>
      </c>
      <c r="C33" s="192">
        <f t="shared" ref="C33:H33" si="2">+C30+C26+C23+C20+C17</f>
        <v>0</v>
      </c>
      <c r="D33" s="192">
        <f t="shared" si="2"/>
        <v>5663</v>
      </c>
      <c r="E33" s="192">
        <f t="shared" si="2"/>
        <v>5663</v>
      </c>
      <c r="F33" s="192">
        <f t="shared" si="2"/>
        <v>0</v>
      </c>
      <c r="G33" s="192">
        <f t="shared" si="2"/>
        <v>0</v>
      </c>
      <c r="H33" s="167">
        <f t="shared" si="2"/>
        <v>0</v>
      </c>
    </row>
  </sheetData>
  <mergeCells count="1">
    <mergeCell ref="G1:H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&amp;C&amp;"Times New Roman,Félkövér"&amp;12Martonvásár Város Önkormányzat felújítási (felhalmozási) célú kiadásai
előirányzata feladatonként      &amp;R&amp;"Times New Roman,Félkövér"&amp;10 8.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J20" sqref="J20"/>
    </sheetView>
  </sheetViews>
  <sheetFormatPr defaultRowHeight="14.4"/>
  <cols>
    <col min="1" max="1" width="7.88671875" bestFit="1" customWidth="1"/>
    <col min="2" max="2" width="29.5546875" customWidth="1"/>
    <col min="3" max="3" width="13" customWidth="1"/>
    <col min="4" max="4" width="13.5546875" customWidth="1"/>
    <col min="5" max="5" width="13.6640625" customWidth="1"/>
  </cols>
  <sheetData>
    <row r="1" spans="1:5">
      <c r="A1" s="1137" t="s">
        <v>378</v>
      </c>
      <c r="B1" s="1139" t="s">
        <v>284</v>
      </c>
      <c r="C1" s="1141" t="s">
        <v>1036</v>
      </c>
      <c r="D1" s="1141" t="s">
        <v>750</v>
      </c>
      <c r="E1" s="1143" t="s">
        <v>1037</v>
      </c>
    </row>
    <row r="2" spans="1:5">
      <c r="A2" s="1138"/>
      <c r="B2" s="1140"/>
      <c r="C2" s="1142"/>
      <c r="D2" s="1142"/>
      <c r="E2" s="1144"/>
    </row>
    <row r="3" spans="1:5">
      <c r="A3" s="1138"/>
      <c r="B3" s="1140"/>
      <c r="C3" s="1142"/>
      <c r="D3" s="1142"/>
      <c r="E3" s="1144"/>
    </row>
    <row r="4" spans="1:5">
      <c r="A4" s="1138"/>
      <c r="B4" s="1140"/>
      <c r="C4" s="1142"/>
      <c r="D4" s="1142"/>
      <c r="E4" s="1144"/>
    </row>
    <row r="5" spans="1:5">
      <c r="A5" s="887" t="s">
        <v>306</v>
      </c>
      <c r="B5" s="888" t="s">
        <v>314</v>
      </c>
      <c r="C5" s="889" t="s">
        <v>307</v>
      </c>
      <c r="D5" s="889" t="s">
        <v>308</v>
      </c>
      <c r="E5" s="890" t="s">
        <v>309</v>
      </c>
    </row>
    <row r="6" spans="1:5">
      <c r="A6" s="193">
        <v>1</v>
      </c>
      <c r="B6" s="194" t="s">
        <v>265</v>
      </c>
      <c r="C6" s="194">
        <v>1</v>
      </c>
      <c r="D6" s="194"/>
      <c r="E6" s="195">
        <f>+C6+D6</f>
        <v>1</v>
      </c>
    </row>
    <row r="7" spans="1:5">
      <c r="A7" s="193">
        <v>2</v>
      </c>
      <c r="B7" s="194" t="s">
        <v>379</v>
      </c>
      <c r="C7" s="194"/>
      <c r="D7" s="194"/>
      <c r="E7" s="195"/>
    </row>
    <row r="8" spans="1:5">
      <c r="A8" s="193">
        <v>3</v>
      </c>
      <c r="B8" s="196" t="s">
        <v>294</v>
      </c>
      <c r="C8" s="196">
        <v>35</v>
      </c>
      <c r="D8" s="196"/>
      <c r="E8" s="197">
        <f>+C8+D8</f>
        <v>35</v>
      </c>
    </row>
    <row r="9" spans="1:5">
      <c r="A9" s="193">
        <v>4</v>
      </c>
      <c r="B9" s="196" t="s">
        <v>380</v>
      </c>
      <c r="C9" s="196">
        <v>6</v>
      </c>
      <c r="D9" s="196"/>
      <c r="E9" s="197">
        <f>+C9+D9</f>
        <v>6</v>
      </c>
    </row>
    <row r="10" spans="1:5">
      <c r="A10" s="193">
        <v>5</v>
      </c>
      <c r="B10" s="194" t="s">
        <v>381</v>
      </c>
      <c r="C10" s="198">
        <f t="shared" ref="C10:D10" si="0">SUM(C8:C9)</f>
        <v>41</v>
      </c>
      <c r="D10" s="198">
        <f t="shared" si="0"/>
        <v>0</v>
      </c>
      <c r="E10" s="923">
        <f t="shared" ref="E10" si="1">SUM(E8:E9)</f>
        <v>41</v>
      </c>
    </row>
    <row r="11" spans="1:5">
      <c r="A11" s="193">
        <v>6</v>
      </c>
      <c r="B11" s="194" t="s">
        <v>407</v>
      </c>
      <c r="C11" s="194">
        <v>26.5</v>
      </c>
      <c r="D11" s="194"/>
      <c r="E11" s="195">
        <f>+C11+D11</f>
        <v>26.5</v>
      </c>
    </row>
    <row r="12" spans="1:5">
      <c r="A12" s="193"/>
      <c r="B12" s="194" t="s">
        <v>687</v>
      </c>
      <c r="C12" s="194">
        <v>1</v>
      </c>
      <c r="D12" s="194"/>
      <c r="E12" s="195">
        <f>+C12+D12</f>
        <v>1</v>
      </c>
    </row>
    <row r="13" spans="1:5">
      <c r="A13" s="193">
        <v>7</v>
      </c>
      <c r="B13" s="194" t="s">
        <v>382</v>
      </c>
      <c r="C13" s="194">
        <v>3</v>
      </c>
      <c r="D13" s="194"/>
      <c r="E13" s="195">
        <f>+C13+D13</f>
        <v>3</v>
      </c>
    </row>
    <row r="14" spans="1:5">
      <c r="A14" s="193">
        <v>8</v>
      </c>
      <c r="B14" s="194" t="s">
        <v>383</v>
      </c>
      <c r="C14" s="194">
        <v>1</v>
      </c>
      <c r="D14" s="194"/>
      <c r="E14" s="195">
        <f>+C14+D14</f>
        <v>1</v>
      </c>
    </row>
    <row r="15" spans="1:5">
      <c r="A15" s="193">
        <v>9</v>
      </c>
      <c r="B15" s="194" t="s">
        <v>384</v>
      </c>
      <c r="C15" s="194">
        <v>12</v>
      </c>
      <c r="D15" s="194"/>
      <c r="E15" s="195">
        <f>+C15+D15</f>
        <v>12</v>
      </c>
    </row>
    <row r="16" spans="1:5" ht="15" thickBot="1">
      <c r="A16" s="199">
        <v>10</v>
      </c>
      <c r="B16" s="924" t="s">
        <v>385</v>
      </c>
      <c r="C16" s="200">
        <f>SUM(C10:C15)+C6</f>
        <v>85.5</v>
      </c>
      <c r="D16" s="200">
        <f>SUM(D10:D15)+D6</f>
        <v>0</v>
      </c>
      <c r="E16" s="925">
        <f>SUM(E10:E15)+E6</f>
        <v>85.5</v>
      </c>
    </row>
  </sheetData>
  <mergeCells count="5">
    <mergeCell ref="A1:A4"/>
    <mergeCell ref="B1:B4"/>
    <mergeCell ref="C1:C4"/>
    <mergeCell ref="D1:D4"/>
    <mergeCell ref="E1:E4"/>
  </mergeCells>
  <printOptions horizontalCentered="1"/>
  <pageMargins left="0.70866141732283472" right="0.70866141732283472" top="0.89" bottom="0.74803149606299213" header="0.31496062992125984" footer="0.31496062992125984"/>
  <pageSetup paperSize="9" orientation="portrait" r:id="rId1"/>
  <headerFooter>
    <oddHeader>&amp;C&amp;"Times New Roman,Félkövér"&amp;12Martonvásár Város Önkormányzata és Intézményei  
2016. évi létszámkerete     &amp;R&amp;"Times New Roman,Félkövér"&amp;10 9. melléklet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"/>
  <sheetViews>
    <sheetView tabSelected="1" workbookViewId="0">
      <selection activeCell="B24" sqref="B24:C24"/>
    </sheetView>
  </sheetViews>
  <sheetFormatPr defaultColWidth="9.109375" defaultRowHeight="14.4"/>
  <cols>
    <col min="1" max="1" width="5.88671875" style="358" customWidth="1"/>
    <col min="2" max="2" width="42.5546875" style="359" customWidth="1"/>
    <col min="3" max="8" width="11" style="359" customWidth="1"/>
    <col min="9" max="9" width="12.109375" style="359" customWidth="1"/>
    <col min="10" max="10" width="13.33203125" style="359" customWidth="1"/>
    <col min="11" max="16384" width="9.109375" style="359"/>
  </cols>
  <sheetData>
    <row r="1" spans="1:11" s="405" customFormat="1" ht="26.25" customHeight="1" thickBot="1">
      <c r="A1" s="358"/>
      <c r="B1" s="359"/>
      <c r="C1" s="359"/>
      <c r="D1" s="359"/>
      <c r="E1" s="359"/>
      <c r="F1" s="359"/>
      <c r="G1" s="359"/>
      <c r="H1" s="359"/>
      <c r="I1" s="359"/>
      <c r="J1" s="404" t="s">
        <v>479</v>
      </c>
    </row>
    <row r="2" spans="1:11" s="406" customFormat="1" ht="32.25" customHeight="1" thickBot="1">
      <c r="A2" s="1152" t="s">
        <v>496</v>
      </c>
      <c r="B2" s="1154" t="s">
        <v>497</v>
      </c>
      <c r="C2" s="1152" t="s">
        <v>498</v>
      </c>
      <c r="D2" s="1152" t="s">
        <v>499</v>
      </c>
      <c r="E2" s="1145" t="s">
        <v>500</v>
      </c>
      <c r="F2" s="1146"/>
      <c r="G2" s="1146"/>
      <c r="H2" s="1146"/>
      <c r="I2" s="1147"/>
      <c r="J2" s="1148" t="s">
        <v>181</v>
      </c>
    </row>
    <row r="3" spans="1:11" s="410" customFormat="1" ht="37.5" customHeight="1" thickBot="1">
      <c r="A3" s="1153"/>
      <c r="B3" s="1155"/>
      <c r="C3" s="1149"/>
      <c r="D3" s="1153"/>
      <c r="E3" s="407" t="s">
        <v>501</v>
      </c>
      <c r="F3" s="408" t="s">
        <v>502</v>
      </c>
      <c r="G3" s="408" t="s">
        <v>503</v>
      </c>
      <c r="H3" s="408" t="s">
        <v>504</v>
      </c>
      <c r="I3" s="409" t="s">
        <v>623</v>
      </c>
      <c r="J3" s="1149"/>
    </row>
    <row r="4" spans="1:11" ht="20.100000000000001" customHeight="1">
      <c r="A4" s="411">
        <v>1</v>
      </c>
      <c r="B4" s="412">
        <v>2</v>
      </c>
      <c r="C4" s="411">
        <v>3</v>
      </c>
      <c r="D4" s="411">
        <v>4</v>
      </c>
      <c r="E4" s="413">
        <v>5</v>
      </c>
      <c r="F4" s="414">
        <v>6</v>
      </c>
      <c r="G4" s="414">
        <v>7</v>
      </c>
      <c r="H4" s="414">
        <v>8</v>
      </c>
      <c r="I4" s="415">
        <v>9</v>
      </c>
      <c r="J4" s="411" t="s">
        <v>505</v>
      </c>
    </row>
    <row r="5" spans="1:11" s="424" customFormat="1" ht="20.100000000000001" customHeight="1">
      <c r="A5" s="416" t="s">
        <v>311</v>
      </c>
      <c r="B5" s="417" t="s">
        <v>506</v>
      </c>
      <c r="C5" s="418"/>
      <c r="D5" s="419"/>
      <c r="E5" s="420">
        <f>SUM(E6:E6)</f>
        <v>0</v>
      </c>
      <c r="F5" s="421"/>
      <c r="G5" s="421"/>
      <c r="H5" s="421"/>
      <c r="I5" s="422"/>
      <c r="J5" s="423"/>
    </row>
    <row r="6" spans="1:11" ht="20.100000000000001" customHeight="1">
      <c r="A6" s="416" t="s">
        <v>421</v>
      </c>
      <c r="B6" s="425"/>
      <c r="C6" s="426"/>
      <c r="D6" s="427"/>
      <c r="E6" s="428"/>
      <c r="F6" s="429"/>
      <c r="G6" s="429"/>
      <c r="H6" s="429"/>
      <c r="I6" s="430"/>
      <c r="J6" s="423"/>
    </row>
    <row r="7" spans="1:11" ht="20.100000000000001" customHeight="1">
      <c r="A7" s="416" t="s">
        <v>481</v>
      </c>
      <c r="B7" s="431"/>
      <c r="C7" s="432"/>
      <c r="D7" s="427"/>
      <c r="E7" s="428"/>
      <c r="F7" s="429"/>
      <c r="G7" s="429"/>
      <c r="H7" s="429"/>
      <c r="I7" s="430"/>
      <c r="J7" s="423"/>
    </row>
    <row r="8" spans="1:11" ht="20.100000000000001" customHeight="1">
      <c r="A8" s="416" t="s">
        <v>482</v>
      </c>
      <c r="B8" s="431"/>
      <c r="C8" s="432"/>
      <c r="D8" s="427"/>
      <c r="E8" s="428"/>
      <c r="F8" s="429"/>
      <c r="G8" s="429"/>
      <c r="H8" s="429"/>
      <c r="I8" s="430"/>
      <c r="J8" s="423"/>
    </row>
    <row r="9" spans="1:11" s="424" customFormat="1" ht="20.100000000000001" customHeight="1">
      <c r="A9" s="416" t="s">
        <v>483</v>
      </c>
      <c r="B9" s="433" t="s">
        <v>507</v>
      </c>
      <c r="C9" s="434"/>
      <c r="D9" s="419">
        <f t="shared" ref="D9:J9" si="0">SUM(D10:D11)</f>
        <v>0</v>
      </c>
      <c r="E9" s="420">
        <f t="shared" si="0"/>
        <v>0</v>
      </c>
      <c r="F9" s="421">
        <f t="shared" si="0"/>
        <v>0</v>
      </c>
      <c r="G9" s="421">
        <f t="shared" si="0"/>
        <v>0</v>
      </c>
      <c r="H9" s="421">
        <f t="shared" si="0"/>
        <v>0</v>
      </c>
      <c r="I9" s="422">
        <f t="shared" si="0"/>
        <v>0</v>
      </c>
      <c r="J9" s="419">
        <f t="shared" si="0"/>
        <v>0</v>
      </c>
    </row>
    <row r="10" spans="1:11" ht="20.100000000000001" customHeight="1">
      <c r="A10" s="416" t="s">
        <v>484</v>
      </c>
      <c r="B10" s="425"/>
      <c r="C10" s="426"/>
      <c r="D10" s="427">
        <v>0</v>
      </c>
      <c r="E10" s="428">
        <v>0</v>
      </c>
      <c r="F10" s="429">
        <v>0</v>
      </c>
      <c r="G10" s="429">
        <v>0</v>
      </c>
      <c r="H10" s="429">
        <v>0</v>
      </c>
      <c r="I10" s="430">
        <v>0</v>
      </c>
      <c r="J10" s="423">
        <f>SUM(D10:I10)</f>
        <v>0</v>
      </c>
    </row>
    <row r="11" spans="1:11" ht="20.100000000000001" customHeight="1">
      <c r="A11" s="416" t="s">
        <v>485</v>
      </c>
      <c r="B11" s="425"/>
      <c r="C11" s="426"/>
      <c r="D11" s="427"/>
      <c r="E11" s="428"/>
      <c r="F11" s="429"/>
      <c r="G11" s="429"/>
      <c r="H11" s="429"/>
      <c r="I11" s="430"/>
      <c r="J11" s="423">
        <f>SUM(D11:I11)</f>
        <v>0</v>
      </c>
      <c r="K11" s="435"/>
    </row>
    <row r="12" spans="1:11" ht="19.5" customHeight="1">
      <c r="A12" s="416" t="s">
        <v>486</v>
      </c>
      <c r="B12" s="425"/>
      <c r="C12" s="426"/>
      <c r="D12" s="427"/>
      <c r="E12" s="428"/>
      <c r="F12" s="429"/>
      <c r="G12" s="429"/>
      <c r="H12" s="429"/>
      <c r="I12" s="430"/>
      <c r="J12" s="423"/>
    </row>
    <row r="13" spans="1:11" ht="20.100000000000001" customHeight="1">
      <c r="A13" s="416" t="s">
        <v>487</v>
      </c>
      <c r="B13" s="436"/>
      <c r="C13" s="437"/>
      <c r="D13" s="438"/>
      <c r="E13" s="439"/>
      <c r="F13" s="440"/>
      <c r="G13" s="440"/>
      <c r="H13" s="440"/>
      <c r="I13" s="441"/>
      <c r="J13" s="423"/>
    </row>
    <row r="14" spans="1:11" s="424" customFormat="1" ht="13.2">
      <c r="A14" s="416" t="s">
        <v>488</v>
      </c>
      <c r="B14" s="442" t="s">
        <v>508</v>
      </c>
      <c r="C14" s="434"/>
      <c r="D14" s="443">
        <f>+D15+D16</f>
        <v>24727</v>
      </c>
      <c r="E14" s="926">
        <f t="shared" ref="E14:J14" si="1">+E15+E16</f>
        <v>8973</v>
      </c>
      <c r="F14" s="928">
        <f t="shared" si="1"/>
        <v>0</v>
      </c>
      <c r="G14" s="927">
        <f t="shared" si="1"/>
        <v>1812</v>
      </c>
      <c r="H14" s="443">
        <f t="shared" si="1"/>
        <v>0</v>
      </c>
      <c r="I14" s="443">
        <f t="shared" si="1"/>
        <v>0</v>
      </c>
      <c r="J14" s="443">
        <f t="shared" si="1"/>
        <v>35512</v>
      </c>
    </row>
    <row r="15" spans="1:11" s="448" customFormat="1">
      <c r="A15" s="416" t="s">
        <v>489</v>
      </c>
      <c r="B15" s="654" t="s">
        <v>509</v>
      </c>
      <c r="C15" s="444">
        <v>2012</v>
      </c>
      <c r="D15" s="445">
        <v>23327</v>
      </c>
      <c r="E15" s="446">
        <v>6673</v>
      </c>
      <c r="F15" s="360"/>
      <c r="G15" s="360"/>
      <c r="H15" s="360"/>
      <c r="I15" s="447"/>
      <c r="J15" s="423">
        <f>SUM(E15+G15+H15+I15)+D15</f>
        <v>30000</v>
      </c>
    </row>
    <row r="16" spans="1:11" ht="15" thickBot="1">
      <c r="A16" s="449" t="s">
        <v>490</v>
      </c>
      <c r="B16" s="654" t="s">
        <v>728</v>
      </c>
      <c r="C16" s="444">
        <v>2015</v>
      </c>
      <c r="D16" s="450">
        <v>1400</v>
      </c>
      <c r="E16" s="451">
        <v>2300</v>
      </c>
      <c r="F16" s="452"/>
      <c r="G16" s="452">
        <v>1812</v>
      </c>
      <c r="H16" s="452"/>
      <c r="I16" s="453"/>
      <c r="J16" s="423">
        <f>SUM(E16+G16+H16+I16)+D16</f>
        <v>5512</v>
      </c>
    </row>
    <row r="17" spans="1:10" s="424" customFormat="1" ht="13.8" thickBot="1">
      <c r="A17" s="1150" t="s">
        <v>510</v>
      </c>
      <c r="B17" s="1151"/>
      <c r="C17" s="454"/>
      <c r="D17" s="455">
        <f>+D14+D9</f>
        <v>24727</v>
      </c>
      <c r="E17" s="456">
        <f t="shared" ref="E17:J17" si="2">+E14+E9</f>
        <v>8973</v>
      </c>
      <c r="F17" s="457">
        <f t="shared" si="2"/>
        <v>0</v>
      </c>
      <c r="G17" s="457">
        <f t="shared" si="2"/>
        <v>1812</v>
      </c>
      <c r="H17" s="457">
        <f t="shared" si="2"/>
        <v>0</v>
      </c>
      <c r="I17" s="458">
        <f t="shared" si="2"/>
        <v>0</v>
      </c>
      <c r="J17" s="455">
        <f t="shared" si="2"/>
        <v>35512</v>
      </c>
    </row>
  </sheetData>
  <mergeCells count="7">
    <mergeCell ref="E2:I2"/>
    <mergeCell ref="J2:J3"/>
    <mergeCell ref="A17:B17"/>
    <mergeCell ref="A2:A3"/>
    <mergeCell ref="B2:B3"/>
    <mergeCell ref="C2:C3"/>
    <mergeCell ref="D2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&amp;C&amp;"Times New Roman,Félkövér"&amp;12Többéves kihatással járó döntésekből származó kötelezettségek célok szerint, évenkénti bontásban         &amp;R&amp;"Times New Roman,Félkövér"&amp;10 10.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6"/>
  <sheetViews>
    <sheetView zoomScale="89" zoomScaleNormal="89" workbookViewId="0">
      <selection activeCell="D32" sqref="D32"/>
    </sheetView>
  </sheetViews>
  <sheetFormatPr defaultColWidth="9.109375" defaultRowHeight="13.2"/>
  <cols>
    <col min="1" max="1" width="4.109375" style="361" customWidth="1"/>
    <col min="2" max="2" width="31.44140625" style="362" customWidth="1"/>
    <col min="3" max="3" width="8.88671875" style="362" bestFit="1" customWidth="1"/>
    <col min="4" max="5" width="7.6640625" style="362" customWidth="1"/>
    <col min="6" max="6" width="8.109375" style="362" customWidth="1"/>
    <col min="7" max="7" width="7.5546875" style="362" customWidth="1"/>
    <col min="8" max="8" width="7.44140625" style="362" customWidth="1"/>
    <col min="9" max="9" width="7.5546875" style="362" customWidth="1"/>
    <col min="10" max="10" width="8.5546875" style="362" customWidth="1"/>
    <col min="11" max="11" width="8.109375" style="362" customWidth="1"/>
    <col min="12" max="12" width="10.44140625" style="362" customWidth="1"/>
    <col min="13" max="13" width="8.109375" style="362" customWidth="1"/>
    <col min="14" max="14" width="8.5546875" style="362" customWidth="1"/>
    <col min="15" max="15" width="9.109375" style="362" customWidth="1"/>
    <col min="16" max="16" width="10.88671875" style="361" customWidth="1"/>
    <col min="17" max="16384" width="9.109375" style="362"/>
  </cols>
  <sheetData>
    <row r="1" spans="1:17" ht="13.8" thickBot="1">
      <c r="P1" s="363" t="s">
        <v>492</v>
      </c>
    </row>
    <row r="2" spans="1:17" s="361" customFormat="1" ht="39.6">
      <c r="A2" s="364" t="s">
        <v>480</v>
      </c>
      <c r="B2" s="365" t="s">
        <v>284</v>
      </c>
      <c r="C2" s="366" t="s">
        <v>1031</v>
      </c>
      <c r="D2" s="365" t="s">
        <v>465</v>
      </c>
      <c r="E2" s="365" t="s">
        <v>466</v>
      </c>
      <c r="F2" s="365" t="s">
        <v>467</v>
      </c>
      <c r="G2" s="365" t="s">
        <v>468</v>
      </c>
      <c r="H2" s="365" t="s">
        <v>469</v>
      </c>
      <c r="I2" s="365" t="s">
        <v>470</v>
      </c>
      <c r="J2" s="365" t="s">
        <v>471</v>
      </c>
      <c r="K2" s="365" t="s">
        <v>493</v>
      </c>
      <c r="L2" s="365" t="s">
        <v>472</v>
      </c>
      <c r="M2" s="365" t="s">
        <v>473</v>
      </c>
      <c r="N2" s="365" t="s">
        <v>474</v>
      </c>
      <c r="O2" s="365" t="s">
        <v>475</v>
      </c>
      <c r="P2" s="367" t="s">
        <v>491</v>
      </c>
    </row>
    <row r="3" spans="1:17" s="369" customFormat="1">
      <c r="A3" s="368"/>
      <c r="B3" s="1156" t="s">
        <v>341</v>
      </c>
      <c r="C3" s="1156"/>
      <c r="D3" s="1156"/>
      <c r="E3" s="1156"/>
      <c r="F3" s="1156"/>
      <c r="G3" s="1156"/>
      <c r="H3" s="1156"/>
      <c r="I3" s="1156"/>
      <c r="J3" s="1156"/>
      <c r="K3" s="1156"/>
      <c r="L3" s="1156"/>
      <c r="M3" s="1156"/>
      <c r="N3" s="1156"/>
      <c r="O3" s="1156"/>
      <c r="P3" s="1157"/>
    </row>
    <row r="4" spans="1:17" s="372" customFormat="1" ht="15" customHeight="1">
      <c r="A4" s="368"/>
      <c r="B4" s="67" t="s">
        <v>334</v>
      </c>
      <c r="C4" s="92">
        <f>+'1.mell. Mérleg'!E5</f>
        <v>598540</v>
      </c>
      <c r="D4" s="370">
        <f>49831+1385</f>
        <v>51216</v>
      </c>
      <c r="E4" s="370">
        <f>49127+32186+1385</f>
        <v>82698</v>
      </c>
      <c r="F4" s="370">
        <f>16941+1385</f>
        <v>18326</v>
      </c>
      <c r="G4" s="370">
        <f>49127+1385</f>
        <v>50512</v>
      </c>
      <c r="H4" s="370">
        <f>49127+1385</f>
        <v>50512</v>
      </c>
      <c r="I4" s="370">
        <f>49127+1385</f>
        <v>50512</v>
      </c>
      <c r="J4" s="370">
        <v>49127</v>
      </c>
      <c r="K4" s="370">
        <v>49128</v>
      </c>
      <c r="L4" s="370">
        <f>49127-35733</f>
        <v>13394</v>
      </c>
      <c r="M4" s="370">
        <v>49128</v>
      </c>
      <c r="N4" s="370">
        <f>49127+35733</f>
        <v>84860</v>
      </c>
      <c r="O4" s="370">
        <v>49127</v>
      </c>
      <c r="P4" s="371">
        <f>SUM(D4:O4)</f>
        <v>598540</v>
      </c>
    </row>
    <row r="5" spans="1:17" s="372" customFormat="1" ht="26.4">
      <c r="A5" s="368"/>
      <c r="B5" s="67" t="s">
        <v>206</v>
      </c>
      <c r="C5" s="92">
        <f>+'1.mell. Mérleg'!E6</f>
        <v>38363</v>
      </c>
      <c r="D5" s="370">
        <f t="shared" ref="D5:I5" si="0">3034+326</f>
        <v>3360</v>
      </c>
      <c r="E5" s="370">
        <f t="shared" si="0"/>
        <v>3360</v>
      </c>
      <c r="F5" s="370">
        <f t="shared" si="0"/>
        <v>3360</v>
      </c>
      <c r="G5" s="370">
        <f t="shared" si="0"/>
        <v>3360</v>
      </c>
      <c r="H5" s="370">
        <f t="shared" si="0"/>
        <v>3360</v>
      </c>
      <c r="I5" s="370">
        <f t="shared" si="0"/>
        <v>3360</v>
      </c>
      <c r="J5" s="370">
        <v>3034</v>
      </c>
      <c r="K5" s="370">
        <v>3034</v>
      </c>
      <c r="L5" s="370">
        <v>3034</v>
      </c>
      <c r="M5" s="370">
        <v>3034</v>
      </c>
      <c r="N5" s="370">
        <v>3034</v>
      </c>
      <c r="O5" s="370">
        <v>3033</v>
      </c>
      <c r="P5" s="371">
        <f>SUM(D5:O5)</f>
        <v>38363</v>
      </c>
    </row>
    <row r="6" spans="1:17" s="376" customFormat="1" ht="26.4">
      <c r="A6" s="373"/>
      <c r="B6" s="68" t="s">
        <v>332</v>
      </c>
      <c r="C6" s="96">
        <f>+C4+C5</f>
        <v>636903</v>
      </c>
      <c r="D6" s="374">
        <f>SUM(D4:D5)</f>
        <v>54576</v>
      </c>
      <c r="E6" s="374">
        <f t="shared" ref="E6:P6" si="1">SUM(E4:E5)</f>
        <v>86058</v>
      </c>
      <c r="F6" s="374">
        <f t="shared" si="1"/>
        <v>21686</v>
      </c>
      <c r="G6" s="374">
        <f t="shared" si="1"/>
        <v>53872</v>
      </c>
      <c r="H6" s="374">
        <f t="shared" si="1"/>
        <v>53872</v>
      </c>
      <c r="I6" s="374">
        <f t="shared" si="1"/>
        <v>53872</v>
      </c>
      <c r="J6" s="374">
        <f t="shared" si="1"/>
        <v>52161</v>
      </c>
      <c r="K6" s="374">
        <f t="shared" si="1"/>
        <v>52162</v>
      </c>
      <c r="L6" s="374">
        <f t="shared" si="1"/>
        <v>16428</v>
      </c>
      <c r="M6" s="374">
        <f t="shared" si="1"/>
        <v>52162</v>
      </c>
      <c r="N6" s="374">
        <f t="shared" si="1"/>
        <v>87894</v>
      </c>
      <c r="O6" s="374">
        <f t="shared" si="1"/>
        <v>52160</v>
      </c>
      <c r="P6" s="375">
        <f t="shared" si="1"/>
        <v>636903</v>
      </c>
      <c r="Q6" s="372"/>
    </row>
    <row r="7" spans="1:17" s="372" customFormat="1">
      <c r="A7" s="368"/>
      <c r="B7" s="67" t="s">
        <v>221</v>
      </c>
      <c r="C7" s="92">
        <f>+'1.mell. Mérleg'!E10</f>
        <v>147800</v>
      </c>
      <c r="D7" s="370">
        <v>2780</v>
      </c>
      <c r="E7" s="370">
        <v>2780</v>
      </c>
      <c r="F7" s="370">
        <v>40000</v>
      </c>
      <c r="G7" s="370">
        <v>22780</v>
      </c>
      <c r="H7" s="370">
        <v>2780</v>
      </c>
      <c r="I7" s="370">
        <v>2780</v>
      </c>
      <c r="J7" s="370">
        <v>2780</v>
      </c>
      <c r="K7" s="370">
        <v>2780</v>
      </c>
      <c r="L7" s="370">
        <v>40000</v>
      </c>
      <c r="M7" s="370">
        <v>22780</v>
      </c>
      <c r="N7" s="370">
        <v>2780</v>
      </c>
      <c r="O7" s="370">
        <v>2780</v>
      </c>
      <c r="P7" s="371">
        <f t="shared" ref="P7:P12" si="2">SUM(D7:O7)</f>
        <v>147800</v>
      </c>
    </row>
    <row r="8" spans="1:17" s="372" customFormat="1">
      <c r="A8" s="368"/>
      <c r="B8" s="67" t="s">
        <v>337</v>
      </c>
      <c r="C8" s="92">
        <f>+'1.mell. Mérleg'!E11</f>
        <v>135000</v>
      </c>
      <c r="D8" s="370">
        <v>3900</v>
      </c>
      <c r="E8" s="370">
        <v>3900</v>
      </c>
      <c r="F8" s="370">
        <v>45000</v>
      </c>
      <c r="G8" s="370">
        <v>6900</v>
      </c>
      <c r="H8" s="370">
        <v>3900</v>
      </c>
      <c r="I8" s="370">
        <v>3900</v>
      </c>
      <c r="J8" s="370">
        <v>3900</v>
      </c>
      <c r="K8" s="370">
        <v>3900</v>
      </c>
      <c r="L8" s="370">
        <v>45000</v>
      </c>
      <c r="M8" s="370">
        <v>6900</v>
      </c>
      <c r="N8" s="370">
        <v>3900</v>
      </c>
      <c r="O8" s="370">
        <v>3900</v>
      </c>
      <c r="P8" s="371">
        <f t="shared" si="2"/>
        <v>135000</v>
      </c>
    </row>
    <row r="9" spans="1:17" s="372" customFormat="1">
      <c r="A9" s="368"/>
      <c r="B9" s="67" t="s">
        <v>234</v>
      </c>
      <c r="C9" s="92">
        <f>+'1.mell. Mérleg'!E12</f>
        <v>1700</v>
      </c>
      <c r="D9" s="370">
        <v>0</v>
      </c>
      <c r="E9" s="370">
        <v>20</v>
      </c>
      <c r="F9" s="370">
        <v>800</v>
      </c>
      <c r="G9" s="370">
        <v>50</v>
      </c>
      <c r="H9" s="370">
        <v>20</v>
      </c>
      <c r="I9" s="370">
        <v>20</v>
      </c>
      <c r="J9" s="370">
        <v>20</v>
      </c>
      <c r="K9" s="370">
        <v>50</v>
      </c>
      <c r="L9" s="370">
        <v>650</v>
      </c>
      <c r="M9" s="370">
        <v>40</v>
      </c>
      <c r="N9" s="370">
        <v>20</v>
      </c>
      <c r="O9" s="370">
        <v>10</v>
      </c>
      <c r="P9" s="371">
        <f t="shared" si="2"/>
        <v>1700</v>
      </c>
    </row>
    <row r="10" spans="1:17" s="376" customFormat="1">
      <c r="A10" s="373"/>
      <c r="B10" s="68" t="s">
        <v>338</v>
      </c>
      <c r="C10" s="96">
        <f>SUM(C7:C9)</f>
        <v>284500</v>
      </c>
      <c r="D10" s="374">
        <f>SUM(D7:D9)</f>
        <v>6680</v>
      </c>
      <c r="E10" s="374">
        <f t="shared" ref="E10:P10" si="3">SUM(E7:E9)</f>
        <v>6700</v>
      </c>
      <c r="F10" s="374">
        <f t="shared" si="3"/>
        <v>85800</v>
      </c>
      <c r="G10" s="374">
        <f t="shared" si="3"/>
        <v>29730</v>
      </c>
      <c r="H10" s="374">
        <f t="shared" si="3"/>
        <v>6700</v>
      </c>
      <c r="I10" s="374">
        <f t="shared" si="3"/>
        <v>6700</v>
      </c>
      <c r="J10" s="374">
        <f t="shared" si="3"/>
        <v>6700</v>
      </c>
      <c r="K10" s="374">
        <f t="shared" si="3"/>
        <v>6730</v>
      </c>
      <c r="L10" s="374">
        <f t="shared" si="3"/>
        <v>85650</v>
      </c>
      <c r="M10" s="374">
        <f t="shared" si="3"/>
        <v>29720</v>
      </c>
      <c r="N10" s="374">
        <f t="shared" si="3"/>
        <v>6700</v>
      </c>
      <c r="O10" s="374">
        <f t="shared" si="3"/>
        <v>6690</v>
      </c>
      <c r="P10" s="375">
        <f t="shared" si="3"/>
        <v>284500</v>
      </c>
      <c r="Q10" s="372"/>
    </row>
    <row r="11" spans="1:17" s="372" customFormat="1">
      <c r="A11" s="368"/>
      <c r="B11" s="67" t="s">
        <v>281</v>
      </c>
      <c r="C11" s="92">
        <f>+'1.mell. Mérleg'!E13</f>
        <v>36631</v>
      </c>
      <c r="D11" s="370">
        <v>2966</v>
      </c>
      <c r="E11" s="370">
        <f>2966+520</f>
        <v>3486</v>
      </c>
      <c r="F11" s="370">
        <v>2966</v>
      </c>
      <c r="G11" s="370">
        <f>2966+520</f>
        <v>3486</v>
      </c>
      <c r="H11" s="370">
        <v>2966</v>
      </c>
      <c r="I11" s="370">
        <v>2966</v>
      </c>
      <c r="J11" s="370">
        <v>2966</v>
      </c>
      <c r="K11" s="370">
        <v>2966</v>
      </c>
      <c r="L11" s="370">
        <v>2966</v>
      </c>
      <c r="M11" s="370">
        <v>2966</v>
      </c>
      <c r="N11" s="370">
        <v>2966</v>
      </c>
      <c r="O11" s="370">
        <v>2965</v>
      </c>
      <c r="P11" s="371">
        <f t="shared" si="2"/>
        <v>36631</v>
      </c>
    </row>
    <row r="12" spans="1:17" s="372" customFormat="1">
      <c r="A12" s="368"/>
      <c r="B12" s="67" t="s">
        <v>279</v>
      </c>
      <c r="C12" s="92">
        <f>+'1.mell. Mérleg'!E14</f>
        <v>15042</v>
      </c>
      <c r="D12" s="370">
        <f>19500-4500</f>
        <v>15000</v>
      </c>
      <c r="E12" s="370"/>
      <c r="F12" s="370">
        <v>11</v>
      </c>
      <c r="G12" s="370"/>
      <c r="H12" s="370"/>
      <c r="I12" s="370">
        <v>10</v>
      </c>
      <c r="J12" s="370"/>
      <c r="K12" s="370"/>
      <c r="L12" s="370">
        <v>11</v>
      </c>
      <c r="M12" s="370"/>
      <c r="N12" s="370"/>
      <c r="O12" s="370">
        <v>10</v>
      </c>
      <c r="P12" s="371">
        <f t="shared" si="2"/>
        <v>15042</v>
      </c>
    </row>
    <row r="13" spans="1:17" s="376" customFormat="1">
      <c r="A13" s="377"/>
      <c r="B13" s="378" t="s">
        <v>419</v>
      </c>
      <c r="C13" s="379">
        <f>+C12+C11+C10+C6</f>
        <v>973076</v>
      </c>
      <c r="D13" s="379">
        <f t="shared" ref="D13:P13" si="4">+D12+D11+D10+D6</f>
        <v>79222</v>
      </c>
      <c r="E13" s="379">
        <f t="shared" si="4"/>
        <v>96244</v>
      </c>
      <c r="F13" s="379">
        <f t="shared" si="4"/>
        <v>110463</v>
      </c>
      <c r="G13" s="379">
        <f t="shared" si="4"/>
        <v>87088</v>
      </c>
      <c r="H13" s="379">
        <f t="shared" si="4"/>
        <v>63538</v>
      </c>
      <c r="I13" s="379">
        <f t="shared" si="4"/>
        <v>63548</v>
      </c>
      <c r="J13" s="379">
        <f t="shared" si="4"/>
        <v>61827</v>
      </c>
      <c r="K13" s="379">
        <f t="shared" si="4"/>
        <v>61858</v>
      </c>
      <c r="L13" s="379">
        <f t="shared" si="4"/>
        <v>105055</v>
      </c>
      <c r="M13" s="379">
        <f t="shared" si="4"/>
        <v>84848</v>
      </c>
      <c r="N13" s="379">
        <f t="shared" si="4"/>
        <v>97560</v>
      </c>
      <c r="O13" s="379">
        <f t="shared" si="4"/>
        <v>61825</v>
      </c>
      <c r="P13" s="380">
        <f t="shared" si="4"/>
        <v>973076</v>
      </c>
      <c r="Q13" s="372"/>
    </row>
    <row r="14" spans="1:17" s="372" customFormat="1" ht="26.4">
      <c r="A14" s="368"/>
      <c r="B14" s="67" t="s">
        <v>333</v>
      </c>
      <c r="C14" s="92">
        <f>+'1.mell. Mérleg'!E16</f>
        <v>0</v>
      </c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5">
        <f>SUM(D14:O14)</f>
        <v>0</v>
      </c>
    </row>
    <row r="15" spans="1:17" s="372" customFormat="1" ht="14.1" customHeight="1">
      <c r="A15" s="368"/>
      <c r="B15" s="67" t="s">
        <v>280</v>
      </c>
      <c r="C15" s="92">
        <f>+'1.mell. Mérleg'!E17</f>
        <v>21000</v>
      </c>
      <c r="D15" s="370">
        <v>21000</v>
      </c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5">
        <f>SUM(D15:O15)</f>
        <v>21000</v>
      </c>
    </row>
    <row r="16" spans="1:17" s="372" customFormat="1" ht="14.1" customHeight="1">
      <c r="A16" s="368"/>
      <c r="B16" s="67" t="s">
        <v>285</v>
      </c>
      <c r="C16" s="92">
        <f>+'1.mell. Mérleg'!E18</f>
        <v>0</v>
      </c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5">
        <f>SUM(D16:O16)</f>
        <v>0</v>
      </c>
    </row>
    <row r="17" spans="1:17" s="372" customFormat="1" ht="14.1" customHeight="1">
      <c r="A17" s="381"/>
      <c r="B17" s="378" t="s">
        <v>280</v>
      </c>
      <c r="C17" s="379">
        <f>+C16+C15+C14</f>
        <v>21000</v>
      </c>
      <c r="D17" s="379">
        <f t="shared" ref="D17:P17" si="5">+D16+D15+D14</f>
        <v>21000</v>
      </c>
      <c r="E17" s="379">
        <f t="shared" si="5"/>
        <v>0</v>
      </c>
      <c r="F17" s="379">
        <f t="shared" si="5"/>
        <v>0</v>
      </c>
      <c r="G17" s="379">
        <f t="shared" si="5"/>
        <v>0</v>
      </c>
      <c r="H17" s="379">
        <f t="shared" si="5"/>
        <v>0</v>
      </c>
      <c r="I17" s="379">
        <f t="shared" si="5"/>
        <v>0</v>
      </c>
      <c r="J17" s="379">
        <f t="shared" si="5"/>
        <v>0</v>
      </c>
      <c r="K17" s="379">
        <f t="shared" si="5"/>
        <v>0</v>
      </c>
      <c r="L17" s="379">
        <f t="shared" si="5"/>
        <v>0</v>
      </c>
      <c r="M17" s="379">
        <f t="shared" si="5"/>
        <v>0</v>
      </c>
      <c r="N17" s="379">
        <f t="shared" si="5"/>
        <v>0</v>
      </c>
      <c r="O17" s="379">
        <f t="shared" si="5"/>
        <v>0</v>
      </c>
      <c r="P17" s="380">
        <f t="shared" si="5"/>
        <v>21000</v>
      </c>
    </row>
    <row r="18" spans="1:17" s="372" customFormat="1" ht="14.1" customHeight="1">
      <c r="A18" s="368"/>
      <c r="B18" s="67" t="s">
        <v>401</v>
      </c>
      <c r="C18" s="92">
        <f>+'1.mell. Mérleg'!E21</f>
        <v>0</v>
      </c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5">
        <f>SUM(D18:O18)</f>
        <v>0</v>
      </c>
    </row>
    <row r="19" spans="1:17" s="372" customFormat="1" ht="14.1" customHeight="1">
      <c r="A19" s="368"/>
      <c r="B19" s="67" t="s">
        <v>402</v>
      </c>
      <c r="C19" s="92">
        <f>+'1.mell. Mérleg'!E23</f>
        <v>56840</v>
      </c>
      <c r="D19" s="370">
        <v>382</v>
      </c>
      <c r="E19" s="370">
        <v>382</v>
      </c>
      <c r="F19" s="370">
        <v>382</v>
      </c>
      <c r="G19" s="370">
        <v>382</v>
      </c>
      <c r="H19" s="370">
        <v>382</v>
      </c>
      <c r="I19" s="370">
        <f>382+48554</f>
        <v>48936</v>
      </c>
      <c r="J19" s="370">
        <v>382</v>
      </c>
      <c r="K19" s="370">
        <v>382</v>
      </c>
      <c r="L19" s="370">
        <v>4084</v>
      </c>
      <c r="M19" s="370">
        <v>382</v>
      </c>
      <c r="N19" s="370">
        <v>382</v>
      </c>
      <c r="O19" s="370">
        <v>382</v>
      </c>
      <c r="P19" s="375">
        <f>SUM(D19:O19)</f>
        <v>56840</v>
      </c>
    </row>
    <row r="20" spans="1:17" s="372" customFormat="1" ht="14.1" customHeight="1">
      <c r="A20" s="368"/>
      <c r="B20" s="67" t="s">
        <v>403</v>
      </c>
      <c r="C20" s="92">
        <f>+'1.mell. Mérleg'!E24</f>
        <v>355806</v>
      </c>
      <c r="D20" s="370">
        <v>46299</v>
      </c>
      <c r="E20" s="370">
        <f>14744+58</f>
        <v>14802</v>
      </c>
      <c r="F20" s="370">
        <v>58</v>
      </c>
      <c r="G20" s="370">
        <f>23901+58</f>
        <v>23959</v>
      </c>
      <c r="H20" s="370">
        <v>46984</v>
      </c>
      <c r="I20" s="370">
        <v>46979</v>
      </c>
      <c r="J20" s="370">
        <v>46984</v>
      </c>
      <c r="K20" s="370">
        <v>46957</v>
      </c>
      <c r="L20" s="370">
        <v>58</v>
      </c>
      <c r="M20" s="370">
        <v>23968</v>
      </c>
      <c r="N20" s="370">
        <v>11253</v>
      </c>
      <c r="O20" s="370">
        <v>47505</v>
      </c>
      <c r="P20" s="375">
        <f>SUM(D20:O20)</f>
        <v>355806</v>
      </c>
    </row>
    <row r="21" spans="1:17" s="376" customFormat="1" ht="14.1" customHeight="1">
      <c r="A21" s="373"/>
      <c r="B21" s="68" t="s">
        <v>339</v>
      </c>
      <c r="C21" s="96">
        <f>+C20+C19</f>
        <v>412646</v>
      </c>
      <c r="D21" s="96">
        <f t="shared" ref="D21:P21" si="6">+D20+D19</f>
        <v>46681</v>
      </c>
      <c r="E21" s="96">
        <f t="shared" si="6"/>
        <v>15184</v>
      </c>
      <c r="F21" s="96">
        <f t="shared" si="6"/>
        <v>440</v>
      </c>
      <c r="G21" s="96">
        <f t="shared" si="6"/>
        <v>24341</v>
      </c>
      <c r="H21" s="96">
        <f t="shared" si="6"/>
        <v>47366</v>
      </c>
      <c r="I21" s="96">
        <f t="shared" si="6"/>
        <v>95915</v>
      </c>
      <c r="J21" s="96">
        <f t="shared" si="6"/>
        <v>47366</v>
      </c>
      <c r="K21" s="96">
        <f t="shared" si="6"/>
        <v>47339</v>
      </c>
      <c r="L21" s="96">
        <f t="shared" si="6"/>
        <v>4142</v>
      </c>
      <c r="M21" s="96">
        <f t="shared" si="6"/>
        <v>24350</v>
      </c>
      <c r="N21" s="96">
        <f t="shared" si="6"/>
        <v>11635</v>
      </c>
      <c r="O21" s="96">
        <f t="shared" si="6"/>
        <v>47887</v>
      </c>
      <c r="P21" s="382">
        <f t="shared" si="6"/>
        <v>412646</v>
      </c>
      <c r="Q21" s="372"/>
    </row>
    <row r="22" spans="1:17" s="372" customFormat="1" ht="14.1" customHeight="1">
      <c r="A22" s="381"/>
      <c r="B22" s="383" t="s">
        <v>288</v>
      </c>
      <c r="C22" s="379">
        <f>+C21+C18</f>
        <v>412646</v>
      </c>
      <c r="D22" s="379">
        <f t="shared" ref="D22:P22" si="7">+D21+D18</f>
        <v>46681</v>
      </c>
      <c r="E22" s="379">
        <f t="shared" si="7"/>
        <v>15184</v>
      </c>
      <c r="F22" s="379">
        <f t="shared" si="7"/>
        <v>440</v>
      </c>
      <c r="G22" s="379">
        <f t="shared" si="7"/>
        <v>24341</v>
      </c>
      <c r="H22" s="379">
        <f t="shared" si="7"/>
        <v>47366</v>
      </c>
      <c r="I22" s="379">
        <f t="shared" si="7"/>
        <v>95915</v>
      </c>
      <c r="J22" s="379">
        <f t="shared" si="7"/>
        <v>47366</v>
      </c>
      <c r="K22" s="379">
        <f t="shared" si="7"/>
        <v>47339</v>
      </c>
      <c r="L22" s="379">
        <f t="shared" si="7"/>
        <v>4142</v>
      </c>
      <c r="M22" s="379">
        <f t="shared" si="7"/>
        <v>24350</v>
      </c>
      <c r="N22" s="379">
        <f t="shared" si="7"/>
        <v>11635</v>
      </c>
      <c r="O22" s="379">
        <f t="shared" si="7"/>
        <v>47887</v>
      </c>
      <c r="P22" s="379">
        <f t="shared" si="7"/>
        <v>412646</v>
      </c>
    </row>
    <row r="23" spans="1:17" s="369" customFormat="1" ht="15.9" customHeight="1" thickBot="1">
      <c r="A23" s="384"/>
      <c r="B23" s="385" t="s">
        <v>405</v>
      </c>
      <c r="C23" s="386">
        <f>+C22+C17+C13</f>
        <v>1406722</v>
      </c>
      <c r="D23" s="386">
        <f t="shared" ref="D23:P23" si="8">+D22+D17+D13</f>
        <v>146903</v>
      </c>
      <c r="E23" s="386">
        <f t="shared" si="8"/>
        <v>111428</v>
      </c>
      <c r="F23" s="386">
        <f t="shared" si="8"/>
        <v>110903</v>
      </c>
      <c r="G23" s="386">
        <f t="shared" si="8"/>
        <v>111429</v>
      </c>
      <c r="H23" s="386">
        <f t="shared" si="8"/>
        <v>110904</v>
      </c>
      <c r="I23" s="386">
        <f t="shared" si="8"/>
        <v>159463</v>
      </c>
      <c r="J23" s="386">
        <f t="shared" si="8"/>
        <v>109193</v>
      </c>
      <c r="K23" s="386">
        <f t="shared" si="8"/>
        <v>109197</v>
      </c>
      <c r="L23" s="386">
        <f t="shared" si="8"/>
        <v>109197</v>
      </c>
      <c r="M23" s="386">
        <f t="shared" si="8"/>
        <v>109198</v>
      </c>
      <c r="N23" s="386">
        <f t="shared" si="8"/>
        <v>109195</v>
      </c>
      <c r="O23" s="386">
        <f t="shared" si="8"/>
        <v>109712</v>
      </c>
      <c r="P23" s="387">
        <f t="shared" si="8"/>
        <v>1406722</v>
      </c>
      <c r="Q23" s="372"/>
    </row>
    <row r="24" spans="1:17" s="369" customFormat="1" ht="15" customHeight="1" thickBot="1">
      <c r="A24" s="388"/>
      <c r="B24" s="1158"/>
      <c r="C24" s="1158"/>
      <c r="D24" s="1158"/>
      <c r="E24" s="1158"/>
      <c r="F24" s="1158"/>
      <c r="G24" s="1158"/>
      <c r="H24" s="1158"/>
      <c r="I24" s="1158"/>
      <c r="J24" s="1158"/>
      <c r="K24" s="1158"/>
      <c r="L24" s="1158"/>
      <c r="M24" s="1158"/>
      <c r="N24" s="1158"/>
      <c r="O24" s="1158"/>
      <c r="P24" s="1158"/>
      <c r="Q24" s="372"/>
    </row>
    <row r="25" spans="1:17" s="361" customFormat="1" ht="26.1" customHeight="1">
      <c r="A25" s="364" t="s">
        <v>480</v>
      </c>
      <c r="B25" s="365" t="s">
        <v>284</v>
      </c>
      <c r="C25" s="366" t="s">
        <v>1031</v>
      </c>
      <c r="D25" s="365" t="s">
        <v>465</v>
      </c>
      <c r="E25" s="365" t="s">
        <v>466</v>
      </c>
      <c r="F25" s="365" t="s">
        <v>467</v>
      </c>
      <c r="G25" s="365" t="s">
        <v>468</v>
      </c>
      <c r="H25" s="365" t="s">
        <v>469</v>
      </c>
      <c r="I25" s="365" t="s">
        <v>470</v>
      </c>
      <c r="J25" s="365" t="s">
        <v>471</v>
      </c>
      <c r="K25" s="365" t="s">
        <v>493</v>
      </c>
      <c r="L25" s="365" t="s">
        <v>472</v>
      </c>
      <c r="M25" s="365" t="s">
        <v>473</v>
      </c>
      <c r="N25" s="365" t="s">
        <v>474</v>
      </c>
      <c r="O25" s="365" t="s">
        <v>475</v>
      </c>
      <c r="P25" s="367" t="s">
        <v>491</v>
      </c>
      <c r="Q25" s="372"/>
    </row>
    <row r="26" spans="1:17" s="372" customFormat="1" ht="14.1" customHeight="1">
      <c r="A26" s="368"/>
      <c r="B26" s="214" t="s">
        <v>173</v>
      </c>
      <c r="C26" s="233">
        <f>+'1.mell. Mérleg'!E31</f>
        <v>263680</v>
      </c>
      <c r="D26" s="370">
        <f>22005-64</f>
        <v>21941</v>
      </c>
      <c r="E26" s="370">
        <f>22005-64</f>
        <v>21941</v>
      </c>
      <c r="F26" s="370">
        <f>22005-64</f>
        <v>21941</v>
      </c>
      <c r="G26" s="370">
        <f>22005-64</f>
        <v>21941</v>
      </c>
      <c r="H26" s="370">
        <f>22006-64</f>
        <v>21942</v>
      </c>
      <c r="I26" s="370">
        <f>22005-63</f>
        <v>21942</v>
      </c>
      <c r="J26" s="370">
        <v>22006</v>
      </c>
      <c r="K26" s="370">
        <v>22005</v>
      </c>
      <c r="L26" s="370">
        <v>22005</v>
      </c>
      <c r="M26" s="370">
        <v>22006</v>
      </c>
      <c r="N26" s="370">
        <v>22005</v>
      </c>
      <c r="O26" s="370">
        <v>22005</v>
      </c>
      <c r="P26" s="371">
        <f t="shared" ref="P26:P31" si="9">SUM(D26:O26)</f>
        <v>263680</v>
      </c>
    </row>
    <row r="27" spans="1:17" s="372" customFormat="1" ht="14.1" customHeight="1">
      <c r="A27" s="368"/>
      <c r="B27" s="214" t="s">
        <v>172</v>
      </c>
      <c r="C27" s="233">
        <f>+'1.mell. Mérleg'!E32</f>
        <v>73833</v>
      </c>
      <c r="D27" s="370">
        <f>6140+25</f>
        <v>6165</v>
      </c>
      <c r="E27" s="370">
        <f>6140+26</f>
        <v>6166</v>
      </c>
      <c r="F27" s="370">
        <f>6140+25</f>
        <v>6165</v>
      </c>
      <c r="G27" s="370">
        <f>6140+26</f>
        <v>6166</v>
      </c>
      <c r="H27" s="370">
        <f>6140+25</f>
        <v>6165</v>
      </c>
      <c r="I27" s="370">
        <f>6140+26</f>
        <v>6166</v>
      </c>
      <c r="J27" s="370">
        <v>6140</v>
      </c>
      <c r="K27" s="370">
        <v>6140</v>
      </c>
      <c r="L27" s="370">
        <v>6140</v>
      </c>
      <c r="M27" s="370">
        <v>6140</v>
      </c>
      <c r="N27" s="370">
        <v>6140</v>
      </c>
      <c r="O27" s="370">
        <v>6140</v>
      </c>
      <c r="P27" s="371">
        <f t="shared" si="9"/>
        <v>73833</v>
      </c>
    </row>
    <row r="28" spans="1:17" s="372" customFormat="1" ht="14.1" customHeight="1">
      <c r="A28" s="368"/>
      <c r="B28" s="214" t="s">
        <v>152</v>
      </c>
      <c r="C28" s="233">
        <f>+'1.mell. Mérleg'!E33</f>
        <v>156184</v>
      </c>
      <c r="D28" s="370">
        <f>10639+4751</f>
        <v>15390</v>
      </c>
      <c r="E28" s="370">
        <f>10640+4751</f>
        <v>15391</v>
      </c>
      <c r="F28" s="370">
        <f>10639+4751</f>
        <v>15390</v>
      </c>
      <c r="G28" s="370">
        <f>10640+4751</f>
        <v>15391</v>
      </c>
      <c r="H28" s="370">
        <f>10639+4751</f>
        <v>15390</v>
      </c>
      <c r="I28" s="370">
        <f>10640+4752</f>
        <v>15392</v>
      </c>
      <c r="J28" s="370">
        <v>10639</v>
      </c>
      <c r="K28" s="370">
        <v>10640</v>
      </c>
      <c r="L28" s="370">
        <v>10642</v>
      </c>
      <c r="M28" s="370">
        <v>10640</v>
      </c>
      <c r="N28" s="370">
        <v>10639</v>
      </c>
      <c r="O28" s="370">
        <v>10640</v>
      </c>
      <c r="P28" s="371">
        <f t="shared" si="9"/>
        <v>156184</v>
      </c>
    </row>
    <row r="29" spans="1:17" s="372" customFormat="1" ht="14.1" customHeight="1">
      <c r="A29" s="368"/>
      <c r="B29" s="215" t="s">
        <v>151</v>
      </c>
      <c r="C29" s="233">
        <f>+'1.mell. Mérleg'!E34</f>
        <v>21620</v>
      </c>
      <c r="D29" s="370">
        <f>1898-1158</f>
        <v>740</v>
      </c>
      <c r="E29" s="370">
        <f>1898</f>
        <v>1898</v>
      </c>
      <c r="F29" s="370">
        <v>1898</v>
      </c>
      <c r="G29" s="370">
        <v>1898</v>
      </c>
      <c r="H29" s="370">
        <v>1898</v>
      </c>
      <c r="I29" s="370">
        <v>1898</v>
      </c>
      <c r="J29" s="370">
        <v>1898</v>
      </c>
      <c r="K29" s="370">
        <v>1898</v>
      </c>
      <c r="L29" s="370">
        <v>1898</v>
      </c>
      <c r="M29" s="370">
        <v>1899</v>
      </c>
      <c r="N29" s="370">
        <v>1899</v>
      </c>
      <c r="O29" s="370">
        <v>1898</v>
      </c>
      <c r="P29" s="371">
        <f t="shared" si="9"/>
        <v>21620</v>
      </c>
    </row>
    <row r="30" spans="1:17" s="372" customFormat="1" ht="14.1" customHeight="1">
      <c r="A30" s="368"/>
      <c r="B30" s="214" t="s">
        <v>164</v>
      </c>
      <c r="C30" s="233">
        <f>+'1.mell. Mérleg'!E35</f>
        <v>414177</v>
      </c>
      <c r="D30" s="370">
        <f>32749+21183</f>
        <v>53932</v>
      </c>
      <c r="E30" s="370">
        <v>32750</v>
      </c>
      <c r="F30" s="370">
        <v>32749</v>
      </c>
      <c r="G30" s="370">
        <v>32750</v>
      </c>
      <c r="H30" s="370">
        <v>32749</v>
      </c>
      <c r="I30" s="370">
        <v>32750</v>
      </c>
      <c r="J30" s="370">
        <v>32749</v>
      </c>
      <c r="K30" s="370">
        <v>32750</v>
      </c>
      <c r="L30" s="370">
        <v>32749</v>
      </c>
      <c r="M30" s="370">
        <v>32750</v>
      </c>
      <c r="N30" s="370">
        <v>32749</v>
      </c>
      <c r="O30" s="370">
        <v>32750</v>
      </c>
      <c r="P30" s="371">
        <f t="shared" si="9"/>
        <v>414177</v>
      </c>
    </row>
    <row r="31" spans="1:17" s="372" customFormat="1" ht="14.1" customHeight="1">
      <c r="A31" s="368"/>
      <c r="B31" s="214" t="s">
        <v>442</v>
      </c>
      <c r="C31" s="233">
        <f>+'1.mell. Mérleg'!E36</f>
        <v>349666</v>
      </c>
      <c r="D31" s="370">
        <f>32967+8200-4500-1</f>
        <v>36666</v>
      </c>
      <c r="E31" s="370">
        <f>32968-11756-19584</f>
        <v>1628</v>
      </c>
      <c r="F31" s="370">
        <f>32967-12275</f>
        <v>20692</v>
      </c>
      <c r="G31" s="370">
        <f>32969-11756</f>
        <v>21213</v>
      </c>
      <c r="H31" s="370">
        <f>32967-12275-18280</f>
        <v>2412</v>
      </c>
      <c r="I31" s="370">
        <f>32969+36276</f>
        <v>69245</v>
      </c>
      <c r="J31" s="370">
        <v>32967</v>
      </c>
      <c r="K31" s="370">
        <v>32969</v>
      </c>
      <c r="L31" s="370">
        <v>32968</v>
      </c>
      <c r="M31" s="370">
        <v>32968</v>
      </c>
      <c r="N31" s="370">
        <v>32968</v>
      </c>
      <c r="O31" s="370">
        <v>32970</v>
      </c>
      <c r="P31" s="371">
        <f t="shared" si="9"/>
        <v>349666</v>
      </c>
    </row>
    <row r="32" spans="1:17" s="372" customFormat="1" ht="14.1" customHeight="1">
      <c r="A32" s="381"/>
      <c r="B32" s="378" t="s">
        <v>431</v>
      </c>
      <c r="C32" s="389">
        <f>SUM(C26:C31)</f>
        <v>1279160</v>
      </c>
      <c r="D32" s="389">
        <f t="shared" ref="D32:P32" si="10">SUM(D26:D31)</f>
        <v>134834</v>
      </c>
      <c r="E32" s="389">
        <f t="shared" si="10"/>
        <v>79774</v>
      </c>
      <c r="F32" s="389">
        <f t="shared" si="10"/>
        <v>98835</v>
      </c>
      <c r="G32" s="389">
        <f t="shared" si="10"/>
        <v>99359</v>
      </c>
      <c r="H32" s="389">
        <f t="shared" si="10"/>
        <v>80556</v>
      </c>
      <c r="I32" s="389">
        <f t="shared" si="10"/>
        <v>147393</v>
      </c>
      <c r="J32" s="389">
        <f t="shared" si="10"/>
        <v>106399</v>
      </c>
      <c r="K32" s="389">
        <f t="shared" si="10"/>
        <v>106402</v>
      </c>
      <c r="L32" s="389">
        <f t="shared" si="10"/>
        <v>106402</v>
      </c>
      <c r="M32" s="389">
        <f t="shared" si="10"/>
        <v>106403</v>
      </c>
      <c r="N32" s="389">
        <f t="shared" si="10"/>
        <v>106400</v>
      </c>
      <c r="O32" s="389">
        <f t="shared" si="10"/>
        <v>106403</v>
      </c>
      <c r="P32" s="390">
        <f t="shared" si="10"/>
        <v>1279160</v>
      </c>
    </row>
    <row r="33" spans="1:17" s="372" customFormat="1" ht="14.1" customHeight="1">
      <c r="A33" s="368"/>
      <c r="B33" s="214" t="s">
        <v>162</v>
      </c>
      <c r="C33" s="233">
        <f>+'1.mell. Mérleg'!E38</f>
        <v>83025</v>
      </c>
      <c r="D33" s="370">
        <f>2281+9274+1</f>
        <v>11556</v>
      </c>
      <c r="E33" s="370">
        <f>2282+9274</f>
        <v>11556</v>
      </c>
      <c r="F33" s="370">
        <f>2281+9274</f>
        <v>11555</v>
      </c>
      <c r="G33" s="370">
        <f>2282+9274</f>
        <v>11556</v>
      </c>
      <c r="H33" s="370">
        <f>2281+9274</f>
        <v>11555</v>
      </c>
      <c r="I33" s="370">
        <f>2282+9274</f>
        <v>11556</v>
      </c>
      <c r="J33" s="370">
        <v>2281</v>
      </c>
      <c r="K33" s="370">
        <v>2282</v>
      </c>
      <c r="L33" s="370">
        <v>2282</v>
      </c>
      <c r="M33" s="370">
        <v>2282</v>
      </c>
      <c r="N33" s="370">
        <v>2282</v>
      </c>
      <c r="O33" s="370">
        <v>2282</v>
      </c>
      <c r="P33" s="371">
        <f>SUM(D33:O33)</f>
        <v>83025</v>
      </c>
    </row>
    <row r="34" spans="1:17" s="372" customFormat="1" ht="14.1" customHeight="1">
      <c r="A34" s="368"/>
      <c r="B34" s="214" t="s">
        <v>161</v>
      </c>
      <c r="C34" s="233">
        <f>+'1.mell. Mérleg'!E39</f>
        <v>5663</v>
      </c>
      <c r="D34" s="370"/>
      <c r="E34" s="370"/>
      <c r="F34" s="370"/>
      <c r="G34" s="370"/>
      <c r="H34" s="370">
        <v>5663</v>
      </c>
      <c r="I34" s="370"/>
      <c r="J34" s="370"/>
      <c r="K34" s="370"/>
      <c r="L34" s="370"/>
      <c r="M34" s="370"/>
      <c r="N34" s="370"/>
      <c r="O34" s="370"/>
      <c r="P34" s="371">
        <f>SUM(D34:O34)</f>
        <v>5663</v>
      </c>
    </row>
    <row r="35" spans="1:17" s="372" customFormat="1" ht="14.1" customHeight="1">
      <c r="A35" s="368"/>
      <c r="B35" s="214" t="s">
        <v>159</v>
      </c>
      <c r="C35" s="233">
        <f>+'1.mell. Mérleg'!E40</f>
        <v>12617</v>
      </c>
      <c r="D35" s="370"/>
      <c r="E35" s="370"/>
      <c r="F35" s="370"/>
      <c r="G35" s="370"/>
      <c r="H35" s="370">
        <v>12617</v>
      </c>
      <c r="I35" s="370"/>
      <c r="J35" s="370"/>
      <c r="K35" s="370"/>
      <c r="L35" s="370"/>
      <c r="M35" s="370"/>
      <c r="N35" s="370"/>
      <c r="O35" s="370"/>
      <c r="P35" s="371">
        <f>SUM(D35:O35)</f>
        <v>12617</v>
      </c>
    </row>
    <row r="36" spans="1:17" s="372" customFormat="1" ht="14.1" customHeight="1">
      <c r="A36" s="381"/>
      <c r="B36" s="378" t="s">
        <v>433</v>
      </c>
      <c r="C36" s="391">
        <f>SUM(C33:C35)</f>
        <v>101305</v>
      </c>
      <c r="D36" s="391">
        <f t="shared" ref="D36:P36" si="11">SUM(D33:D35)</f>
        <v>11556</v>
      </c>
      <c r="E36" s="391">
        <f t="shared" si="11"/>
        <v>11556</v>
      </c>
      <c r="F36" s="391">
        <f t="shared" si="11"/>
        <v>11555</v>
      </c>
      <c r="G36" s="391">
        <f t="shared" si="11"/>
        <v>11556</v>
      </c>
      <c r="H36" s="391">
        <f t="shared" si="11"/>
        <v>29835</v>
      </c>
      <c r="I36" s="391">
        <f t="shared" si="11"/>
        <v>11556</v>
      </c>
      <c r="J36" s="391">
        <f t="shared" si="11"/>
        <v>2281</v>
      </c>
      <c r="K36" s="391">
        <f t="shared" si="11"/>
        <v>2282</v>
      </c>
      <c r="L36" s="391">
        <f t="shared" si="11"/>
        <v>2282</v>
      </c>
      <c r="M36" s="391">
        <f t="shared" si="11"/>
        <v>2282</v>
      </c>
      <c r="N36" s="391">
        <f t="shared" si="11"/>
        <v>2282</v>
      </c>
      <c r="O36" s="391">
        <f t="shared" si="11"/>
        <v>2282</v>
      </c>
      <c r="P36" s="392">
        <f t="shared" si="11"/>
        <v>101305</v>
      </c>
    </row>
    <row r="37" spans="1:17" s="372" customFormat="1" ht="14.1" customHeight="1">
      <c r="A37" s="381"/>
      <c r="B37" s="393" t="s">
        <v>278</v>
      </c>
      <c r="C37" s="391">
        <f>+'1.mell. Mérleg'!E42</f>
        <v>26257</v>
      </c>
      <c r="D37" s="394">
        <v>513</v>
      </c>
      <c r="E37" s="394">
        <f>514+19584</f>
        <v>20098</v>
      </c>
      <c r="F37" s="394">
        <v>513</v>
      </c>
      <c r="G37" s="394">
        <v>514</v>
      </c>
      <c r="H37" s="394">
        <v>513</v>
      </c>
      <c r="I37" s="394">
        <v>514</v>
      </c>
      <c r="J37" s="394">
        <v>513</v>
      </c>
      <c r="K37" s="394">
        <v>513</v>
      </c>
      <c r="L37" s="394">
        <v>513</v>
      </c>
      <c r="M37" s="394">
        <v>513</v>
      </c>
      <c r="N37" s="394">
        <v>513</v>
      </c>
      <c r="O37" s="394">
        <f>514+513</f>
        <v>1027</v>
      </c>
      <c r="P37" s="395">
        <f>SUM(D37:O37)</f>
        <v>26257</v>
      </c>
    </row>
    <row r="38" spans="1:17" s="369" customFormat="1" ht="15.9" customHeight="1" thickBot="1">
      <c r="A38" s="384"/>
      <c r="B38" s="386" t="s">
        <v>430</v>
      </c>
      <c r="C38" s="386">
        <f>+C37+C36+C32</f>
        <v>1406722</v>
      </c>
      <c r="D38" s="386">
        <f>+D37+D36+D32</f>
        <v>146903</v>
      </c>
      <c r="E38" s="386">
        <f t="shared" ref="E38:P38" si="12">+E37+E36+E32</f>
        <v>111428</v>
      </c>
      <c r="F38" s="386">
        <f t="shared" si="12"/>
        <v>110903</v>
      </c>
      <c r="G38" s="386">
        <f t="shared" si="12"/>
        <v>111429</v>
      </c>
      <c r="H38" s="386">
        <f t="shared" si="12"/>
        <v>110904</v>
      </c>
      <c r="I38" s="386">
        <f t="shared" si="12"/>
        <v>159463</v>
      </c>
      <c r="J38" s="386">
        <f t="shared" si="12"/>
        <v>109193</v>
      </c>
      <c r="K38" s="386">
        <f t="shared" si="12"/>
        <v>109197</v>
      </c>
      <c r="L38" s="386">
        <f t="shared" si="12"/>
        <v>109197</v>
      </c>
      <c r="M38" s="386">
        <f t="shared" si="12"/>
        <v>109198</v>
      </c>
      <c r="N38" s="386">
        <f t="shared" si="12"/>
        <v>109195</v>
      </c>
      <c r="O38" s="386">
        <f t="shared" si="12"/>
        <v>109712</v>
      </c>
      <c r="P38" s="387">
        <f t="shared" si="12"/>
        <v>1406722</v>
      </c>
      <c r="Q38" s="372"/>
    </row>
    <row r="39" spans="1:17" s="399" customFormat="1" ht="15.9" customHeight="1" thickBot="1">
      <c r="A39" s="396"/>
      <c r="B39" s="397"/>
      <c r="C39" s="397"/>
      <c r="D39" s="397"/>
      <c r="E39" s="397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97"/>
      <c r="Q39" s="398"/>
    </row>
    <row r="40" spans="1:17" ht="13.8" thickBot="1">
      <c r="A40" s="400"/>
      <c r="B40" s="401" t="s">
        <v>494</v>
      </c>
      <c r="C40" s="402">
        <f>+C23-C38</f>
        <v>0</v>
      </c>
      <c r="D40" s="402">
        <f t="shared" ref="D40:P40" si="13">+D23-D38</f>
        <v>0</v>
      </c>
      <c r="E40" s="402">
        <f t="shared" si="13"/>
        <v>0</v>
      </c>
      <c r="F40" s="402">
        <f t="shared" si="13"/>
        <v>0</v>
      </c>
      <c r="G40" s="402">
        <f t="shared" si="13"/>
        <v>0</v>
      </c>
      <c r="H40" s="402">
        <f t="shared" si="13"/>
        <v>0</v>
      </c>
      <c r="I40" s="402">
        <f t="shared" si="13"/>
        <v>0</v>
      </c>
      <c r="J40" s="402">
        <f t="shared" si="13"/>
        <v>0</v>
      </c>
      <c r="K40" s="402">
        <f t="shared" si="13"/>
        <v>0</v>
      </c>
      <c r="L40" s="402">
        <f t="shared" si="13"/>
        <v>0</v>
      </c>
      <c r="M40" s="402">
        <f t="shared" si="13"/>
        <v>0</v>
      </c>
      <c r="N40" s="402">
        <f t="shared" si="13"/>
        <v>0</v>
      </c>
      <c r="O40" s="402">
        <f t="shared" si="13"/>
        <v>0</v>
      </c>
      <c r="P40" s="403">
        <f t="shared" si="13"/>
        <v>0</v>
      </c>
      <c r="Q40" s="372"/>
    </row>
    <row r="46" spans="1:17">
      <c r="L46" s="362" t="s">
        <v>1078</v>
      </c>
    </row>
  </sheetData>
  <mergeCells count="2">
    <mergeCell ref="B3:P3"/>
    <mergeCell ref="B24:P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&amp;C&amp;"Times New Roman,Félkövér"&amp;12Előirányzat-felhasználási ütemterv 2016. évre 
(&amp;"Times New Roman,Normál"módosított adatok alapján)  &amp;"Times New Roman,Félkövér"             &amp;R&amp;"Times New Roman,Félkövér"&amp;12&amp;K000000 11. melléklet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AL190"/>
  <sheetViews>
    <sheetView zoomScaleSheetLayoutView="70" workbookViewId="0">
      <pane xSplit="3" ySplit="4" topLeftCell="D161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Y116" sqref="Y116"/>
    </sheetView>
  </sheetViews>
  <sheetFormatPr defaultColWidth="9.109375" defaultRowHeight="13.2"/>
  <cols>
    <col min="1" max="1" width="5.6640625" style="767" customWidth="1"/>
    <col min="2" max="2" width="47" style="767" customWidth="1"/>
    <col min="3" max="3" width="8.6640625" style="767" customWidth="1"/>
    <col min="4" max="4" width="7.6640625" style="767" customWidth="1"/>
    <col min="5" max="5" width="7.5546875" style="767" customWidth="1"/>
    <col min="6" max="6" width="8.33203125" style="767" customWidth="1"/>
    <col min="7" max="7" width="7.44140625" style="767" customWidth="1"/>
    <col min="8" max="8" width="6.44140625" style="767" customWidth="1"/>
    <col min="9" max="9" width="6.5546875" style="767" customWidth="1"/>
    <col min="10" max="10" width="7.88671875" style="767" customWidth="1"/>
    <col min="11" max="11" width="6.88671875" style="767" customWidth="1"/>
    <col min="12" max="12" width="9.109375" style="767" customWidth="1"/>
    <col min="13" max="13" width="7.33203125" style="767" customWidth="1"/>
    <col min="14" max="14" width="8.109375" style="767" customWidth="1"/>
    <col min="15" max="15" width="7.33203125" style="767" customWidth="1"/>
    <col min="16" max="16" width="9.33203125" style="767" customWidth="1"/>
    <col min="17" max="17" width="8.44140625" style="767" customWidth="1"/>
    <col min="18" max="19" width="9.88671875" style="767" customWidth="1"/>
    <col min="20" max="20" width="8" style="767" customWidth="1"/>
    <col min="21" max="21" width="10.109375" style="767" customWidth="1"/>
    <col min="22" max="22" width="9" style="768" customWidth="1"/>
    <col min="23" max="23" width="7.88671875" style="767" customWidth="1"/>
    <col min="24" max="24" width="10.5546875" style="767" customWidth="1"/>
    <col min="25" max="25" width="8.6640625" style="767" customWidth="1"/>
    <col min="26" max="26" width="9.109375" style="767"/>
    <col min="27" max="27" width="9.6640625" style="767" customWidth="1"/>
    <col min="28" max="28" width="8" style="767" customWidth="1"/>
    <col min="29" max="29" width="9.5546875" style="767" customWidth="1"/>
    <col min="30" max="30" width="9.33203125" style="767" customWidth="1"/>
    <col min="31" max="31" width="7.6640625" style="767" customWidth="1"/>
    <col min="32" max="32" width="9" style="767" customWidth="1"/>
    <col min="33" max="33" width="9.33203125" style="767" customWidth="1"/>
    <col min="34" max="16384" width="9.109375" style="767"/>
  </cols>
  <sheetData>
    <row r="1" spans="1:38" ht="13.8" thickBot="1">
      <c r="AE1" s="1160" t="s">
        <v>411</v>
      </c>
      <c r="AF1" s="1160"/>
      <c r="AG1" s="1160"/>
    </row>
    <row r="2" spans="1:38" ht="16.5" customHeight="1">
      <c r="A2" s="1161" t="s">
        <v>352</v>
      </c>
      <c r="B2" s="1163" t="s">
        <v>768</v>
      </c>
      <c r="C2" s="1163" t="s">
        <v>769</v>
      </c>
      <c r="D2" s="1165" t="s">
        <v>312</v>
      </c>
      <c r="E2" s="1165"/>
      <c r="F2" s="1165"/>
      <c r="G2" s="1165"/>
      <c r="H2" s="1165"/>
      <c r="I2" s="1165"/>
      <c r="J2" s="1165"/>
      <c r="K2" s="1165"/>
      <c r="L2" s="1165"/>
      <c r="M2" s="1165"/>
      <c r="N2" s="1165"/>
      <c r="O2" s="1165"/>
      <c r="P2" s="1165"/>
      <c r="Q2" s="1165"/>
      <c r="R2" s="1165"/>
      <c r="S2" s="1165"/>
      <c r="T2" s="1166"/>
      <c r="U2" s="1167" t="s">
        <v>290</v>
      </c>
      <c r="V2" s="1165" t="s">
        <v>303</v>
      </c>
      <c r="W2" s="1165"/>
      <c r="X2" s="1165"/>
      <c r="Y2" s="1165"/>
      <c r="Z2" s="1165"/>
      <c r="AA2" s="1165"/>
      <c r="AB2" s="1165"/>
      <c r="AC2" s="1165"/>
      <c r="AD2" s="1165"/>
      <c r="AE2" s="1165"/>
      <c r="AF2" s="1165"/>
      <c r="AG2" s="1169" t="s">
        <v>770</v>
      </c>
      <c r="AL2" s="769"/>
    </row>
    <row r="3" spans="1:38" ht="25.5" customHeight="1">
      <c r="A3" s="1162"/>
      <c r="B3" s="1159"/>
      <c r="C3" s="1164"/>
      <c r="D3" s="1159" t="s">
        <v>771</v>
      </c>
      <c r="E3" s="1159" t="s">
        <v>772</v>
      </c>
      <c r="F3" s="1159" t="s">
        <v>152</v>
      </c>
      <c r="G3" s="1159" t="s">
        <v>773</v>
      </c>
      <c r="H3" s="1159" t="s">
        <v>164</v>
      </c>
      <c r="I3" s="1171"/>
      <c r="J3" s="1159" t="s">
        <v>774</v>
      </c>
      <c r="K3" s="1172" t="s">
        <v>775</v>
      </c>
      <c r="L3" s="1159" t="s">
        <v>776</v>
      </c>
      <c r="M3" s="1159" t="s">
        <v>777</v>
      </c>
      <c r="N3" s="1159" t="s">
        <v>778</v>
      </c>
      <c r="O3" s="1159" t="s">
        <v>1075</v>
      </c>
      <c r="P3" s="1159" t="s">
        <v>714</v>
      </c>
      <c r="Q3" s="1159" t="s">
        <v>780</v>
      </c>
      <c r="R3" s="1159" t="s">
        <v>781</v>
      </c>
      <c r="S3" s="1159" t="s">
        <v>782</v>
      </c>
      <c r="T3" s="1159" t="s">
        <v>783</v>
      </c>
      <c r="U3" s="1168"/>
      <c r="V3" s="1159" t="s">
        <v>784</v>
      </c>
      <c r="W3" s="1159" t="s">
        <v>785</v>
      </c>
      <c r="X3" s="1159" t="s">
        <v>786</v>
      </c>
      <c r="Y3" s="1159" t="s">
        <v>787</v>
      </c>
      <c r="Z3" s="1159" t="s">
        <v>788</v>
      </c>
      <c r="AA3" s="1159" t="s">
        <v>789</v>
      </c>
      <c r="AB3" s="1159" t="s">
        <v>790</v>
      </c>
      <c r="AC3" s="1159" t="s">
        <v>791</v>
      </c>
      <c r="AD3" s="1159" t="s">
        <v>792</v>
      </c>
      <c r="AE3" s="1159" t="s">
        <v>793</v>
      </c>
      <c r="AF3" s="1159" t="s">
        <v>794</v>
      </c>
      <c r="AG3" s="1170"/>
    </row>
    <row r="4" spans="1:38" ht="35.25" customHeight="1">
      <c r="A4" s="1162"/>
      <c r="B4" s="1159"/>
      <c r="C4" s="1164"/>
      <c r="D4" s="1159"/>
      <c r="E4" s="1159"/>
      <c r="F4" s="1159"/>
      <c r="G4" s="1159"/>
      <c r="H4" s="854" t="s">
        <v>795</v>
      </c>
      <c r="I4" s="854" t="s">
        <v>796</v>
      </c>
      <c r="J4" s="1159"/>
      <c r="K4" s="1172"/>
      <c r="L4" s="1159"/>
      <c r="M4" s="1173"/>
      <c r="N4" s="1159"/>
      <c r="O4" s="1159"/>
      <c r="P4" s="1159"/>
      <c r="Q4" s="1159"/>
      <c r="R4" s="1159"/>
      <c r="S4" s="1174"/>
      <c r="T4" s="1173"/>
      <c r="U4" s="1168"/>
      <c r="V4" s="1159"/>
      <c r="W4" s="1159"/>
      <c r="X4" s="1171"/>
      <c r="Y4" s="1171"/>
      <c r="Z4" s="1159"/>
      <c r="AA4" s="1171"/>
      <c r="AB4" s="1171"/>
      <c r="AC4" s="1171"/>
      <c r="AD4" s="1159"/>
      <c r="AE4" s="1159"/>
      <c r="AF4" s="1159"/>
      <c r="AG4" s="1170"/>
    </row>
    <row r="5" spans="1:38" s="768" customFormat="1" ht="12.75" customHeight="1">
      <c r="A5" s="770">
        <v>1</v>
      </c>
      <c r="B5" s="867" t="s">
        <v>797</v>
      </c>
      <c r="C5" s="867">
        <v>18030</v>
      </c>
      <c r="D5" s="867"/>
      <c r="E5" s="867"/>
      <c r="F5" s="867"/>
      <c r="G5" s="771"/>
      <c r="H5" s="771"/>
      <c r="I5" s="771"/>
      <c r="J5" s="771"/>
      <c r="K5" s="772"/>
      <c r="L5" s="772"/>
      <c r="M5" s="772"/>
      <c r="N5" s="771"/>
      <c r="O5" s="772"/>
      <c r="P5" s="771"/>
      <c r="Q5" s="772"/>
      <c r="R5" s="771"/>
      <c r="S5" s="771"/>
      <c r="T5" s="772"/>
      <c r="U5" s="773">
        <f t="shared" ref="U5:U80" si="0">SUM(D5:T5)</f>
        <v>0</v>
      </c>
      <c r="V5" s="774"/>
      <c r="W5" s="775"/>
      <c r="X5" s="775"/>
      <c r="Y5" s="775"/>
      <c r="Z5" s="775"/>
      <c r="AA5" s="775"/>
      <c r="AB5" s="775"/>
      <c r="AC5" s="775"/>
      <c r="AD5" s="775"/>
      <c r="AE5" s="775"/>
      <c r="AF5" s="776">
        <v>47666</v>
      </c>
      <c r="AG5" s="777">
        <f t="shared" ref="AG5:AG81" si="1">SUM(V5:AF5)</f>
        <v>47666</v>
      </c>
    </row>
    <row r="6" spans="1:38" s="768" customFormat="1" ht="12.75" customHeight="1">
      <c r="A6" s="770">
        <v>2</v>
      </c>
      <c r="B6" s="778" t="s">
        <v>798</v>
      </c>
      <c r="C6" s="779" t="s">
        <v>799</v>
      </c>
      <c r="D6" s="771">
        <v>19</v>
      </c>
      <c r="E6" s="771"/>
      <c r="F6" s="771"/>
      <c r="G6" s="771"/>
      <c r="H6" s="771"/>
      <c r="I6" s="771"/>
      <c r="J6" s="771"/>
      <c r="K6" s="772"/>
      <c r="L6" s="772"/>
      <c r="M6" s="772"/>
      <c r="N6" s="771"/>
      <c r="O6" s="772"/>
      <c r="P6" s="771"/>
      <c r="Q6" s="772"/>
      <c r="R6" s="771"/>
      <c r="S6" s="771"/>
      <c r="T6" s="772"/>
      <c r="U6" s="773">
        <f t="shared" si="0"/>
        <v>19</v>
      </c>
      <c r="V6" s="774"/>
      <c r="W6" s="775"/>
      <c r="X6" s="775"/>
      <c r="Y6" s="775"/>
      <c r="Z6" s="775"/>
      <c r="AA6" s="775"/>
      <c r="AB6" s="775"/>
      <c r="AC6" s="775"/>
      <c r="AD6" s="775"/>
      <c r="AE6" s="775"/>
      <c r="AF6" s="775"/>
      <c r="AG6" s="777">
        <f t="shared" si="1"/>
        <v>0</v>
      </c>
    </row>
    <row r="7" spans="1:38" s="768" customFormat="1" ht="12.75" customHeight="1">
      <c r="A7" s="770">
        <v>3</v>
      </c>
      <c r="B7" s="778" t="s">
        <v>800</v>
      </c>
      <c r="C7" s="779"/>
      <c r="D7" s="771"/>
      <c r="E7" s="771"/>
      <c r="F7" s="771"/>
      <c r="G7" s="771"/>
      <c r="H7" s="771"/>
      <c r="I7" s="771"/>
      <c r="J7" s="771"/>
      <c r="K7" s="772"/>
      <c r="L7" s="772"/>
      <c r="M7" s="772"/>
      <c r="N7" s="771"/>
      <c r="O7" s="772"/>
      <c r="P7" s="771">
        <v>10205</v>
      </c>
      <c r="Q7" s="772"/>
      <c r="R7" s="771"/>
      <c r="S7" s="771"/>
      <c r="T7" s="772"/>
      <c r="U7" s="773">
        <f t="shared" si="0"/>
        <v>10205</v>
      </c>
      <c r="V7" s="774"/>
      <c r="W7" s="775"/>
      <c r="X7" s="775"/>
      <c r="Y7" s="775"/>
      <c r="Z7" s="775"/>
      <c r="AA7" s="775"/>
      <c r="AB7" s="775"/>
      <c r="AC7" s="775"/>
      <c r="AD7" s="775"/>
      <c r="AE7" s="775"/>
      <c r="AF7" s="775"/>
      <c r="AG7" s="777">
        <f t="shared" si="1"/>
        <v>0</v>
      </c>
    </row>
    <row r="8" spans="1:38" s="768" customFormat="1" ht="12.75" customHeight="1">
      <c r="A8" s="770">
        <v>4</v>
      </c>
      <c r="B8" s="778" t="s">
        <v>801</v>
      </c>
      <c r="C8" s="779"/>
      <c r="D8" s="771"/>
      <c r="E8" s="771"/>
      <c r="F8" s="771"/>
      <c r="G8" s="771"/>
      <c r="H8" s="771"/>
      <c r="I8" s="771"/>
      <c r="J8" s="771"/>
      <c r="K8" s="772"/>
      <c r="L8" s="772"/>
      <c r="M8" s="772"/>
      <c r="N8" s="771"/>
      <c r="O8" s="772"/>
      <c r="P8" s="771">
        <v>196</v>
      </c>
      <c r="Q8" s="772"/>
      <c r="R8" s="771"/>
      <c r="S8" s="771"/>
      <c r="T8" s="772"/>
      <c r="U8" s="773">
        <f t="shared" si="0"/>
        <v>196</v>
      </c>
      <c r="V8" s="774"/>
      <c r="W8" s="775"/>
      <c r="X8" s="775"/>
      <c r="Y8" s="775"/>
      <c r="Z8" s="775"/>
      <c r="AA8" s="775"/>
      <c r="AB8" s="775"/>
      <c r="AC8" s="775"/>
      <c r="AD8" s="775"/>
      <c r="AE8" s="775"/>
      <c r="AF8" s="775"/>
      <c r="AG8" s="777">
        <f t="shared" si="1"/>
        <v>0</v>
      </c>
    </row>
    <row r="9" spans="1:38" s="768" customFormat="1" ht="12.75" customHeight="1">
      <c r="A9" s="770">
        <v>5</v>
      </c>
      <c r="B9" s="778" t="s">
        <v>802</v>
      </c>
      <c r="C9" s="779"/>
      <c r="D9" s="771"/>
      <c r="E9" s="771"/>
      <c r="F9" s="771"/>
      <c r="G9" s="771"/>
      <c r="H9" s="771"/>
      <c r="I9" s="771"/>
      <c r="J9" s="771"/>
      <c r="K9" s="772"/>
      <c r="L9" s="772"/>
      <c r="M9" s="772"/>
      <c r="N9" s="771"/>
      <c r="O9" s="772"/>
      <c r="P9" s="771">
        <v>151</v>
      </c>
      <c r="Q9" s="772"/>
      <c r="R9" s="771"/>
      <c r="S9" s="771"/>
      <c r="T9" s="772"/>
      <c r="U9" s="773">
        <f t="shared" si="0"/>
        <v>151</v>
      </c>
      <c r="V9" s="774"/>
      <c r="W9" s="775"/>
      <c r="X9" s="775"/>
      <c r="Y9" s="775"/>
      <c r="Z9" s="775"/>
      <c r="AA9" s="775"/>
      <c r="AB9" s="775"/>
      <c r="AC9" s="775"/>
      <c r="AD9" s="775"/>
      <c r="AE9" s="775"/>
      <c r="AF9" s="775"/>
      <c r="AG9" s="777">
        <f t="shared" si="1"/>
        <v>0</v>
      </c>
    </row>
    <row r="10" spans="1:38" s="768" customFormat="1" ht="12.75" customHeight="1">
      <c r="A10" s="770">
        <v>6</v>
      </c>
      <c r="B10" s="778" t="s">
        <v>803</v>
      </c>
      <c r="C10" s="779"/>
      <c r="D10" s="771"/>
      <c r="E10" s="771"/>
      <c r="F10" s="771"/>
      <c r="G10" s="771"/>
      <c r="H10" s="771"/>
      <c r="I10" s="771"/>
      <c r="J10" s="771"/>
      <c r="K10" s="772"/>
      <c r="L10" s="772"/>
      <c r="M10" s="772"/>
      <c r="N10" s="771"/>
      <c r="O10" s="772"/>
      <c r="P10" s="771">
        <v>127</v>
      </c>
      <c r="Q10" s="772"/>
      <c r="R10" s="771"/>
      <c r="S10" s="771"/>
      <c r="T10" s="772"/>
      <c r="U10" s="773">
        <f t="shared" si="0"/>
        <v>127</v>
      </c>
      <c r="V10" s="774"/>
      <c r="W10" s="775"/>
      <c r="X10" s="775"/>
      <c r="Y10" s="775"/>
      <c r="Z10" s="775"/>
      <c r="AA10" s="775"/>
      <c r="AB10" s="775"/>
      <c r="AC10" s="775"/>
      <c r="AD10" s="775"/>
      <c r="AE10" s="775"/>
      <c r="AF10" s="775"/>
      <c r="AG10" s="777">
        <f t="shared" si="1"/>
        <v>0</v>
      </c>
    </row>
    <row r="11" spans="1:38" s="768" customFormat="1" ht="12.75" customHeight="1">
      <c r="A11" s="770">
        <v>7</v>
      </c>
      <c r="B11" s="778" t="s">
        <v>804</v>
      </c>
      <c r="C11" s="779"/>
      <c r="D11" s="771"/>
      <c r="E11" s="771"/>
      <c r="F11" s="771"/>
      <c r="G11" s="771"/>
      <c r="H11" s="771"/>
      <c r="I11" s="771"/>
      <c r="J11" s="771"/>
      <c r="K11" s="772"/>
      <c r="L11" s="772"/>
      <c r="M11" s="772"/>
      <c r="N11" s="771"/>
      <c r="O11" s="772"/>
      <c r="P11" s="771">
        <v>19584</v>
      </c>
      <c r="Q11" s="772"/>
      <c r="R11" s="771"/>
      <c r="S11" s="771"/>
      <c r="T11" s="772"/>
      <c r="U11" s="773">
        <f t="shared" si="0"/>
        <v>19584</v>
      </c>
      <c r="V11" s="774"/>
      <c r="W11" s="775"/>
      <c r="X11" s="775"/>
      <c r="Y11" s="775"/>
      <c r="Z11" s="775"/>
      <c r="AA11" s="775"/>
      <c r="AB11" s="775"/>
      <c r="AC11" s="775"/>
      <c r="AD11" s="775"/>
      <c r="AE11" s="775"/>
      <c r="AF11" s="775"/>
      <c r="AG11" s="777">
        <f t="shared" si="1"/>
        <v>0</v>
      </c>
    </row>
    <row r="12" spans="1:38" s="768" customFormat="1" ht="12.75" customHeight="1">
      <c r="A12" s="770">
        <v>8</v>
      </c>
      <c r="B12" s="778" t="s">
        <v>805</v>
      </c>
      <c r="C12" s="779"/>
      <c r="D12" s="771"/>
      <c r="E12" s="771"/>
      <c r="F12" s="771"/>
      <c r="G12" s="771"/>
      <c r="H12" s="771"/>
      <c r="I12" s="771"/>
      <c r="J12" s="771"/>
      <c r="K12" s="772"/>
      <c r="L12" s="772"/>
      <c r="M12" s="772"/>
      <c r="N12" s="771"/>
      <c r="O12" s="772"/>
      <c r="P12" s="771">
        <v>18272</v>
      </c>
      <c r="Q12" s="772"/>
      <c r="R12" s="771"/>
      <c r="S12" s="771"/>
      <c r="T12" s="772"/>
      <c r="U12" s="773">
        <f t="shared" si="0"/>
        <v>18272</v>
      </c>
      <c r="V12" s="774"/>
      <c r="W12" s="775"/>
      <c r="X12" s="775"/>
      <c r="Y12" s="775"/>
      <c r="Z12" s="775"/>
      <c r="AA12" s="775"/>
      <c r="AB12" s="775"/>
      <c r="AC12" s="775"/>
      <c r="AD12" s="775"/>
      <c r="AE12" s="775"/>
      <c r="AF12" s="775"/>
      <c r="AG12" s="777">
        <f t="shared" si="1"/>
        <v>0</v>
      </c>
    </row>
    <row r="13" spans="1:38" s="768" customFormat="1" ht="12.75" customHeight="1">
      <c r="A13" s="770">
        <v>9</v>
      </c>
      <c r="B13" s="778" t="s">
        <v>806</v>
      </c>
      <c r="C13" s="779" t="s">
        <v>807</v>
      </c>
      <c r="D13" s="771"/>
      <c r="E13" s="771"/>
      <c r="F13" s="771"/>
      <c r="G13" s="771"/>
      <c r="H13" s="771"/>
      <c r="I13" s="771"/>
      <c r="J13" s="771"/>
      <c r="K13" s="772"/>
      <c r="L13" s="772"/>
      <c r="M13" s="772"/>
      <c r="N13" s="771"/>
      <c r="O13" s="772"/>
      <c r="P13" s="771"/>
      <c r="Q13" s="772"/>
      <c r="R13" s="771"/>
      <c r="S13" s="771"/>
      <c r="T13" s="772"/>
      <c r="U13" s="773">
        <f t="shared" si="0"/>
        <v>0</v>
      </c>
      <c r="V13" s="774"/>
      <c r="W13" s="775"/>
      <c r="X13" s="775"/>
      <c r="Y13" s="776">
        <v>492</v>
      </c>
      <c r="Z13" s="775"/>
      <c r="AA13" s="775"/>
      <c r="AB13" s="775"/>
      <c r="AC13" s="775"/>
      <c r="AD13" s="775"/>
      <c r="AE13" s="775"/>
      <c r="AF13" s="775"/>
      <c r="AG13" s="777">
        <f t="shared" si="1"/>
        <v>492</v>
      </c>
    </row>
    <row r="14" spans="1:38" s="768" customFormat="1" ht="12.75" customHeight="1">
      <c r="A14" s="770">
        <v>10</v>
      </c>
      <c r="B14" s="778" t="s">
        <v>808</v>
      </c>
      <c r="C14" s="779" t="s">
        <v>807</v>
      </c>
      <c r="D14" s="771"/>
      <c r="E14" s="771"/>
      <c r="F14" s="771"/>
      <c r="G14" s="771"/>
      <c r="H14" s="771"/>
      <c r="I14" s="771"/>
      <c r="J14" s="771"/>
      <c r="K14" s="772"/>
      <c r="L14" s="772"/>
      <c r="M14" s="772"/>
      <c r="N14" s="771"/>
      <c r="O14" s="772"/>
      <c r="P14" s="771"/>
      <c r="Q14" s="772"/>
      <c r="R14" s="771"/>
      <c r="S14" s="771"/>
      <c r="T14" s="772"/>
      <c r="U14" s="773">
        <f t="shared" si="0"/>
        <v>0</v>
      </c>
      <c r="V14" s="774"/>
      <c r="W14" s="775"/>
      <c r="X14" s="775"/>
      <c r="Y14" s="776">
        <v>58</v>
      </c>
      <c r="Z14" s="775"/>
      <c r="AA14" s="775"/>
      <c r="AB14" s="775"/>
      <c r="AC14" s="775"/>
      <c r="AD14" s="775"/>
      <c r="AE14" s="775"/>
      <c r="AF14" s="775"/>
      <c r="AG14" s="777">
        <f t="shared" si="1"/>
        <v>58</v>
      </c>
    </row>
    <row r="15" spans="1:38" s="768" customFormat="1" ht="12.75" customHeight="1">
      <c r="A15" s="770">
        <v>11</v>
      </c>
      <c r="B15" s="778" t="s">
        <v>809</v>
      </c>
      <c r="C15" s="779" t="s">
        <v>807</v>
      </c>
      <c r="D15" s="771"/>
      <c r="E15" s="771"/>
      <c r="F15" s="771"/>
      <c r="G15" s="771"/>
      <c r="H15" s="771"/>
      <c r="I15" s="771"/>
      <c r="J15" s="771"/>
      <c r="K15" s="772"/>
      <c r="L15" s="772"/>
      <c r="M15" s="772"/>
      <c r="N15" s="771"/>
      <c r="O15" s="772"/>
      <c r="P15" s="771"/>
      <c r="Q15" s="772"/>
      <c r="R15" s="771"/>
      <c r="S15" s="771"/>
      <c r="T15" s="772"/>
      <c r="U15" s="773">
        <f t="shared" si="0"/>
        <v>0</v>
      </c>
      <c r="V15" s="774"/>
      <c r="W15" s="775"/>
      <c r="X15" s="775"/>
      <c r="Y15" s="776">
        <v>338</v>
      </c>
      <c r="Z15" s="775"/>
      <c r="AA15" s="775"/>
      <c r="AB15" s="775"/>
      <c r="AC15" s="775"/>
      <c r="AD15" s="775"/>
      <c r="AE15" s="775"/>
      <c r="AF15" s="775"/>
      <c r="AG15" s="777">
        <f t="shared" si="1"/>
        <v>338</v>
      </c>
    </row>
    <row r="16" spans="1:38" s="768" customFormat="1" ht="12.75" customHeight="1">
      <c r="A16" s="770">
        <v>12</v>
      </c>
      <c r="B16" s="778" t="s">
        <v>810</v>
      </c>
      <c r="C16" s="779" t="s">
        <v>811</v>
      </c>
      <c r="D16" s="771"/>
      <c r="E16" s="771"/>
      <c r="F16" s="771">
        <v>100</v>
      </c>
      <c r="G16" s="771"/>
      <c r="H16" s="771"/>
      <c r="I16" s="771"/>
      <c r="J16" s="771"/>
      <c r="K16" s="772"/>
      <c r="L16" s="772"/>
      <c r="M16" s="772"/>
      <c r="N16" s="771"/>
      <c r="O16" s="772"/>
      <c r="P16" s="771"/>
      <c r="Q16" s="772"/>
      <c r="R16" s="771"/>
      <c r="S16" s="771"/>
      <c r="T16" s="772"/>
      <c r="U16" s="773">
        <f t="shared" si="0"/>
        <v>100</v>
      </c>
      <c r="V16" s="774"/>
      <c r="W16" s="775"/>
      <c r="X16" s="775"/>
      <c r="Y16" s="775"/>
      <c r="Z16" s="775"/>
      <c r="AA16" s="775"/>
      <c r="AB16" s="775"/>
      <c r="AC16" s="775"/>
      <c r="AD16" s="775"/>
      <c r="AE16" s="775"/>
      <c r="AF16" s="775"/>
      <c r="AG16" s="777">
        <f t="shared" si="1"/>
        <v>0</v>
      </c>
    </row>
    <row r="17" spans="1:33" s="768" customFormat="1" ht="12.75" customHeight="1">
      <c r="A17" s="770">
        <v>13</v>
      </c>
      <c r="B17" s="778" t="s">
        <v>812</v>
      </c>
      <c r="C17" s="779"/>
      <c r="D17" s="771"/>
      <c r="E17" s="776"/>
      <c r="F17" s="776"/>
      <c r="G17" s="776"/>
      <c r="H17" s="776"/>
      <c r="I17" s="776"/>
      <c r="J17" s="776"/>
      <c r="K17" s="775"/>
      <c r="L17" s="775"/>
      <c r="M17" s="775"/>
      <c r="N17" s="776"/>
      <c r="O17" s="775"/>
      <c r="P17" s="776">
        <v>-100</v>
      </c>
      <c r="Q17" s="775"/>
      <c r="R17" s="776"/>
      <c r="S17" s="776"/>
      <c r="T17" s="775"/>
      <c r="U17" s="773">
        <f t="shared" si="0"/>
        <v>-100</v>
      </c>
      <c r="V17" s="774"/>
      <c r="W17" s="775"/>
      <c r="X17" s="775"/>
      <c r="Y17" s="775"/>
      <c r="Z17" s="775"/>
      <c r="AA17" s="775"/>
      <c r="AB17" s="775"/>
      <c r="AC17" s="775"/>
      <c r="AD17" s="775"/>
      <c r="AE17" s="775"/>
      <c r="AF17" s="775"/>
      <c r="AG17" s="777">
        <f t="shared" si="1"/>
        <v>0</v>
      </c>
    </row>
    <row r="18" spans="1:33" s="768" customFormat="1" ht="12.75" customHeight="1">
      <c r="A18" s="770">
        <v>14</v>
      </c>
      <c r="B18" s="778" t="s">
        <v>813</v>
      </c>
      <c r="C18" s="779" t="s">
        <v>814</v>
      </c>
      <c r="D18" s="771"/>
      <c r="E18" s="776"/>
      <c r="F18" s="776"/>
      <c r="G18" s="776"/>
      <c r="H18" s="776"/>
      <c r="I18" s="776"/>
      <c r="J18" s="776">
        <v>152</v>
      </c>
      <c r="K18" s="775"/>
      <c r="L18" s="775"/>
      <c r="M18" s="775"/>
      <c r="N18" s="776"/>
      <c r="O18" s="775"/>
      <c r="P18" s="776"/>
      <c r="Q18" s="775"/>
      <c r="R18" s="776"/>
      <c r="S18" s="776"/>
      <c r="T18" s="775"/>
      <c r="U18" s="773">
        <f t="shared" si="0"/>
        <v>152</v>
      </c>
      <c r="V18" s="774"/>
      <c r="W18" s="775"/>
      <c r="X18" s="775"/>
      <c r="Y18" s="775"/>
      <c r="Z18" s="775"/>
      <c r="AA18" s="775"/>
      <c r="AB18" s="775"/>
      <c r="AC18" s="775"/>
      <c r="AD18" s="775"/>
      <c r="AE18" s="775"/>
      <c r="AF18" s="775"/>
      <c r="AG18" s="777">
        <f t="shared" si="1"/>
        <v>0</v>
      </c>
    </row>
    <row r="19" spans="1:33" s="768" customFormat="1" ht="12.75" customHeight="1">
      <c r="A19" s="770">
        <v>15</v>
      </c>
      <c r="B19" s="778" t="s">
        <v>1035</v>
      </c>
      <c r="C19" s="779"/>
      <c r="D19" s="771"/>
      <c r="E19" s="776"/>
      <c r="F19" s="776"/>
      <c r="G19" s="776"/>
      <c r="H19" s="776"/>
      <c r="I19" s="776"/>
      <c r="J19" s="776"/>
      <c r="K19" s="776"/>
      <c r="L19" s="775"/>
      <c r="M19" s="775"/>
      <c r="N19" s="775"/>
      <c r="O19" s="775"/>
      <c r="P19" s="776"/>
      <c r="Q19" s="776"/>
      <c r="R19" s="776">
        <v>-152</v>
      </c>
      <c r="S19" s="776"/>
      <c r="T19" s="775"/>
      <c r="U19" s="773">
        <f t="shared" si="0"/>
        <v>-152</v>
      </c>
      <c r="V19" s="774"/>
      <c r="W19" s="780"/>
      <c r="X19" s="780"/>
      <c r="Y19" s="780"/>
      <c r="Z19" s="780"/>
      <c r="AA19" s="780"/>
      <c r="AB19" s="780"/>
      <c r="AC19" s="780"/>
      <c r="AD19" s="776"/>
      <c r="AE19" s="780"/>
      <c r="AF19" s="780"/>
      <c r="AG19" s="777">
        <f t="shared" si="1"/>
        <v>0</v>
      </c>
    </row>
    <row r="20" spans="1:33" s="768" customFormat="1" ht="12.75" customHeight="1">
      <c r="A20" s="770">
        <v>16</v>
      </c>
      <c r="B20" s="778" t="s">
        <v>815</v>
      </c>
      <c r="C20" s="781" t="s">
        <v>512</v>
      </c>
      <c r="D20" s="771"/>
      <c r="E20" s="776"/>
      <c r="F20" s="776">
        <v>140</v>
      </c>
      <c r="G20" s="776"/>
      <c r="H20" s="776"/>
      <c r="I20" s="776"/>
      <c r="J20" s="776"/>
      <c r="K20" s="775"/>
      <c r="L20" s="775"/>
      <c r="M20" s="775"/>
      <c r="N20" s="775"/>
      <c r="O20" s="775"/>
      <c r="P20" s="776"/>
      <c r="Q20" s="776"/>
      <c r="R20" s="776"/>
      <c r="S20" s="776"/>
      <c r="T20" s="775"/>
      <c r="U20" s="773">
        <f t="shared" si="0"/>
        <v>140</v>
      </c>
      <c r="V20" s="774"/>
      <c r="W20" s="780"/>
      <c r="X20" s="780"/>
      <c r="Y20" s="780"/>
      <c r="Z20" s="780"/>
      <c r="AA20" s="780"/>
      <c r="AB20" s="780"/>
      <c r="AC20" s="780"/>
      <c r="AD20" s="780"/>
      <c r="AE20" s="780"/>
      <c r="AF20" s="780"/>
      <c r="AG20" s="777">
        <f t="shared" si="1"/>
        <v>0</v>
      </c>
    </row>
    <row r="21" spans="1:33" s="768" customFormat="1" ht="12.75" customHeight="1">
      <c r="A21" s="770">
        <v>17</v>
      </c>
      <c r="B21" s="778" t="s">
        <v>816</v>
      </c>
      <c r="C21" s="779"/>
      <c r="D21" s="771"/>
      <c r="E21" s="776"/>
      <c r="F21" s="776"/>
      <c r="G21" s="776"/>
      <c r="H21" s="776"/>
      <c r="I21" s="776"/>
      <c r="J21" s="776"/>
      <c r="K21" s="775"/>
      <c r="L21" s="775"/>
      <c r="M21" s="775"/>
      <c r="N21" s="776"/>
      <c r="O21" s="775"/>
      <c r="P21" s="776"/>
      <c r="Q21" s="776"/>
      <c r="R21" s="776"/>
      <c r="S21" s="776"/>
      <c r="T21" s="776">
        <v>-140</v>
      </c>
      <c r="U21" s="773">
        <f t="shared" si="0"/>
        <v>-140</v>
      </c>
      <c r="V21" s="774"/>
      <c r="W21" s="780"/>
      <c r="X21" s="780"/>
      <c r="Y21" s="780"/>
      <c r="Z21" s="780"/>
      <c r="AA21" s="780"/>
      <c r="AB21" s="780"/>
      <c r="AC21" s="780"/>
      <c r="AD21" s="780"/>
      <c r="AE21" s="780"/>
      <c r="AF21" s="780"/>
      <c r="AG21" s="777">
        <f t="shared" si="1"/>
        <v>0</v>
      </c>
    </row>
    <row r="22" spans="1:33" ht="14.25" customHeight="1">
      <c r="A22" s="770">
        <v>18</v>
      </c>
      <c r="B22" s="778" t="s">
        <v>817</v>
      </c>
      <c r="C22" s="781" t="s">
        <v>818</v>
      </c>
      <c r="D22" s="782"/>
      <c r="E22" s="783"/>
      <c r="F22" s="783"/>
      <c r="G22" s="783"/>
      <c r="H22" s="783"/>
      <c r="I22" s="783"/>
      <c r="J22" s="783"/>
      <c r="K22" s="783">
        <v>5418</v>
      </c>
      <c r="L22" s="783"/>
      <c r="M22" s="783"/>
      <c r="N22" s="783"/>
      <c r="O22" s="783"/>
      <c r="P22" s="783"/>
      <c r="Q22" s="783"/>
      <c r="R22" s="783"/>
      <c r="S22" s="783"/>
      <c r="T22" s="783"/>
      <c r="U22" s="773">
        <f t="shared" si="0"/>
        <v>5418</v>
      </c>
      <c r="V22" s="774"/>
      <c r="W22" s="783"/>
      <c r="X22" s="783"/>
      <c r="Y22" s="783"/>
      <c r="Z22" s="783"/>
      <c r="AA22" s="783"/>
      <c r="AB22" s="783"/>
      <c r="AC22" s="783"/>
      <c r="AD22" s="783"/>
      <c r="AE22" s="784"/>
      <c r="AF22" s="784"/>
      <c r="AG22" s="777">
        <f t="shared" si="1"/>
        <v>0</v>
      </c>
    </row>
    <row r="23" spans="1:33" ht="14.25" customHeight="1">
      <c r="A23" s="770">
        <v>19</v>
      </c>
      <c r="B23" s="778" t="s">
        <v>819</v>
      </c>
      <c r="C23" s="781"/>
      <c r="D23" s="782"/>
      <c r="E23" s="783"/>
      <c r="F23" s="783"/>
      <c r="G23" s="783"/>
      <c r="H23" s="783"/>
      <c r="I23" s="783"/>
      <c r="J23" s="783"/>
      <c r="K23" s="783"/>
      <c r="L23" s="783"/>
      <c r="M23" s="783"/>
      <c r="N23" s="783"/>
      <c r="O23" s="783"/>
      <c r="P23" s="783"/>
      <c r="Q23" s="783"/>
      <c r="R23" s="783"/>
      <c r="S23" s="783">
        <v>-5418</v>
      </c>
      <c r="T23" s="783"/>
      <c r="U23" s="773">
        <f t="shared" si="0"/>
        <v>-5418</v>
      </c>
      <c r="V23" s="774"/>
      <c r="W23" s="783"/>
      <c r="X23" s="783"/>
      <c r="Y23" s="783"/>
      <c r="Z23" s="783"/>
      <c r="AA23" s="783"/>
      <c r="AB23" s="783"/>
      <c r="AC23" s="783"/>
      <c r="AD23" s="783"/>
      <c r="AE23" s="784"/>
      <c r="AF23" s="784"/>
      <c r="AG23" s="777">
        <f t="shared" si="1"/>
        <v>0</v>
      </c>
    </row>
    <row r="24" spans="1:33" s="768" customFormat="1" ht="12.75" customHeight="1">
      <c r="A24" s="770">
        <v>20</v>
      </c>
      <c r="B24" s="778" t="s">
        <v>1034</v>
      </c>
      <c r="C24" s="781" t="s">
        <v>512</v>
      </c>
      <c r="D24" s="771"/>
      <c r="E24" s="776"/>
      <c r="F24" s="776">
        <v>7</v>
      </c>
      <c r="G24" s="776"/>
      <c r="H24" s="776"/>
      <c r="I24" s="776"/>
      <c r="J24" s="776"/>
      <c r="K24" s="775"/>
      <c r="L24" s="775"/>
      <c r="M24" s="775"/>
      <c r="N24" s="775"/>
      <c r="O24" s="775"/>
      <c r="P24" s="776"/>
      <c r="Q24" s="776"/>
      <c r="R24" s="776"/>
      <c r="S24" s="776"/>
      <c r="T24" s="775"/>
      <c r="U24" s="773">
        <f t="shared" ref="U24:U25" si="2">SUM(D24:T24)</f>
        <v>7</v>
      </c>
      <c r="V24" s="774"/>
      <c r="W24" s="780"/>
      <c r="X24" s="780"/>
      <c r="Y24" s="780"/>
      <c r="Z24" s="780"/>
      <c r="AA24" s="780"/>
      <c r="AB24" s="780"/>
      <c r="AC24" s="780"/>
      <c r="AD24" s="780"/>
      <c r="AE24" s="780"/>
      <c r="AF24" s="780"/>
      <c r="AG24" s="777">
        <f t="shared" ref="AG24:AG25" si="3">SUM(V24:AF24)</f>
        <v>0</v>
      </c>
    </row>
    <row r="25" spans="1:33" s="768" customFormat="1" ht="12.75" customHeight="1">
      <c r="A25" s="770">
        <v>21</v>
      </c>
      <c r="B25" s="778" t="s">
        <v>816</v>
      </c>
      <c r="C25" s="779"/>
      <c r="D25" s="771"/>
      <c r="E25" s="776"/>
      <c r="F25" s="776"/>
      <c r="G25" s="776"/>
      <c r="H25" s="776"/>
      <c r="I25" s="776"/>
      <c r="J25" s="776"/>
      <c r="K25" s="775"/>
      <c r="L25" s="775"/>
      <c r="M25" s="775"/>
      <c r="N25" s="776"/>
      <c r="O25" s="775"/>
      <c r="P25" s="776"/>
      <c r="Q25" s="776"/>
      <c r="R25" s="776"/>
      <c r="S25" s="776"/>
      <c r="T25" s="776">
        <v>-7</v>
      </c>
      <c r="U25" s="773">
        <f t="shared" si="2"/>
        <v>-7</v>
      </c>
      <c r="V25" s="774"/>
      <c r="W25" s="780"/>
      <c r="X25" s="780"/>
      <c r="Y25" s="780"/>
      <c r="Z25" s="780"/>
      <c r="AA25" s="780"/>
      <c r="AB25" s="780"/>
      <c r="AC25" s="780"/>
      <c r="AD25" s="780"/>
      <c r="AE25" s="780"/>
      <c r="AF25" s="780"/>
      <c r="AG25" s="777">
        <f t="shared" si="3"/>
        <v>0</v>
      </c>
    </row>
    <row r="26" spans="1:33" ht="12.75" customHeight="1">
      <c r="A26" s="770">
        <v>22</v>
      </c>
      <c r="B26" s="778" t="s">
        <v>820</v>
      </c>
      <c r="C26" s="781" t="s">
        <v>807</v>
      </c>
      <c r="D26" s="782"/>
      <c r="E26" s="783"/>
      <c r="F26" s="783"/>
      <c r="G26" s="783"/>
      <c r="H26" s="783"/>
      <c r="I26" s="783"/>
      <c r="J26" s="783"/>
      <c r="K26" s="783"/>
      <c r="L26" s="783"/>
      <c r="M26" s="783"/>
      <c r="N26" s="783">
        <v>-1154</v>
      </c>
      <c r="O26" s="783"/>
      <c r="P26" s="783"/>
      <c r="Q26" s="783"/>
      <c r="R26" s="783"/>
      <c r="S26" s="783"/>
      <c r="T26" s="783"/>
      <c r="U26" s="773">
        <f t="shared" si="0"/>
        <v>-1154</v>
      </c>
      <c r="V26" s="774"/>
      <c r="W26" s="783"/>
      <c r="X26" s="783"/>
      <c r="Y26" s="783"/>
      <c r="Z26" s="783"/>
      <c r="AA26" s="783"/>
      <c r="AB26" s="783"/>
      <c r="AC26" s="783"/>
      <c r="AD26" s="783"/>
      <c r="AE26" s="785"/>
      <c r="AF26" s="785"/>
      <c r="AG26" s="777">
        <f t="shared" si="1"/>
        <v>0</v>
      </c>
    </row>
    <row r="27" spans="1:33" ht="12.75" customHeight="1">
      <c r="A27" s="770">
        <v>23</v>
      </c>
      <c r="B27" s="778" t="s">
        <v>821</v>
      </c>
      <c r="C27" s="779" t="s">
        <v>822</v>
      </c>
      <c r="D27" s="782"/>
      <c r="E27" s="783"/>
      <c r="F27" s="783">
        <v>1154</v>
      </c>
      <c r="G27" s="783"/>
      <c r="H27" s="783"/>
      <c r="I27" s="783"/>
      <c r="J27" s="783"/>
      <c r="K27" s="783"/>
      <c r="L27" s="783"/>
      <c r="M27" s="783"/>
      <c r="N27" s="783"/>
      <c r="O27" s="786"/>
      <c r="P27" s="783"/>
      <c r="Q27" s="786"/>
      <c r="R27" s="783"/>
      <c r="S27" s="783"/>
      <c r="T27" s="783"/>
      <c r="U27" s="773">
        <f t="shared" si="0"/>
        <v>1154</v>
      </c>
      <c r="V27" s="774"/>
      <c r="W27" s="783"/>
      <c r="X27" s="783"/>
      <c r="Y27" s="783"/>
      <c r="Z27" s="783"/>
      <c r="AA27" s="783"/>
      <c r="AB27" s="783"/>
      <c r="AC27" s="783"/>
      <c r="AD27" s="783"/>
      <c r="AE27" s="784"/>
      <c r="AF27" s="784"/>
      <c r="AG27" s="777">
        <f t="shared" si="1"/>
        <v>0</v>
      </c>
    </row>
    <row r="28" spans="1:33" ht="26.4">
      <c r="A28" s="770">
        <v>24</v>
      </c>
      <c r="B28" s="787" t="s">
        <v>823</v>
      </c>
      <c r="C28" s="788" t="s">
        <v>807</v>
      </c>
      <c r="D28" s="789"/>
      <c r="E28" s="789"/>
      <c r="F28" s="789"/>
      <c r="G28" s="789"/>
      <c r="H28" s="789"/>
      <c r="I28" s="789"/>
      <c r="J28" s="789"/>
      <c r="K28" s="789"/>
      <c r="L28" s="789"/>
      <c r="M28" s="789"/>
      <c r="N28" s="789">
        <v>85</v>
      </c>
      <c r="O28" s="789"/>
      <c r="P28" s="789"/>
      <c r="Q28" s="789"/>
      <c r="R28" s="789"/>
      <c r="S28" s="789"/>
      <c r="T28" s="789"/>
      <c r="U28" s="773">
        <f t="shared" si="0"/>
        <v>85</v>
      </c>
      <c r="V28" s="774"/>
      <c r="W28" s="789"/>
      <c r="X28" s="789"/>
      <c r="Y28" s="789"/>
      <c r="Z28" s="789"/>
      <c r="AA28" s="789"/>
      <c r="AB28" s="789"/>
      <c r="AC28" s="789"/>
      <c r="AD28" s="789"/>
      <c r="AE28" s="789"/>
      <c r="AF28" s="789"/>
      <c r="AG28" s="777">
        <f t="shared" si="1"/>
        <v>0</v>
      </c>
    </row>
    <row r="29" spans="1:33">
      <c r="A29" s="770">
        <v>25</v>
      </c>
      <c r="B29" s="778" t="s">
        <v>812</v>
      </c>
      <c r="C29" s="779"/>
      <c r="D29" s="789"/>
      <c r="E29" s="789"/>
      <c r="F29" s="789"/>
      <c r="G29" s="789"/>
      <c r="H29" s="789"/>
      <c r="I29" s="789"/>
      <c r="J29" s="789"/>
      <c r="K29" s="789"/>
      <c r="L29" s="789"/>
      <c r="M29" s="789"/>
      <c r="N29" s="789"/>
      <c r="O29" s="789"/>
      <c r="P29" s="789">
        <v>-85</v>
      </c>
      <c r="Q29" s="789"/>
      <c r="R29" s="789"/>
      <c r="S29" s="789"/>
      <c r="T29" s="789"/>
      <c r="U29" s="773">
        <f t="shared" si="0"/>
        <v>-85</v>
      </c>
      <c r="V29" s="774"/>
      <c r="W29" s="789"/>
      <c r="X29" s="789"/>
      <c r="Y29" s="789"/>
      <c r="Z29" s="789"/>
      <c r="AA29" s="789"/>
      <c r="AB29" s="789"/>
      <c r="AC29" s="789"/>
      <c r="AD29" s="789"/>
      <c r="AE29" s="789"/>
      <c r="AF29" s="789"/>
      <c r="AG29" s="777">
        <f t="shared" si="1"/>
        <v>0</v>
      </c>
    </row>
    <row r="30" spans="1:33">
      <c r="A30" s="770">
        <v>26</v>
      </c>
      <c r="B30" s="778" t="s">
        <v>824</v>
      </c>
      <c r="C30" s="779" t="s">
        <v>811</v>
      </c>
      <c r="D30" s="789"/>
      <c r="E30" s="789"/>
      <c r="F30" s="789"/>
      <c r="G30" s="789"/>
      <c r="H30" s="789"/>
      <c r="I30" s="789"/>
      <c r="J30" s="789">
        <v>953</v>
      </c>
      <c r="K30" s="789"/>
      <c r="L30" s="789"/>
      <c r="M30" s="789"/>
      <c r="N30" s="789"/>
      <c r="O30" s="789"/>
      <c r="P30" s="789"/>
      <c r="Q30" s="789"/>
      <c r="R30" s="789"/>
      <c r="S30" s="789"/>
      <c r="T30" s="789"/>
      <c r="U30" s="773">
        <f t="shared" si="0"/>
        <v>953</v>
      </c>
      <c r="V30" s="774"/>
      <c r="W30" s="789"/>
      <c r="X30" s="789"/>
      <c r="Y30" s="789"/>
      <c r="Z30" s="789"/>
      <c r="AA30" s="789"/>
      <c r="AB30" s="789"/>
      <c r="AC30" s="789"/>
      <c r="AD30" s="789"/>
      <c r="AE30" s="789"/>
      <c r="AF30" s="789"/>
      <c r="AG30" s="777">
        <f t="shared" si="1"/>
        <v>0</v>
      </c>
    </row>
    <row r="31" spans="1:33">
      <c r="A31" s="770">
        <v>27</v>
      </c>
      <c r="B31" s="778" t="s">
        <v>825</v>
      </c>
      <c r="C31" s="779"/>
      <c r="D31" s="789"/>
      <c r="E31" s="789"/>
      <c r="F31" s="789"/>
      <c r="G31" s="789"/>
      <c r="H31" s="789"/>
      <c r="I31" s="789"/>
      <c r="J31" s="789"/>
      <c r="K31" s="789"/>
      <c r="L31" s="789"/>
      <c r="M31" s="789"/>
      <c r="N31" s="789"/>
      <c r="O31" s="789"/>
      <c r="P31" s="789"/>
      <c r="Q31" s="789"/>
      <c r="R31" s="789">
        <v>-953</v>
      </c>
      <c r="S31" s="789"/>
      <c r="T31" s="789"/>
      <c r="U31" s="773">
        <f t="shared" si="0"/>
        <v>-953</v>
      </c>
      <c r="V31" s="774"/>
      <c r="W31" s="789"/>
      <c r="X31" s="789"/>
      <c r="Y31" s="789"/>
      <c r="Z31" s="789"/>
      <c r="AA31" s="789"/>
      <c r="AB31" s="789"/>
      <c r="AC31" s="789"/>
      <c r="AD31" s="789"/>
      <c r="AE31" s="789"/>
      <c r="AF31" s="789"/>
      <c r="AG31" s="777">
        <f t="shared" si="1"/>
        <v>0</v>
      </c>
    </row>
    <row r="32" spans="1:33">
      <c r="A32" s="770">
        <v>28</v>
      </c>
      <c r="B32" s="778" t="s">
        <v>826</v>
      </c>
      <c r="C32" s="779" t="s">
        <v>811</v>
      </c>
      <c r="D32" s="789"/>
      <c r="E32" s="789"/>
      <c r="F32" s="789"/>
      <c r="G32" s="789"/>
      <c r="H32" s="789"/>
      <c r="I32" s="789"/>
      <c r="J32" s="789">
        <v>150</v>
      </c>
      <c r="K32" s="789"/>
      <c r="L32" s="789"/>
      <c r="M32" s="789"/>
      <c r="N32" s="789"/>
      <c r="O32" s="789"/>
      <c r="P32" s="789"/>
      <c r="Q32" s="789"/>
      <c r="R32" s="789"/>
      <c r="S32" s="789"/>
      <c r="T32" s="789"/>
      <c r="U32" s="773">
        <f t="shared" si="0"/>
        <v>150</v>
      </c>
      <c r="V32" s="774"/>
      <c r="W32" s="789"/>
      <c r="X32" s="789"/>
      <c r="Y32" s="789"/>
      <c r="Z32" s="789"/>
      <c r="AA32" s="789"/>
      <c r="AB32" s="789"/>
      <c r="AC32" s="789"/>
      <c r="AD32" s="789"/>
      <c r="AE32" s="789"/>
      <c r="AF32" s="789"/>
      <c r="AG32" s="777">
        <f t="shared" si="1"/>
        <v>0</v>
      </c>
    </row>
    <row r="33" spans="1:33">
      <c r="A33" s="770">
        <v>29</v>
      </c>
      <c r="B33" s="778" t="s">
        <v>825</v>
      </c>
      <c r="C33" s="779"/>
      <c r="D33" s="789"/>
      <c r="E33" s="789"/>
      <c r="F33" s="789"/>
      <c r="G33" s="789"/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>
        <v>-150</v>
      </c>
      <c r="S33" s="789"/>
      <c r="T33" s="789"/>
      <c r="U33" s="773">
        <f t="shared" si="0"/>
        <v>-150</v>
      </c>
      <c r="V33" s="774"/>
      <c r="W33" s="789"/>
      <c r="X33" s="789"/>
      <c r="Y33" s="789"/>
      <c r="Z33" s="789"/>
      <c r="AA33" s="789"/>
      <c r="AB33" s="789"/>
      <c r="AC33" s="789"/>
      <c r="AD33" s="789"/>
      <c r="AE33" s="789"/>
      <c r="AF33" s="789"/>
      <c r="AG33" s="777">
        <f t="shared" si="1"/>
        <v>0</v>
      </c>
    </row>
    <row r="34" spans="1:33" ht="13.5" customHeight="1">
      <c r="A34" s="770">
        <v>30</v>
      </c>
      <c r="B34" s="778" t="s">
        <v>827</v>
      </c>
      <c r="C34" s="779" t="s">
        <v>765</v>
      </c>
      <c r="D34" s="789"/>
      <c r="E34" s="789"/>
      <c r="F34" s="789"/>
      <c r="G34" s="789"/>
      <c r="H34" s="789">
        <v>-1476</v>
      </c>
      <c r="I34" s="789"/>
      <c r="J34" s="789"/>
      <c r="K34" s="789"/>
      <c r="L34" s="789"/>
      <c r="M34" s="789"/>
      <c r="N34" s="789"/>
      <c r="O34" s="789"/>
      <c r="P34" s="789"/>
      <c r="Q34" s="789"/>
      <c r="R34" s="789"/>
      <c r="S34" s="789"/>
      <c r="T34" s="789"/>
      <c r="U34" s="773">
        <f t="shared" si="0"/>
        <v>-1476</v>
      </c>
      <c r="V34" s="774"/>
      <c r="W34" s="789"/>
      <c r="X34" s="789"/>
      <c r="Y34" s="789"/>
      <c r="Z34" s="789"/>
      <c r="AA34" s="789"/>
      <c r="AB34" s="789"/>
      <c r="AC34" s="789"/>
      <c r="AD34" s="789"/>
      <c r="AE34" s="789"/>
      <c r="AF34" s="789"/>
      <c r="AG34" s="777">
        <f t="shared" si="1"/>
        <v>0</v>
      </c>
    </row>
    <row r="35" spans="1:33">
      <c r="A35" s="770">
        <v>31</v>
      </c>
      <c r="B35" s="778" t="s">
        <v>827</v>
      </c>
      <c r="C35" s="788" t="s">
        <v>707</v>
      </c>
      <c r="D35" s="789"/>
      <c r="E35" s="789"/>
      <c r="F35" s="789"/>
      <c r="G35" s="789"/>
      <c r="H35" s="789">
        <v>-399</v>
      </c>
      <c r="I35" s="789"/>
      <c r="J35" s="789"/>
      <c r="K35" s="789"/>
      <c r="L35" s="789"/>
      <c r="M35" s="789"/>
      <c r="N35" s="789"/>
      <c r="O35" s="789"/>
      <c r="P35" s="789"/>
      <c r="Q35" s="789"/>
      <c r="R35" s="789"/>
      <c r="S35" s="789"/>
      <c r="T35" s="789"/>
      <c r="U35" s="773">
        <f t="shared" si="0"/>
        <v>-399</v>
      </c>
      <c r="V35" s="774"/>
      <c r="W35" s="789"/>
      <c r="X35" s="789"/>
      <c r="Y35" s="789"/>
      <c r="Z35" s="789"/>
      <c r="AA35" s="789"/>
      <c r="AB35" s="789"/>
      <c r="AC35" s="789"/>
      <c r="AD35" s="789"/>
      <c r="AE35" s="789"/>
      <c r="AF35" s="789"/>
      <c r="AG35" s="777">
        <f t="shared" si="1"/>
        <v>0</v>
      </c>
    </row>
    <row r="36" spans="1:33">
      <c r="A36" s="770">
        <v>32</v>
      </c>
      <c r="B36" s="778" t="s">
        <v>827</v>
      </c>
      <c r="C36" s="788" t="s">
        <v>709</v>
      </c>
      <c r="D36" s="789"/>
      <c r="E36" s="789"/>
      <c r="F36" s="789"/>
      <c r="G36" s="789"/>
      <c r="H36" s="789">
        <v>2038</v>
      </c>
      <c r="I36" s="789"/>
      <c r="J36" s="789"/>
      <c r="K36" s="789"/>
      <c r="L36" s="789"/>
      <c r="M36" s="789"/>
      <c r="N36" s="789"/>
      <c r="O36" s="789"/>
      <c r="P36" s="789"/>
      <c r="Q36" s="789"/>
      <c r="R36" s="789"/>
      <c r="S36" s="789"/>
      <c r="T36" s="789"/>
      <c r="U36" s="773">
        <f t="shared" si="0"/>
        <v>2038</v>
      </c>
      <c r="V36" s="774"/>
      <c r="W36" s="789"/>
      <c r="X36" s="789"/>
      <c r="Y36" s="789"/>
      <c r="Z36" s="789"/>
      <c r="AA36" s="789"/>
      <c r="AB36" s="789"/>
      <c r="AC36" s="789"/>
      <c r="AD36" s="789"/>
      <c r="AE36" s="789"/>
      <c r="AF36" s="789"/>
      <c r="AG36" s="777">
        <f t="shared" si="1"/>
        <v>0</v>
      </c>
    </row>
    <row r="37" spans="1:33">
      <c r="A37" s="770">
        <v>33</v>
      </c>
      <c r="B37" s="778" t="s">
        <v>827</v>
      </c>
      <c r="C37" s="790" t="s">
        <v>706</v>
      </c>
      <c r="D37" s="789"/>
      <c r="E37" s="789"/>
      <c r="F37" s="789"/>
      <c r="G37" s="789"/>
      <c r="H37" s="789">
        <v>1342</v>
      </c>
      <c r="I37" s="789"/>
      <c r="J37" s="789"/>
      <c r="K37" s="789"/>
      <c r="L37" s="789"/>
      <c r="M37" s="789"/>
      <c r="N37" s="789"/>
      <c r="O37" s="789"/>
      <c r="P37" s="789"/>
      <c r="Q37" s="789"/>
      <c r="R37" s="789"/>
      <c r="S37" s="789"/>
      <c r="T37" s="789"/>
      <c r="U37" s="773">
        <f t="shared" si="0"/>
        <v>1342</v>
      </c>
      <c r="V37" s="774"/>
      <c r="W37" s="789"/>
      <c r="X37" s="789"/>
      <c r="Y37" s="789"/>
      <c r="Z37" s="789"/>
      <c r="AA37" s="789"/>
      <c r="AB37" s="789"/>
      <c r="AC37" s="789"/>
      <c r="AD37" s="789"/>
      <c r="AE37" s="789"/>
      <c r="AF37" s="789"/>
      <c r="AG37" s="777">
        <f t="shared" si="1"/>
        <v>0</v>
      </c>
    </row>
    <row r="38" spans="1:33">
      <c r="A38" s="770">
        <v>34</v>
      </c>
      <c r="B38" s="778" t="s">
        <v>827</v>
      </c>
      <c r="C38" s="790" t="s">
        <v>704</v>
      </c>
      <c r="D38" s="789"/>
      <c r="E38" s="789"/>
      <c r="F38" s="789"/>
      <c r="G38" s="789"/>
      <c r="H38" s="789">
        <v>-42</v>
      </c>
      <c r="I38" s="789"/>
      <c r="J38" s="789"/>
      <c r="K38" s="789"/>
      <c r="L38" s="789"/>
      <c r="M38" s="789"/>
      <c r="N38" s="789"/>
      <c r="O38" s="789"/>
      <c r="P38" s="789"/>
      <c r="Q38" s="789"/>
      <c r="R38" s="789"/>
      <c r="S38" s="789"/>
      <c r="T38" s="789"/>
      <c r="U38" s="773">
        <f t="shared" si="0"/>
        <v>-42</v>
      </c>
      <c r="V38" s="774"/>
      <c r="W38" s="789"/>
      <c r="X38" s="789"/>
      <c r="Y38" s="789"/>
      <c r="Z38" s="789"/>
      <c r="AA38" s="789"/>
      <c r="AB38" s="789"/>
      <c r="AC38" s="789"/>
      <c r="AD38" s="789"/>
      <c r="AE38" s="789"/>
      <c r="AF38" s="789"/>
      <c r="AG38" s="777">
        <f t="shared" si="1"/>
        <v>0</v>
      </c>
    </row>
    <row r="39" spans="1:33">
      <c r="A39" s="770">
        <v>35</v>
      </c>
      <c r="B39" s="778" t="s">
        <v>827</v>
      </c>
      <c r="C39" s="790" t="s">
        <v>710</v>
      </c>
      <c r="D39" s="789"/>
      <c r="E39" s="789"/>
      <c r="F39" s="789"/>
      <c r="G39" s="789"/>
      <c r="H39" s="789">
        <v>-305</v>
      </c>
      <c r="I39" s="789"/>
      <c r="J39" s="789"/>
      <c r="K39" s="789"/>
      <c r="L39" s="789"/>
      <c r="M39" s="789"/>
      <c r="N39" s="789"/>
      <c r="O39" s="789"/>
      <c r="P39" s="789"/>
      <c r="Q39" s="789"/>
      <c r="R39" s="789"/>
      <c r="S39" s="789"/>
      <c r="T39" s="789"/>
      <c r="U39" s="773">
        <f t="shared" si="0"/>
        <v>-305</v>
      </c>
      <c r="V39" s="774"/>
      <c r="W39" s="789"/>
      <c r="X39" s="789"/>
      <c r="Y39" s="789"/>
      <c r="Z39" s="789"/>
      <c r="AA39" s="789"/>
      <c r="AB39" s="789"/>
      <c r="AC39" s="789"/>
      <c r="AD39" s="789"/>
      <c r="AE39" s="789"/>
      <c r="AF39" s="789"/>
      <c r="AG39" s="777">
        <f t="shared" si="1"/>
        <v>0</v>
      </c>
    </row>
    <row r="40" spans="1:33">
      <c r="A40" s="770">
        <v>36</v>
      </c>
      <c r="B40" s="778" t="s">
        <v>827</v>
      </c>
      <c r="C40" s="790" t="s">
        <v>528</v>
      </c>
      <c r="D40" s="789"/>
      <c r="E40" s="789"/>
      <c r="F40" s="789"/>
      <c r="G40" s="789">
        <v>-1158</v>
      </c>
      <c r="H40" s="789"/>
      <c r="I40" s="789"/>
      <c r="J40" s="789"/>
      <c r="K40" s="789"/>
      <c r="L40" s="789"/>
      <c r="M40" s="789"/>
      <c r="N40" s="789"/>
      <c r="O40" s="789"/>
      <c r="P40" s="789"/>
      <c r="Q40" s="789"/>
      <c r="R40" s="789"/>
      <c r="S40" s="789"/>
      <c r="T40" s="789"/>
      <c r="U40" s="773">
        <f t="shared" si="0"/>
        <v>-1158</v>
      </c>
      <c r="V40" s="774"/>
      <c r="W40" s="789"/>
      <c r="X40" s="789"/>
      <c r="Y40" s="789"/>
      <c r="Z40" s="789"/>
      <c r="AA40" s="789"/>
      <c r="AB40" s="789"/>
      <c r="AC40" s="789"/>
      <c r="AD40" s="789"/>
      <c r="AE40" s="789"/>
      <c r="AF40" s="789"/>
      <c r="AG40" s="777">
        <f t="shared" si="1"/>
        <v>0</v>
      </c>
    </row>
    <row r="41" spans="1:33">
      <c r="A41" s="770">
        <v>37</v>
      </c>
      <c r="B41" s="778" t="s">
        <v>1074</v>
      </c>
      <c r="C41" s="790" t="s">
        <v>814</v>
      </c>
      <c r="D41" s="789"/>
      <c r="E41" s="789"/>
      <c r="F41" s="789"/>
      <c r="G41" s="789"/>
      <c r="H41" s="789"/>
      <c r="I41" s="789"/>
      <c r="J41" s="789"/>
      <c r="K41" s="789">
        <v>245</v>
      </c>
      <c r="L41" s="789"/>
      <c r="M41" s="789"/>
      <c r="N41" s="789"/>
      <c r="O41" s="789"/>
      <c r="P41" s="789"/>
      <c r="Q41" s="789"/>
      <c r="R41" s="789"/>
      <c r="S41" s="789"/>
      <c r="T41" s="789"/>
      <c r="U41" s="773">
        <f t="shared" si="0"/>
        <v>245</v>
      </c>
      <c r="V41" s="774"/>
      <c r="W41" s="789"/>
      <c r="X41" s="789"/>
      <c r="Y41" s="789"/>
      <c r="Z41" s="789"/>
      <c r="AA41" s="789"/>
      <c r="AB41" s="789"/>
      <c r="AC41" s="789"/>
      <c r="AD41" s="789"/>
      <c r="AE41" s="789"/>
      <c r="AF41" s="789"/>
      <c r="AG41" s="777">
        <f t="shared" si="1"/>
        <v>0</v>
      </c>
    </row>
    <row r="42" spans="1:33">
      <c r="A42" s="770">
        <v>38</v>
      </c>
      <c r="B42" s="778" t="s">
        <v>825</v>
      </c>
      <c r="C42" s="790"/>
      <c r="D42" s="789"/>
      <c r="E42" s="789"/>
      <c r="F42" s="789"/>
      <c r="G42" s="789"/>
      <c r="H42" s="789"/>
      <c r="I42" s="789"/>
      <c r="J42" s="789"/>
      <c r="K42" s="789"/>
      <c r="L42" s="789"/>
      <c r="M42" s="789"/>
      <c r="N42" s="789"/>
      <c r="O42" s="789"/>
      <c r="P42" s="789"/>
      <c r="Q42" s="789"/>
      <c r="R42" s="789">
        <v>-245</v>
      </c>
      <c r="S42" s="789"/>
      <c r="T42" s="789"/>
      <c r="U42" s="773">
        <f t="shared" si="0"/>
        <v>-245</v>
      </c>
      <c r="V42" s="774"/>
      <c r="W42" s="789"/>
      <c r="X42" s="789"/>
      <c r="Y42" s="789"/>
      <c r="Z42" s="789"/>
      <c r="AA42" s="789"/>
      <c r="AB42" s="789"/>
      <c r="AC42" s="789"/>
      <c r="AD42" s="789"/>
      <c r="AE42" s="789"/>
      <c r="AF42" s="789"/>
      <c r="AG42" s="777">
        <f t="shared" si="1"/>
        <v>0</v>
      </c>
    </row>
    <row r="43" spans="1:33" ht="26.4">
      <c r="A43" s="770">
        <v>39</v>
      </c>
      <c r="B43" s="787" t="s">
        <v>828</v>
      </c>
      <c r="C43" s="790" t="s">
        <v>512</v>
      </c>
      <c r="D43" s="789"/>
      <c r="E43" s="789"/>
      <c r="F43" s="789"/>
      <c r="G43" s="789"/>
      <c r="H43" s="789">
        <v>681</v>
      </c>
      <c r="I43" s="789"/>
      <c r="J43" s="789"/>
      <c r="K43" s="789"/>
      <c r="L43" s="789"/>
      <c r="M43" s="789"/>
      <c r="N43" s="789"/>
      <c r="O43" s="789"/>
      <c r="P43" s="789"/>
      <c r="Q43" s="789"/>
      <c r="R43" s="789"/>
      <c r="S43" s="789"/>
      <c r="T43" s="789"/>
      <c r="U43" s="773">
        <f t="shared" si="0"/>
        <v>681</v>
      </c>
      <c r="V43" s="774"/>
      <c r="W43" s="789"/>
      <c r="X43" s="789"/>
      <c r="Y43" s="789"/>
      <c r="Z43" s="789"/>
      <c r="AA43" s="789"/>
      <c r="AB43" s="789"/>
      <c r="AC43" s="789"/>
      <c r="AD43" s="789"/>
      <c r="AE43" s="789"/>
      <c r="AF43" s="789"/>
      <c r="AG43" s="777">
        <f t="shared" si="1"/>
        <v>0</v>
      </c>
    </row>
    <row r="44" spans="1:33" ht="26.4">
      <c r="A44" s="770">
        <v>40</v>
      </c>
      <c r="B44" s="787" t="s">
        <v>829</v>
      </c>
      <c r="C44" s="779" t="s">
        <v>830</v>
      </c>
      <c r="D44" s="789"/>
      <c r="E44" s="789"/>
      <c r="F44" s="789"/>
      <c r="G44" s="789"/>
      <c r="H44" s="789"/>
      <c r="I44" s="789"/>
      <c r="J44" s="789">
        <v>10</v>
      </c>
      <c r="K44" s="789"/>
      <c r="L44" s="789"/>
      <c r="M44" s="789"/>
      <c r="N44" s="789"/>
      <c r="O44" s="789"/>
      <c r="P44" s="789">
        <v>-681</v>
      </c>
      <c r="Q44" s="789"/>
      <c r="R44" s="789"/>
      <c r="S44" s="789"/>
      <c r="T44" s="789"/>
      <c r="U44" s="773">
        <f t="shared" si="0"/>
        <v>-671</v>
      </c>
      <c r="V44" s="774"/>
      <c r="W44" s="789"/>
      <c r="X44" s="789"/>
      <c r="Y44" s="789"/>
      <c r="Z44" s="789"/>
      <c r="AA44" s="789"/>
      <c r="AB44" s="789"/>
      <c r="AC44" s="789"/>
      <c r="AD44" s="789"/>
      <c r="AE44" s="789"/>
      <c r="AF44" s="789"/>
      <c r="AG44" s="777">
        <f t="shared" si="1"/>
        <v>0</v>
      </c>
    </row>
    <row r="45" spans="1:33">
      <c r="A45" s="770">
        <v>41</v>
      </c>
      <c r="B45" s="778" t="s">
        <v>831</v>
      </c>
      <c r="C45" s="788" t="s">
        <v>830</v>
      </c>
      <c r="D45" s="789"/>
      <c r="E45" s="789"/>
      <c r="F45" s="789">
        <v>-10</v>
      </c>
      <c r="G45" s="789"/>
      <c r="H45" s="789"/>
      <c r="I45" s="774"/>
      <c r="J45" s="789"/>
      <c r="K45" s="789"/>
      <c r="L45" s="789"/>
      <c r="M45" s="789"/>
      <c r="N45" s="789"/>
      <c r="O45" s="789"/>
      <c r="P45" s="789"/>
      <c r="Q45" s="789"/>
      <c r="R45" s="789"/>
      <c r="S45" s="789"/>
      <c r="T45" s="789"/>
      <c r="U45" s="773">
        <f t="shared" si="0"/>
        <v>-10</v>
      </c>
      <c r="V45" s="774"/>
      <c r="W45" s="789"/>
      <c r="X45" s="789"/>
      <c r="Y45" s="789"/>
      <c r="Z45" s="789"/>
      <c r="AA45" s="789"/>
      <c r="AB45" s="789"/>
      <c r="AC45" s="789"/>
      <c r="AD45" s="789"/>
      <c r="AE45" s="789"/>
      <c r="AF45" s="789"/>
      <c r="AG45" s="777">
        <f t="shared" si="1"/>
        <v>0</v>
      </c>
    </row>
    <row r="46" spans="1:33">
      <c r="A46" s="770">
        <v>42</v>
      </c>
      <c r="B46" s="778" t="s">
        <v>832</v>
      </c>
      <c r="C46" s="788" t="s">
        <v>807</v>
      </c>
      <c r="D46" s="789"/>
      <c r="E46" s="789"/>
      <c r="F46" s="789"/>
      <c r="G46" s="789"/>
      <c r="H46" s="789"/>
      <c r="I46" s="789"/>
      <c r="J46" s="789"/>
      <c r="K46" s="789"/>
      <c r="L46" s="789"/>
      <c r="M46" s="789"/>
      <c r="N46" s="789">
        <v>316</v>
      </c>
      <c r="O46" s="789"/>
      <c r="P46" s="789"/>
      <c r="Q46" s="789"/>
      <c r="R46" s="789"/>
      <c r="S46" s="789"/>
      <c r="T46" s="789"/>
      <c r="U46" s="773">
        <f t="shared" si="0"/>
        <v>316</v>
      </c>
      <c r="V46" s="774"/>
      <c r="W46" s="789"/>
      <c r="X46" s="789"/>
      <c r="Y46" s="789"/>
      <c r="Z46" s="789"/>
      <c r="AA46" s="789"/>
      <c r="AB46" s="789"/>
      <c r="AC46" s="789"/>
      <c r="AD46" s="789"/>
      <c r="AE46" s="789"/>
      <c r="AF46" s="789"/>
      <c r="AG46" s="777">
        <f t="shared" si="1"/>
        <v>0</v>
      </c>
    </row>
    <row r="47" spans="1:33">
      <c r="A47" s="770">
        <v>43</v>
      </c>
      <c r="B47" s="778" t="s">
        <v>812</v>
      </c>
      <c r="C47" s="779"/>
      <c r="D47" s="789"/>
      <c r="E47" s="789"/>
      <c r="F47" s="789"/>
      <c r="G47" s="789"/>
      <c r="H47" s="789"/>
      <c r="I47" s="789"/>
      <c r="J47" s="789"/>
      <c r="K47" s="789"/>
      <c r="L47" s="789"/>
      <c r="M47" s="789"/>
      <c r="N47" s="789"/>
      <c r="O47" s="789"/>
      <c r="P47" s="789">
        <v>-316</v>
      </c>
      <c r="Q47" s="789"/>
      <c r="R47" s="789"/>
      <c r="S47" s="789"/>
      <c r="T47" s="789"/>
      <c r="U47" s="773">
        <f t="shared" si="0"/>
        <v>-316</v>
      </c>
      <c r="V47" s="774"/>
      <c r="W47" s="789"/>
      <c r="X47" s="789"/>
      <c r="Y47" s="789"/>
      <c r="Z47" s="789"/>
      <c r="AA47" s="789"/>
      <c r="AB47" s="789"/>
      <c r="AC47" s="789"/>
      <c r="AD47" s="789"/>
      <c r="AE47" s="789"/>
      <c r="AF47" s="789"/>
      <c r="AG47" s="777">
        <f t="shared" si="1"/>
        <v>0</v>
      </c>
    </row>
    <row r="48" spans="1:33">
      <c r="A48" s="770">
        <v>44</v>
      </c>
      <c r="B48" s="778" t="s">
        <v>833</v>
      </c>
      <c r="C48" s="788" t="s">
        <v>512</v>
      </c>
      <c r="D48" s="789"/>
      <c r="E48" s="789"/>
      <c r="F48" s="789">
        <v>99</v>
      </c>
      <c r="G48" s="789"/>
      <c r="H48" s="789"/>
      <c r="I48" s="789"/>
      <c r="J48" s="789"/>
      <c r="K48" s="789"/>
      <c r="L48" s="789"/>
      <c r="M48" s="789"/>
      <c r="N48" s="789"/>
      <c r="O48" s="789"/>
      <c r="P48" s="789"/>
      <c r="Q48" s="789"/>
      <c r="R48" s="789"/>
      <c r="S48" s="789"/>
      <c r="T48" s="789"/>
      <c r="U48" s="773">
        <f t="shared" si="0"/>
        <v>99</v>
      </c>
      <c r="V48" s="774"/>
      <c r="W48" s="789"/>
      <c r="X48" s="789"/>
      <c r="Y48" s="789"/>
      <c r="Z48" s="789"/>
      <c r="AA48" s="789"/>
      <c r="AB48" s="789"/>
      <c r="AC48" s="789"/>
      <c r="AD48" s="789"/>
      <c r="AE48" s="789"/>
      <c r="AF48" s="789"/>
      <c r="AG48" s="777">
        <f t="shared" si="1"/>
        <v>0</v>
      </c>
    </row>
    <row r="49" spans="1:33">
      <c r="A49" s="770">
        <v>45</v>
      </c>
      <c r="B49" s="778" t="s">
        <v>812</v>
      </c>
      <c r="C49" s="788"/>
      <c r="D49" s="789"/>
      <c r="E49" s="789"/>
      <c r="F49" s="789"/>
      <c r="G49" s="789"/>
      <c r="H49" s="789"/>
      <c r="I49" s="789"/>
      <c r="J49" s="789"/>
      <c r="K49" s="789"/>
      <c r="L49" s="789"/>
      <c r="M49" s="789"/>
      <c r="N49" s="789"/>
      <c r="O49" s="789"/>
      <c r="P49" s="789">
        <v>-99</v>
      </c>
      <c r="Q49" s="789"/>
      <c r="R49" s="789"/>
      <c r="S49" s="789"/>
      <c r="T49" s="789"/>
      <c r="U49" s="773">
        <f t="shared" si="0"/>
        <v>-99</v>
      </c>
      <c r="V49" s="774"/>
      <c r="W49" s="789"/>
      <c r="X49" s="789"/>
      <c r="Y49" s="789"/>
      <c r="Z49" s="789"/>
      <c r="AA49" s="789"/>
      <c r="AB49" s="789"/>
      <c r="AC49" s="789"/>
      <c r="AD49" s="789"/>
      <c r="AE49" s="789"/>
      <c r="AF49" s="789"/>
      <c r="AG49" s="777">
        <f t="shared" si="1"/>
        <v>0</v>
      </c>
    </row>
    <row r="50" spans="1:33">
      <c r="A50" s="770">
        <v>46</v>
      </c>
      <c r="B50" s="778" t="s">
        <v>834</v>
      </c>
      <c r="C50" s="788" t="s">
        <v>811</v>
      </c>
      <c r="D50" s="789"/>
      <c r="E50" s="789"/>
      <c r="F50" s="789">
        <v>610</v>
      </c>
      <c r="G50" s="789"/>
      <c r="H50" s="789"/>
      <c r="I50" s="789"/>
      <c r="J50" s="789"/>
      <c r="K50" s="789"/>
      <c r="L50" s="789"/>
      <c r="M50" s="789"/>
      <c r="N50" s="789"/>
      <c r="O50" s="789"/>
      <c r="P50" s="789"/>
      <c r="Q50" s="789"/>
      <c r="R50" s="789"/>
      <c r="S50" s="789"/>
      <c r="T50" s="789"/>
      <c r="U50" s="773">
        <f t="shared" si="0"/>
        <v>610</v>
      </c>
      <c r="V50" s="774"/>
      <c r="W50" s="789"/>
      <c r="X50" s="789"/>
      <c r="Y50" s="789"/>
      <c r="Z50" s="789"/>
      <c r="AA50" s="789"/>
      <c r="AB50" s="789"/>
      <c r="AC50" s="789"/>
      <c r="AD50" s="789"/>
      <c r="AE50" s="789"/>
      <c r="AF50" s="789"/>
      <c r="AG50" s="777"/>
    </row>
    <row r="51" spans="1:33">
      <c r="A51" s="770">
        <v>47</v>
      </c>
      <c r="B51" s="778" t="s">
        <v>812</v>
      </c>
      <c r="C51" s="788"/>
      <c r="D51" s="789"/>
      <c r="E51" s="789"/>
      <c r="F51" s="789"/>
      <c r="G51" s="789"/>
      <c r="H51" s="789"/>
      <c r="I51" s="789"/>
      <c r="J51" s="789"/>
      <c r="K51" s="789"/>
      <c r="L51" s="789"/>
      <c r="M51" s="789"/>
      <c r="N51" s="789"/>
      <c r="O51" s="789"/>
      <c r="P51" s="789">
        <v>-610</v>
      </c>
      <c r="Q51" s="789"/>
      <c r="R51" s="789"/>
      <c r="S51" s="789"/>
      <c r="T51" s="789"/>
      <c r="U51" s="773">
        <f t="shared" si="0"/>
        <v>-610</v>
      </c>
      <c r="V51" s="774"/>
      <c r="W51" s="789"/>
      <c r="X51" s="789"/>
      <c r="Y51" s="789"/>
      <c r="Z51" s="789"/>
      <c r="AA51" s="789"/>
      <c r="AB51" s="789"/>
      <c r="AC51" s="789"/>
      <c r="AD51" s="789"/>
      <c r="AE51" s="789"/>
      <c r="AF51" s="789"/>
      <c r="AG51" s="777">
        <f t="shared" si="1"/>
        <v>0</v>
      </c>
    </row>
    <row r="52" spans="1:33">
      <c r="A52" s="770">
        <v>48</v>
      </c>
      <c r="B52" s="778" t="s">
        <v>835</v>
      </c>
      <c r="C52" s="788" t="s">
        <v>512</v>
      </c>
      <c r="D52" s="789"/>
      <c r="E52" s="789"/>
      <c r="F52" s="774">
        <v>952</v>
      </c>
      <c r="G52" s="789"/>
      <c r="H52" s="789"/>
      <c r="I52" s="789"/>
      <c r="J52" s="789"/>
      <c r="K52" s="789"/>
      <c r="L52" s="789"/>
      <c r="M52" s="789"/>
      <c r="N52" s="789"/>
      <c r="O52" s="789"/>
      <c r="P52" s="789"/>
      <c r="Q52" s="789"/>
      <c r="R52" s="789"/>
      <c r="S52" s="789"/>
      <c r="T52" s="789"/>
      <c r="U52" s="773">
        <f t="shared" si="0"/>
        <v>952</v>
      </c>
      <c r="V52" s="774"/>
      <c r="W52" s="789"/>
      <c r="X52" s="789"/>
      <c r="Y52" s="789"/>
      <c r="Z52" s="789"/>
      <c r="AA52" s="789"/>
      <c r="AB52" s="789"/>
      <c r="AC52" s="789"/>
      <c r="AD52" s="789"/>
      <c r="AE52" s="789"/>
      <c r="AF52" s="789"/>
      <c r="AG52" s="777">
        <f t="shared" si="1"/>
        <v>0</v>
      </c>
    </row>
    <row r="53" spans="1:33">
      <c r="A53" s="770">
        <v>49</v>
      </c>
      <c r="B53" s="778" t="s">
        <v>812</v>
      </c>
      <c r="C53" s="788"/>
      <c r="D53" s="789"/>
      <c r="E53" s="789"/>
      <c r="F53" s="789"/>
      <c r="G53" s="789"/>
      <c r="H53" s="789"/>
      <c r="I53" s="789"/>
      <c r="J53" s="789"/>
      <c r="K53" s="789"/>
      <c r="L53" s="789"/>
      <c r="M53" s="789"/>
      <c r="N53" s="789"/>
      <c r="O53" s="789"/>
      <c r="P53" s="789">
        <v>-952</v>
      </c>
      <c r="Q53" s="789"/>
      <c r="R53" s="789"/>
      <c r="S53" s="789"/>
      <c r="T53" s="789"/>
      <c r="U53" s="773">
        <f t="shared" si="0"/>
        <v>-952</v>
      </c>
      <c r="V53" s="774"/>
      <c r="W53" s="789"/>
      <c r="X53" s="789"/>
      <c r="Y53" s="789"/>
      <c r="Z53" s="789"/>
      <c r="AA53" s="789"/>
      <c r="AB53" s="789"/>
      <c r="AC53" s="789"/>
      <c r="AD53" s="789"/>
      <c r="AE53" s="789"/>
      <c r="AF53" s="789"/>
      <c r="AG53" s="777">
        <f t="shared" si="1"/>
        <v>0</v>
      </c>
    </row>
    <row r="54" spans="1:33" ht="13.5" customHeight="1">
      <c r="A54" s="770">
        <v>50</v>
      </c>
      <c r="B54" s="778" t="s">
        <v>836</v>
      </c>
      <c r="C54" s="779" t="s">
        <v>811</v>
      </c>
      <c r="D54" s="789"/>
      <c r="E54" s="789"/>
      <c r="F54" s="789">
        <v>3810</v>
      </c>
      <c r="G54" s="789"/>
      <c r="H54" s="789"/>
      <c r="I54" s="789"/>
      <c r="J54" s="789"/>
      <c r="K54" s="789"/>
      <c r="L54" s="789"/>
      <c r="M54" s="789"/>
      <c r="N54" s="789"/>
      <c r="O54" s="789"/>
      <c r="P54" s="789"/>
      <c r="Q54" s="789"/>
      <c r="R54" s="789"/>
      <c r="S54" s="789"/>
      <c r="T54" s="789"/>
      <c r="U54" s="773">
        <f t="shared" si="0"/>
        <v>3810</v>
      </c>
      <c r="V54" s="774"/>
      <c r="W54" s="789"/>
      <c r="X54" s="789"/>
      <c r="Y54" s="789"/>
      <c r="Z54" s="789"/>
      <c r="AA54" s="789"/>
      <c r="AB54" s="789"/>
      <c r="AC54" s="789"/>
      <c r="AD54" s="789"/>
      <c r="AE54" s="789"/>
      <c r="AF54" s="789"/>
      <c r="AG54" s="777">
        <f t="shared" si="1"/>
        <v>0</v>
      </c>
    </row>
    <row r="55" spans="1:33" ht="12" customHeight="1">
      <c r="A55" s="770">
        <v>51</v>
      </c>
      <c r="B55" s="778" t="s">
        <v>812</v>
      </c>
      <c r="C55" s="779"/>
      <c r="D55" s="789"/>
      <c r="E55" s="789"/>
      <c r="F55" s="789"/>
      <c r="G55" s="789"/>
      <c r="H55" s="789"/>
      <c r="I55" s="789"/>
      <c r="J55" s="789"/>
      <c r="K55" s="789"/>
      <c r="L55" s="789"/>
      <c r="M55" s="789"/>
      <c r="N55" s="789"/>
      <c r="O55" s="789"/>
      <c r="P55" s="789">
        <v>-3810</v>
      </c>
      <c r="Q55" s="789"/>
      <c r="R55" s="789"/>
      <c r="S55" s="789"/>
      <c r="T55" s="789"/>
      <c r="U55" s="773">
        <f t="shared" si="0"/>
        <v>-3810</v>
      </c>
      <c r="V55" s="774"/>
      <c r="W55" s="789"/>
      <c r="X55" s="789"/>
      <c r="Y55" s="789"/>
      <c r="Z55" s="789"/>
      <c r="AA55" s="789"/>
      <c r="AB55" s="789"/>
      <c r="AC55" s="789"/>
      <c r="AD55" s="789"/>
      <c r="AE55" s="789"/>
      <c r="AF55" s="789"/>
      <c r="AG55" s="777">
        <f t="shared" si="1"/>
        <v>0</v>
      </c>
    </row>
    <row r="56" spans="1:33">
      <c r="A56" s="770">
        <v>52</v>
      </c>
      <c r="B56" s="778" t="s">
        <v>837</v>
      </c>
      <c r="C56" s="788" t="s">
        <v>512</v>
      </c>
      <c r="D56" s="789"/>
      <c r="E56" s="789"/>
      <c r="F56" s="789">
        <v>10205</v>
      </c>
      <c r="G56" s="789"/>
      <c r="H56" s="789"/>
      <c r="I56" s="789"/>
      <c r="J56" s="774"/>
      <c r="K56" s="789"/>
      <c r="L56" s="789"/>
      <c r="M56" s="789"/>
      <c r="N56" s="789"/>
      <c r="O56" s="789"/>
      <c r="P56" s="789"/>
      <c r="Q56" s="789"/>
      <c r="R56" s="789"/>
      <c r="S56" s="789"/>
      <c r="T56" s="789"/>
      <c r="U56" s="773">
        <f t="shared" si="0"/>
        <v>10205</v>
      </c>
      <c r="V56" s="774"/>
      <c r="W56" s="789"/>
      <c r="X56" s="789"/>
      <c r="Y56" s="789"/>
      <c r="Z56" s="789"/>
      <c r="AA56" s="789"/>
      <c r="AB56" s="789"/>
      <c r="AC56" s="789"/>
      <c r="AD56" s="789"/>
      <c r="AE56" s="789"/>
      <c r="AF56" s="789"/>
      <c r="AG56" s="777">
        <f t="shared" si="1"/>
        <v>0</v>
      </c>
    </row>
    <row r="57" spans="1:33">
      <c r="A57" s="770">
        <v>53</v>
      </c>
      <c r="B57" s="778" t="s">
        <v>838</v>
      </c>
      <c r="C57" s="779"/>
      <c r="D57" s="789"/>
      <c r="E57" s="789"/>
      <c r="F57" s="789"/>
      <c r="G57" s="789"/>
      <c r="H57" s="789"/>
      <c r="I57" s="789"/>
      <c r="J57" s="789"/>
      <c r="K57" s="789"/>
      <c r="L57" s="789"/>
      <c r="M57" s="789"/>
      <c r="N57" s="789"/>
      <c r="O57" s="789"/>
      <c r="P57" s="774">
        <v>-10205</v>
      </c>
      <c r="Q57" s="789"/>
      <c r="R57" s="789"/>
      <c r="S57" s="789"/>
      <c r="T57" s="789"/>
      <c r="U57" s="773">
        <f t="shared" si="0"/>
        <v>-10205</v>
      </c>
      <c r="V57" s="774"/>
      <c r="W57" s="789"/>
      <c r="X57" s="789"/>
      <c r="Y57" s="789"/>
      <c r="Z57" s="789"/>
      <c r="AA57" s="789"/>
      <c r="AB57" s="789"/>
      <c r="AC57" s="789"/>
      <c r="AD57" s="789"/>
      <c r="AE57" s="789"/>
      <c r="AF57" s="789"/>
      <c r="AG57" s="777">
        <f t="shared" si="1"/>
        <v>0</v>
      </c>
    </row>
    <row r="58" spans="1:33">
      <c r="A58" s="770">
        <v>54</v>
      </c>
      <c r="B58" s="778" t="s">
        <v>839</v>
      </c>
      <c r="C58" s="788" t="s">
        <v>512</v>
      </c>
      <c r="D58" s="789"/>
      <c r="E58" s="789"/>
      <c r="F58" s="789">
        <v>5</v>
      </c>
      <c r="G58" s="789"/>
      <c r="H58" s="789"/>
      <c r="I58" s="789"/>
      <c r="J58" s="789"/>
      <c r="K58" s="789"/>
      <c r="L58" s="789"/>
      <c r="M58" s="789"/>
      <c r="N58" s="789"/>
      <c r="O58" s="789"/>
      <c r="P58" s="789"/>
      <c r="Q58" s="789"/>
      <c r="R58" s="789"/>
      <c r="S58" s="789"/>
      <c r="T58" s="789"/>
      <c r="U58" s="773">
        <f t="shared" si="0"/>
        <v>5</v>
      </c>
      <c r="V58" s="774"/>
      <c r="W58" s="789"/>
      <c r="X58" s="789"/>
      <c r="Y58" s="789"/>
      <c r="Z58" s="789"/>
      <c r="AA58" s="789"/>
      <c r="AB58" s="789"/>
      <c r="AC58" s="789"/>
      <c r="AD58" s="789"/>
      <c r="AE58" s="789"/>
      <c r="AF58" s="789"/>
      <c r="AG58" s="777">
        <f t="shared" si="1"/>
        <v>0</v>
      </c>
    </row>
    <row r="59" spans="1:33">
      <c r="A59" s="770">
        <v>55</v>
      </c>
      <c r="B59" s="778" t="s">
        <v>812</v>
      </c>
      <c r="C59" s="779"/>
      <c r="D59" s="789"/>
      <c r="E59" s="789"/>
      <c r="F59" s="789"/>
      <c r="G59" s="789"/>
      <c r="H59" s="789"/>
      <c r="I59" s="789"/>
      <c r="J59" s="789"/>
      <c r="K59" s="789"/>
      <c r="L59" s="789"/>
      <c r="M59" s="789"/>
      <c r="N59" s="789"/>
      <c r="O59" s="789"/>
      <c r="P59" s="789">
        <v>-5</v>
      </c>
      <c r="Q59" s="789"/>
      <c r="R59" s="789"/>
      <c r="S59" s="789"/>
      <c r="T59" s="789"/>
      <c r="U59" s="773">
        <f t="shared" si="0"/>
        <v>-5</v>
      </c>
      <c r="V59" s="774"/>
      <c r="W59" s="789"/>
      <c r="X59" s="789"/>
      <c r="Y59" s="789"/>
      <c r="Z59" s="789"/>
      <c r="AA59" s="789"/>
      <c r="AB59" s="789"/>
      <c r="AC59" s="789"/>
      <c r="AD59" s="789"/>
      <c r="AE59" s="789"/>
      <c r="AF59" s="789"/>
      <c r="AG59" s="777">
        <f t="shared" si="1"/>
        <v>0</v>
      </c>
    </row>
    <row r="60" spans="1:33">
      <c r="A60" s="770">
        <v>56</v>
      </c>
      <c r="B60" s="778" t="s">
        <v>840</v>
      </c>
      <c r="C60" s="781" t="s">
        <v>708</v>
      </c>
      <c r="D60" s="789"/>
      <c r="E60" s="789"/>
      <c r="F60" s="789">
        <v>3446</v>
      </c>
      <c r="G60" s="789"/>
      <c r="H60" s="789"/>
      <c r="I60" s="789"/>
      <c r="J60" s="789"/>
      <c r="K60" s="789"/>
      <c r="L60" s="789"/>
      <c r="M60" s="789"/>
      <c r="N60" s="789"/>
      <c r="O60" s="789"/>
      <c r="P60" s="789"/>
      <c r="Q60" s="789"/>
      <c r="R60" s="789"/>
      <c r="S60" s="789"/>
      <c r="T60" s="789"/>
      <c r="U60" s="773">
        <f t="shared" si="0"/>
        <v>3446</v>
      </c>
      <c r="V60" s="774"/>
      <c r="W60" s="789"/>
      <c r="X60" s="789"/>
      <c r="Y60" s="789"/>
      <c r="Z60" s="789"/>
      <c r="AA60" s="789"/>
      <c r="AB60" s="789"/>
      <c r="AC60" s="789"/>
      <c r="AD60" s="789"/>
      <c r="AE60" s="789"/>
      <c r="AF60" s="789"/>
      <c r="AG60" s="777">
        <f t="shared" si="1"/>
        <v>0</v>
      </c>
    </row>
    <row r="61" spans="1:33">
      <c r="A61" s="770">
        <v>57</v>
      </c>
      <c r="B61" s="778" t="s">
        <v>841</v>
      </c>
      <c r="C61" s="781" t="s">
        <v>710</v>
      </c>
      <c r="D61" s="789"/>
      <c r="E61" s="789"/>
      <c r="F61" s="789">
        <v>101</v>
      </c>
      <c r="G61" s="789"/>
      <c r="H61" s="789"/>
      <c r="I61" s="789"/>
      <c r="J61" s="789"/>
      <c r="K61" s="789"/>
      <c r="L61" s="789"/>
      <c r="M61" s="789"/>
      <c r="N61" s="789"/>
      <c r="O61" s="789"/>
      <c r="P61" s="789"/>
      <c r="Q61" s="789"/>
      <c r="R61" s="789"/>
      <c r="S61" s="789"/>
      <c r="T61" s="789"/>
      <c r="U61" s="773">
        <f t="shared" si="0"/>
        <v>101</v>
      </c>
      <c r="V61" s="774"/>
      <c r="W61" s="789"/>
      <c r="X61" s="789"/>
      <c r="Y61" s="789"/>
      <c r="Z61" s="789"/>
      <c r="AA61" s="789"/>
      <c r="AB61" s="789"/>
      <c r="AC61" s="789"/>
      <c r="AD61" s="789"/>
      <c r="AE61" s="789"/>
      <c r="AF61" s="789"/>
      <c r="AG61" s="777">
        <f t="shared" si="1"/>
        <v>0</v>
      </c>
    </row>
    <row r="62" spans="1:33">
      <c r="A62" s="770">
        <v>58</v>
      </c>
      <c r="B62" s="778" t="s">
        <v>812</v>
      </c>
      <c r="C62" s="781"/>
      <c r="D62" s="789"/>
      <c r="E62" s="789"/>
      <c r="F62" s="789"/>
      <c r="G62" s="789"/>
      <c r="H62" s="789"/>
      <c r="I62" s="789"/>
      <c r="J62" s="789"/>
      <c r="K62" s="789"/>
      <c r="L62" s="789"/>
      <c r="M62" s="789"/>
      <c r="N62" s="789"/>
      <c r="O62" s="789"/>
      <c r="P62" s="789">
        <v>-3547</v>
      </c>
      <c r="Q62" s="789"/>
      <c r="R62" s="789"/>
      <c r="S62" s="789"/>
      <c r="T62" s="789"/>
      <c r="U62" s="773">
        <f t="shared" si="0"/>
        <v>-3547</v>
      </c>
      <c r="V62" s="774"/>
      <c r="W62" s="789"/>
      <c r="X62" s="789"/>
      <c r="Y62" s="789"/>
      <c r="Z62" s="789"/>
      <c r="AA62" s="789"/>
      <c r="AB62" s="789"/>
      <c r="AC62" s="789"/>
      <c r="AD62" s="789"/>
      <c r="AE62" s="789"/>
      <c r="AF62" s="789"/>
      <c r="AG62" s="777">
        <f t="shared" si="1"/>
        <v>0</v>
      </c>
    </row>
    <row r="63" spans="1:33">
      <c r="A63" s="770">
        <v>59</v>
      </c>
      <c r="B63" s="778" t="s">
        <v>842</v>
      </c>
      <c r="C63" s="779" t="s">
        <v>843</v>
      </c>
      <c r="D63" s="789"/>
      <c r="E63" s="789"/>
      <c r="F63" s="789"/>
      <c r="G63" s="789"/>
      <c r="H63" s="789"/>
      <c r="I63" s="789"/>
      <c r="J63" s="789"/>
      <c r="K63" s="789"/>
      <c r="L63" s="789"/>
      <c r="M63" s="789">
        <v>19584</v>
      </c>
      <c r="N63" s="789"/>
      <c r="O63" s="789"/>
      <c r="P63" s="789"/>
      <c r="Q63" s="789"/>
      <c r="R63" s="789"/>
      <c r="S63" s="789"/>
      <c r="T63" s="789"/>
      <c r="U63" s="773">
        <f t="shared" si="0"/>
        <v>19584</v>
      </c>
      <c r="V63" s="774"/>
      <c r="W63" s="789"/>
      <c r="X63" s="789"/>
      <c r="Y63" s="789"/>
      <c r="Z63" s="789"/>
      <c r="AA63" s="789"/>
      <c r="AB63" s="789"/>
      <c r="AC63" s="789"/>
      <c r="AD63" s="789"/>
      <c r="AE63" s="789"/>
      <c r="AF63" s="789"/>
      <c r="AG63" s="777">
        <f t="shared" si="1"/>
        <v>0</v>
      </c>
    </row>
    <row r="64" spans="1:33">
      <c r="A64" s="770">
        <v>60</v>
      </c>
      <c r="B64" s="778" t="s">
        <v>1077</v>
      </c>
      <c r="C64" s="779"/>
      <c r="D64" s="789"/>
      <c r="E64" s="789"/>
      <c r="F64" s="789"/>
      <c r="G64" s="789"/>
      <c r="H64" s="789"/>
      <c r="I64" s="789"/>
      <c r="J64" s="789"/>
      <c r="K64" s="789"/>
      <c r="L64" s="789"/>
      <c r="M64" s="789"/>
      <c r="N64" s="789"/>
      <c r="O64" s="789"/>
      <c r="P64" s="789">
        <v>-19584</v>
      </c>
      <c r="Q64" s="789"/>
      <c r="R64" s="789"/>
      <c r="S64" s="789"/>
      <c r="T64" s="789"/>
      <c r="U64" s="773">
        <f t="shared" si="0"/>
        <v>-19584</v>
      </c>
      <c r="V64" s="774"/>
      <c r="W64" s="789"/>
      <c r="X64" s="789"/>
      <c r="Y64" s="789"/>
      <c r="Z64" s="789"/>
      <c r="AA64" s="789"/>
      <c r="AB64" s="789"/>
      <c r="AC64" s="789"/>
      <c r="AD64" s="789"/>
      <c r="AE64" s="789"/>
      <c r="AF64" s="789"/>
      <c r="AG64" s="777">
        <f t="shared" si="1"/>
        <v>0</v>
      </c>
    </row>
    <row r="65" spans="1:33">
      <c r="A65" s="770">
        <v>61</v>
      </c>
      <c r="B65" s="778" t="s">
        <v>844</v>
      </c>
      <c r="C65" s="779" t="s">
        <v>814</v>
      </c>
      <c r="D65" s="789"/>
      <c r="E65" s="789"/>
      <c r="F65" s="789"/>
      <c r="G65" s="789"/>
      <c r="H65" s="789"/>
      <c r="I65" s="789"/>
      <c r="J65" s="789"/>
      <c r="K65" s="789"/>
      <c r="L65" s="789">
        <v>544</v>
      </c>
      <c r="M65" s="789"/>
      <c r="N65" s="789"/>
      <c r="O65" s="789"/>
      <c r="P65" s="789"/>
      <c r="Q65" s="789"/>
      <c r="R65" s="789"/>
      <c r="S65" s="789"/>
      <c r="T65" s="789"/>
      <c r="U65" s="773">
        <f t="shared" si="0"/>
        <v>544</v>
      </c>
      <c r="V65" s="774"/>
      <c r="W65" s="789"/>
      <c r="X65" s="789"/>
      <c r="Y65" s="789"/>
      <c r="Z65" s="789"/>
      <c r="AA65" s="789"/>
      <c r="AB65" s="789"/>
      <c r="AC65" s="789"/>
      <c r="AD65" s="789"/>
      <c r="AE65" s="789"/>
      <c r="AF65" s="789"/>
      <c r="AG65" s="777">
        <f t="shared" si="1"/>
        <v>0</v>
      </c>
    </row>
    <row r="66" spans="1:33">
      <c r="A66" s="770">
        <v>62</v>
      </c>
      <c r="B66" s="778" t="s">
        <v>825</v>
      </c>
      <c r="C66" s="779"/>
      <c r="D66" s="789"/>
      <c r="E66" s="789"/>
      <c r="F66" s="789"/>
      <c r="G66" s="789"/>
      <c r="H66" s="789"/>
      <c r="I66" s="789"/>
      <c r="J66" s="789"/>
      <c r="K66" s="789"/>
      <c r="L66" s="789"/>
      <c r="M66" s="789"/>
      <c r="N66" s="789"/>
      <c r="O66" s="789"/>
      <c r="P66" s="789"/>
      <c r="Q66" s="789"/>
      <c r="R66" s="789">
        <v>-544</v>
      </c>
      <c r="S66" s="789"/>
      <c r="T66" s="789"/>
      <c r="U66" s="773">
        <f t="shared" si="0"/>
        <v>-544</v>
      </c>
      <c r="V66" s="774"/>
      <c r="W66" s="789"/>
      <c r="X66" s="789"/>
      <c r="Y66" s="789"/>
      <c r="Z66" s="789"/>
      <c r="AA66" s="789"/>
      <c r="AB66" s="789"/>
      <c r="AC66" s="789"/>
      <c r="AD66" s="789"/>
      <c r="AE66" s="789"/>
      <c r="AF66" s="789"/>
      <c r="AG66" s="777">
        <f t="shared" si="1"/>
        <v>0</v>
      </c>
    </row>
    <row r="67" spans="1:33">
      <c r="A67" s="770">
        <v>63</v>
      </c>
      <c r="B67" s="778" t="s">
        <v>845</v>
      </c>
      <c r="C67" s="779" t="s">
        <v>814</v>
      </c>
      <c r="D67" s="789"/>
      <c r="E67" s="789"/>
      <c r="F67" s="789"/>
      <c r="G67" s="789"/>
      <c r="H67" s="789"/>
      <c r="I67" s="789"/>
      <c r="J67" s="789">
        <v>300</v>
      </c>
      <c r="K67" s="789"/>
      <c r="L67" s="789"/>
      <c r="M67" s="789"/>
      <c r="N67" s="789"/>
      <c r="O67" s="789"/>
      <c r="P67" s="789"/>
      <c r="Q67" s="789"/>
      <c r="R67" s="789"/>
      <c r="S67" s="789"/>
      <c r="T67" s="789"/>
      <c r="U67" s="773">
        <f t="shared" si="0"/>
        <v>300</v>
      </c>
      <c r="V67" s="774"/>
      <c r="W67" s="789"/>
      <c r="X67" s="789"/>
      <c r="Y67" s="789"/>
      <c r="Z67" s="789"/>
      <c r="AA67" s="789"/>
      <c r="AB67" s="789"/>
      <c r="AC67" s="789"/>
      <c r="AD67" s="789"/>
      <c r="AE67" s="789"/>
      <c r="AF67" s="789"/>
      <c r="AG67" s="777">
        <f t="shared" si="1"/>
        <v>0</v>
      </c>
    </row>
    <row r="68" spans="1:33">
      <c r="A68" s="770">
        <v>64</v>
      </c>
      <c r="B68" s="778" t="s">
        <v>825</v>
      </c>
      <c r="C68" s="779"/>
      <c r="D68" s="789"/>
      <c r="E68" s="789"/>
      <c r="F68" s="789"/>
      <c r="G68" s="789"/>
      <c r="H68" s="789"/>
      <c r="I68" s="789"/>
      <c r="J68" s="789"/>
      <c r="K68" s="789"/>
      <c r="L68" s="789"/>
      <c r="M68" s="789"/>
      <c r="N68" s="789"/>
      <c r="O68" s="789"/>
      <c r="P68" s="789"/>
      <c r="Q68" s="789"/>
      <c r="R68" s="789">
        <v>-300</v>
      </c>
      <c r="S68" s="789"/>
      <c r="T68" s="789"/>
      <c r="U68" s="773">
        <f t="shared" si="0"/>
        <v>-300</v>
      </c>
      <c r="V68" s="774"/>
      <c r="W68" s="789"/>
      <c r="X68" s="789"/>
      <c r="Y68" s="789"/>
      <c r="Z68" s="789"/>
      <c r="AA68" s="789"/>
      <c r="AB68" s="789"/>
      <c r="AC68" s="789"/>
      <c r="AD68" s="789"/>
      <c r="AE68" s="789"/>
      <c r="AF68" s="789"/>
      <c r="AG68" s="777">
        <f t="shared" si="1"/>
        <v>0</v>
      </c>
    </row>
    <row r="69" spans="1:33">
      <c r="A69" s="770">
        <v>65</v>
      </c>
      <c r="B69" s="778" t="s">
        <v>846</v>
      </c>
      <c r="C69" s="781" t="s">
        <v>814</v>
      </c>
      <c r="D69" s="791"/>
      <c r="E69" s="791"/>
      <c r="F69" s="791"/>
      <c r="G69" s="791"/>
      <c r="H69" s="791"/>
      <c r="I69" s="791"/>
      <c r="J69" s="789">
        <v>100</v>
      </c>
      <c r="K69" s="791"/>
      <c r="L69" s="791"/>
      <c r="M69" s="791"/>
      <c r="N69" s="791"/>
      <c r="O69" s="791"/>
      <c r="P69" s="791"/>
      <c r="Q69" s="789"/>
      <c r="R69" s="789"/>
      <c r="S69" s="789"/>
      <c r="T69" s="791"/>
      <c r="U69" s="773">
        <f t="shared" si="0"/>
        <v>100</v>
      </c>
      <c r="V69" s="774"/>
      <c r="W69" s="789"/>
      <c r="X69" s="789"/>
      <c r="Y69" s="789"/>
      <c r="Z69" s="789"/>
      <c r="AA69" s="789"/>
      <c r="AB69" s="789"/>
      <c r="AC69" s="789"/>
      <c r="AD69" s="789"/>
      <c r="AE69" s="789"/>
      <c r="AF69" s="789"/>
      <c r="AG69" s="777">
        <f t="shared" si="1"/>
        <v>0</v>
      </c>
    </row>
    <row r="70" spans="1:33">
      <c r="A70" s="770">
        <v>66</v>
      </c>
      <c r="B70" s="778" t="s">
        <v>825</v>
      </c>
      <c r="C70" s="788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789"/>
      <c r="P70" s="789"/>
      <c r="Q70" s="789"/>
      <c r="R70" s="789">
        <v>-100</v>
      </c>
      <c r="S70" s="789"/>
      <c r="T70" s="789"/>
      <c r="U70" s="773">
        <f t="shared" si="0"/>
        <v>-100</v>
      </c>
      <c r="V70" s="774"/>
      <c r="W70" s="789"/>
      <c r="X70" s="789"/>
      <c r="Y70" s="789"/>
      <c r="Z70" s="789"/>
      <c r="AA70" s="789"/>
      <c r="AB70" s="789"/>
      <c r="AC70" s="789"/>
      <c r="AD70" s="789"/>
      <c r="AE70" s="789"/>
      <c r="AF70" s="789"/>
      <c r="AG70" s="777">
        <f t="shared" si="1"/>
        <v>0</v>
      </c>
    </row>
    <row r="71" spans="1:33" ht="15" customHeight="1">
      <c r="A71" s="770">
        <v>67</v>
      </c>
      <c r="B71" s="778" t="s">
        <v>847</v>
      </c>
      <c r="C71" s="779" t="s">
        <v>814</v>
      </c>
      <c r="D71" s="789"/>
      <c r="E71" s="789"/>
      <c r="F71" s="789"/>
      <c r="G71" s="789"/>
      <c r="H71" s="789"/>
      <c r="I71" s="789"/>
      <c r="J71" s="789">
        <v>953</v>
      </c>
      <c r="K71" s="789"/>
      <c r="L71" s="789"/>
      <c r="M71" s="789"/>
      <c r="N71" s="789"/>
      <c r="O71" s="789"/>
      <c r="P71" s="789"/>
      <c r="Q71" s="789"/>
      <c r="R71" s="789"/>
      <c r="S71" s="789"/>
      <c r="T71" s="789"/>
      <c r="U71" s="773">
        <f t="shared" si="0"/>
        <v>953</v>
      </c>
      <c r="V71" s="774"/>
      <c r="W71" s="789"/>
      <c r="X71" s="789"/>
      <c r="Y71" s="789"/>
      <c r="Z71" s="789"/>
      <c r="AA71" s="789"/>
      <c r="AB71" s="789"/>
      <c r="AC71" s="789"/>
      <c r="AD71" s="789"/>
      <c r="AE71" s="789"/>
      <c r="AF71" s="789"/>
      <c r="AG71" s="777">
        <f t="shared" si="1"/>
        <v>0</v>
      </c>
    </row>
    <row r="72" spans="1:33">
      <c r="A72" s="770">
        <v>68</v>
      </c>
      <c r="B72" s="778" t="s">
        <v>825</v>
      </c>
      <c r="C72" s="779"/>
      <c r="D72" s="789"/>
      <c r="E72" s="789"/>
      <c r="F72" s="789"/>
      <c r="G72" s="789"/>
      <c r="H72" s="789"/>
      <c r="I72" s="789"/>
      <c r="J72" s="789"/>
      <c r="K72" s="789"/>
      <c r="L72" s="789"/>
      <c r="M72" s="789"/>
      <c r="N72" s="789"/>
      <c r="O72" s="789"/>
      <c r="P72" s="789"/>
      <c r="Q72" s="789"/>
      <c r="R72" s="789">
        <v>-953</v>
      </c>
      <c r="S72" s="789"/>
      <c r="T72" s="789"/>
      <c r="U72" s="773">
        <f t="shared" si="0"/>
        <v>-953</v>
      </c>
      <c r="V72" s="774"/>
      <c r="W72" s="789"/>
      <c r="X72" s="789"/>
      <c r="Y72" s="789"/>
      <c r="Z72" s="789"/>
      <c r="AA72" s="789"/>
      <c r="AB72" s="789"/>
      <c r="AC72" s="789"/>
      <c r="AD72" s="789"/>
      <c r="AE72" s="789"/>
      <c r="AF72" s="789"/>
      <c r="AG72" s="777">
        <f t="shared" si="1"/>
        <v>0</v>
      </c>
    </row>
    <row r="73" spans="1:33" ht="15" customHeight="1">
      <c r="A73" s="770">
        <v>69</v>
      </c>
      <c r="B73" s="778" t="s">
        <v>848</v>
      </c>
      <c r="C73" s="790" t="s">
        <v>512</v>
      </c>
      <c r="D73" s="789"/>
      <c r="E73" s="789"/>
      <c r="F73" s="789">
        <v>13</v>
      </c>
      <c r="G73" s="789"/>
      <c r="H73" s="789"/>
      <c r="I73" s="789"/>
      <c r="J73" s="789"/>
      <c r="K73" s="789"/>
      <c r="L73" s="789"/>
      <c r="M73" s="789"/>
      <c r="N73" s="789"/>
      <c r="O73" s="789"/>
      <c r="P73" s="789"/>
      <c r="Q73" s="789"/>
      <c r="R73" s="789"/>
      <c r="S73" s="789"/>
      <c r="T73" s="789"/>
      <c r="U73" s="773">
        <f t="shared" si="0"/>
        <v>13</v>
      </c>
      <c r="V73" s="774"/>
      <c r="W73" s="789"/>
      <c r="X73" s="789"/>
      <c r="Y73" s="789"/>
      <c r="Z73" s="789"/>
      <c r="AA73" s="789"/>
      <c r="AB73" s="789"/>
      <c r="AC73" s="789"/>
      <c r="AD73" s="789"/>
      <c r="AE73" s="789"/>
      <c r="AF73" s="789"/>
      <c r="AG73" s="777">
        <f t="shared" si="1"/>
        <v>0</v>
      </c>
    </row>
    <row r="74" spans="1:33">
      <c r="A74" s="770">
        <v>70</v>
      </c>
      <c r="B74" s="778" t="s">
        <v>812</v>
      </c>
      <c r="C74" s="790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789"/>
      <c r="O74" s="789"/>
      <c r="P74" s="789">
        <v>-13</v>
      </c>
      <c r="Q74" s="789"/>
      <c r="R74" s="789"/>
      <c r="S74" s="789"/>
      <c r="T74" s="789"/>
      <c r="U74" s="773">
        <f t="shared" si="0"/>
        <v>-13</v>
      </c>
      <c r="V74" s="774"/>
      <c r="W74" s="789"/>
      <c r="X74" s="789"/>
      <c r="Y74" s="789"/>
      <c r="Z74" s="789"/>
      <c r="AA74" s="789"/>
      <c r="AB74" s="789"/>
      <c r="AC74" s="789"/>
      <c r="AD74" s="789"/>
      <c r="AE74" s="789"/>
      <c r="AF74" s="789"/>
      <c r="AG74" s="777">
        <f t="shared" si="1"/>
        <v>0</v>
      </c>
    </row>
    <row r="75" spans="1:33">
      <c r="A75" s="770">
        <v>71</v>
      </c>
      <c r="B75" s="778" t="s">
        <v>849</v>
      </c>
      <c r="C75" s="781" t="s">
        <v>807</v>
      </c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789">
        <v>150</v>
      </c>
      <c r="O75" s="789"/>
      <c r="P75" s="789"/>
      <c r="Q75" s="789"/>
      <c r="R75" s="789"/>
      <c r="S75" s="789"/>
      <c r="T75" s="789"/>
      <c r="U75" s="773">
        <f t="shared" si="0"/>
        <v>150</v>
      </c>
      <c r="V75" s="774"/>
      <c r="W75" s="789"/>
      <c r="X75" s="789"/>
      <c r="Y75" s="789"/>
      <c r="Z75" s="789"/>
      <c r="AA75" s="789"/>
      <c r="AB75" s="789"/>
      <c r="AC75" s="789"/>
      <c r="AD75" s="789"/>
      <c r="AE75" s="789"/>
      <c r="AF75" s="789"/>
      <c r="AG75" s="777">
        <f t="shared" si="1"/>
        <v>0</v>
      </c>
    </row>
    <row r="76" spans="1:33">
      <c r="A76" s="770">
        <v>72</v>
      </c>
      <c r="B76" s="778" t="s">
        <v>812</v>
      </c>
      <c r="C76" s="788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789"/>
      <c r="P76" s="789">
        <v>-150</v>
      </c>
      <c r="Q76" s="789"/>
      <c r="R76" s="789"/>
      <c r="S76" s="789"/>
      <c r="T76" s="789"/>
      <c r="U76" s="773">
        <f t="shared" si="0"/>
        <v>-150</v>
      </c>
      <c r="V76" s="774"/>
      <c r="W76" s="789"/>
      <c r="X76" s="789"/>
      <c r="Y76" s="789"/>
      <c r="Z76" s="789"/>
      <c r="AA76" s="789"/>
      <c r="AB76" s="789"/>
      <c r="AC76" s="789"/>
      <c r="AD76" s="789"/>
      <c r="AE76" s="789"/>
      <c r="AF76" s="789"/>
      <c r="AG76" s="777">
        <f t="shared" si="1"/>
        <v>0</v>
      </c>
    </row>
    <row r="77" spans="1:33" ht="12.75" customHeight="1">
      <c r="A77" s="770">
        <v>73</v>
      </c>
      <c r="B77" s="778" t="s">
        <v>850</v>
      </c>
      <c r="C77" s="788" t="s">
        <v>814</v>
      </c>
      <c r="D77" s="789"/>
      <c r="E77" s="783"/>
      <c r="F77" s="783"/>
      <c r="G77" s="783"/>
      <c r="H77" s="783"/>
      <c r="I77" s="783"/>
      <c r="J77" s="783"/>
      <c r="K77" s="783"/>
      <c r="L77" s="783">
        <v>1222</v>
      </c>
      <c r="M77" s="786"/>
      <c r="N77" s="786"/>
      <c r="O77" s="786"/>
      <c r="P77" s="783"/>
      <c r="Q77" s="786"/>
      <c r="R77" s="783"/>
      <c r="S77" s="783"/>
      <c r="T77" s="783"/>
      <c r="U77" s="773">
        <f t="shared" si="0"/>
        <v>1222</v>
      </c>
      <c r="V77" s="774"/>
      <c r="W77" s="783"/>
      <c r="X77" s="783"/>
      <c r="Y77" s="783"/>
      <c r="Z77" s="783"/>
      <c r="AA77" s="783"/>
      <c r="AB77" s="783"/>
      <c r="AC77" s="783"/>
      <c r="AD77" s="783"/>
      <c r="AE77" s="784"/>
      <c r="AF77" s="784"/>
      <c r="AG77" s="777">
        <f t="shared" si="1"/>
        <v>0</v>
      </c>
    </row>
    <row r="78" spans="1:33" ht="12.75" customHeight="1">
      <c r="A78" s="770">
        <v>74</v>
      </c>
      <c r="B78" s="778" t="s">
        <v>825</v>
      </c>
      <c r="C78" s="788"/>
      <c r="D78" s="782"/>
      <c r="E78" s="783"/>
      <c r="F78" s="783"/>
      <c r="G78" s="783"/>
      <c r="H78" s="783"/>
      <c r="I78" s="783"/>
      <c r="J78" s="783"/>
      <c r="K78" s="783"/>
      <c r="L78" s="786"/>
      <c r="M78" s="786"/>
      <c r="N78" s="786"/>
      <c r="O78" s="786"/>
      <c r="P78" s="783"/>
      <c r="Q78" s="786"/>
      <c r="R78" s="783">
        <v>-1222</v>
      </c>
      <c r="S78" s="783"/>
      <c r="T78" s="783"/>
      <c r="U78" s="773">
        <f t="shared" si="0"/>
        <v>-1222</v>
      </c>
      <c r="V78" s="774"/>
      <c r="W78" s="783"/>
      <c r="X78" s="783"/>
      <c r="Y78" s="783"/>
      <c r="Z78" s="783"/>
      <c r="AA78" s="783"/>
      <c r="AB78" s="783"/>
      <c r="AC78" s="783"/>
      <c r="AD78" s="783"/>
      <c r="AE78" s="784"/>
      <c r="AF78" s="784"/>
      <c r="AG78" s="777">
        <f t="shared" si="1"/>
        <v>0</v>
      </c>
    </row>
    <row r="79" spans="1:33" ht="12.75" customHeight="1">
      <c r="A79" s="770">
        <v>75</v>
      </c>
      <c r="B79" s="778" t="s">
        <v>851</v>
      </c>
      <c r="C79" s="788" t="s">
        <v>814</v>
      </c>
      <c r="D79" s="782"/>
      <c r="E79" s="783"/>
      <c r="F79" s="783"/>
      <c r="G79" s="783"/>
      <c r="H79" s="783"/>
      <c r="I79" s="783"/>
      <c r="J79" s="783"/>
      <c r="K79" s="783"/>
      <c r="L79" s="783">
        <v>1461</v>
      </c>
      <c r="M79" s="786"/>
      <c r="N79" s="786"/>
      <c r="O79" s="786"/>
      <c r="P79" s="783"/>
      <c r="Q79" s="786"/>
      <c r="R79" s="783"/>
      <c r="S79" s="783"/>
      <c r="T79" s="783"/>
      <c r="U79" s="773">
        <f t="shared" si="0"/>
        <v>1461</v>
      </c>
      <c r="V79" s="774"/>
      <c r="W79" s="783"/>
      <c r="X79" s="783"/>
      <c r="Y79" s="783"/>
      <c r="Z79" s="783"/>
      <c r="AA79" s="783"/>
      <c r="AB79" s="783"/>
      <c r="AC79" s="783"/>
      <c r="AD79" s="783"/>
      <c r="AE79" s="784"/>
      <c r="AF79" s="784"/>
      <c r="AG79" s="777">
        <f t="shared" si="1"/>
        <v>0</v>
      </c>
    </row>
    <row r="80" spans="1:33" ht="12.75" customHeight="1">
      <c r="A80" s="770">
        <v>76</v>
      </c>
      <c r="B80" s="778" t="s">
        <v>825</v>
      </c>
      <c r="C80" s="788"/>
      <c r="D80" s="782"/>
      <c r="E80" s="783"/>
      <c r="F80" s="783"/>
      <c r="G80" s="783"/>
      <c r="H80" s="783"/>
      <c r="I80" s="783"/>
      <c r="J80" s="783"/>
      <c r="K80" s="783"/>
      <c r="L80" s="786"/>
      <c r="M80" s="786"/>
      <c r="N80" s="786"/>
      <c r="O80" s="786"/>
      <c r="P80" s="783"/>
      <c r="Q80" s="786"/>
      <c r="R80" s="783">
        <v>-1461</v>
      </c>
      <c r="S80" s="783"/>
      <c r="T80" s="783"/>
      <c r="U80" s="773">
        <f t="shared" si="0"/>
        <v>-1461</v>
      </c>
      <c r="V80" s="774"/>
      <c r="W80" s="783"/>
      <c r="X80" s="783"/>
      <c r="Y80" s="783"/>
      <c r="Z80" s="783"/>
      <c r="AA80" s="783"/>
      <c r="AB80" s="783"/>
      <c r="AC80" s="783"/>
      <c r="AD80" s="783"/>
      <c r="AE80" s="784"/>
      <c r="AF80" s="784"/>
      <c r="AG80" s="777">
        <f t="shared" si="1"/>
        <v>0</v>
      </c>
    </row>
    <row r="81" spans="1:33" ht="12.75" customHeight="1">
      <c r="A81" s="770">
        <v>77</v>
      </c>
      <c r="B81" s="778" t="s">
        <v>852</v>
      </c>
      <c r="C81" s="788"/>
      <c r="D81" s="782"/>
      <c r="E81" s="783"/>
      <c r="F81" s="783"/>
      <c r="G81" s="783"/>
      <c r="H81" s="783"/>
      <c r="I81" s="783"/>
      <c r="J81" s="783"/>
      <c r="K81" s="783"/>
      <c r="L81" s="783">
        <v>2151</v>
      </c>
      <c r="M81" s="786"/>
      <c r="N81" s="786"/>
      <c r="O81" s="786"/>
      <c r="P81" s="783"/>
      <c r="Q81" s="786"/>
      <c r="R81" s="783"/>
      <c r="S81" s="783"/>
      <c r="T81" s="783"/>
      <c r="U81" s="773">
        <f t="shared" ref="U81:U144" si="4">SUM(D81:T81)</f>
        <v>2151</v>
      </c>
      <c r="V81" s="774"/>
      <c r="W81" s="783"/>
      <c r="X81" s="783"/>
      <c r="Y81" s="783"/>
      <c r="Z81" s="783"/>
      <c r="AA81" s="783"/>
      <c r="AB81" s="783"/>
      <c r="AC81" s="783"/>
      <c r="AD81" s="783"/>
      <c r="AE81" s="784"/>
      <c r="AF81" s="784"/>
      <c r="AG81" s="777">
        <f t="shared" si="1"/>
        <v>0</v>
      </c>
    </row>
    <row r="82" spans="1:33" ht="12.75" customHeight="1">
      <c r="A82" s="770">
        <v>78</v>
      </c>
      <c r="B82" s="778" t="s">
        <v>825</v>
      </c>
      <c r="C82" s="788"/>
      <c r="D82" s="782"/>
      <c r="E82" s="783"/>
      <c r="F82" s="783"/>
      <c r="G82" s="783"/>
      <c r="H82" s="783"/>
      <c r="I82" s="783"/>
      <c r="J82" s="783"/>
      <c r="K82" s="783"/>
      <c r="L82" s="786"/>
      <c r="M82" s="786"/>
      <c r="N82" s="786"/>
      <c r="O82" s="786"/>
      <c r="P82" s="783"/>
      <c r="Q82" s="786"/>
      <c r="R82" s="783">
        <v>-2151</v>
      </c>
      <c r="S82" s="783"/>
      <c r="T82" s="783"/>
      <c r="U82" s="773">
        <f t="shared" si="4"/>
        <v>-2151</v>
      </c>
      <c r="V82" s="774"/>
      <c r="W82" s="783"/>
      <c r="X82" s="783"/>
      <c r="Y82" s="783"/>
      <c r="Z82" s="783"/>
      <c r="AA82" s="783"/>
      <c r="AB82" s="783"/>
      <c r="AC82" s="783"/>
      <c r="AD82" s="783"/>
      <c r="AE82" s="784"/>
      <c r="AF82" s="784"/>
      <c r="AG82" s="777">
        <f t="shared" ref="AG82:AG146" si="5">SUM(V82:AF82)</f>
        <v>0</v>
      </c>
    </row>
    <row r="83" spans="1:33" ht="12.75" customHeight="1">
      <c r="A83" s="770">
        <v>79</v>
      </c>
      <c r="B83" s="778" t="s">
        <v>853</v>
      </c>
      <c r="C83" s="788" t="s">
        <v>854</v>
      </c>
      <c r="D83" s="782"/>
      <c r="E83" s="783"/>
      <c r="F83" s="783"/>
      <c r="G83" s="783"/>
      <c r="H83" s="783"/>
      <c r="I83" s="783"/>
      <c r="J83" s="783">
        <v>381</v>
      </c>
      <c r="K83" s="783"/>
      <c r="L83" s="783"/>
      <c r="M83" s="786"/>
      <c r="N83" s="786"/>
      <c r="O83" s="786"/>
      <c r="P83" s="783"/>
      <c r="Q83" s="786"/>
      <c r="R83" s="783"/>
      <c r="S83" s="783"/>
      <c r="T83" s="783"/>
      <c r="U83" s="773">
        <f t="shared" si="4"/>
        <v>381</v>
      </c>
      <c r="V83" s="774"/>
      <c r="W83" s="783"/>
      <c r="X83" s="783"/>
      <c r="Y83" s="783"/>
      <c r="Z83" s="783"/>
      <c r="AA83" s="783"/>
      <c r="AB83" s="783"/>
      <c r="AC83" s="783"/>
      <c r="AD83" s="783"/>
      <c r="AE83" s="784"/>
      <c r="AF83" s="784"/>
      <c r="AG83" s="777">
        <f t="shared" si="5"/>
        <v>0</v>
      </c>
    </row>
    <row r="84" spans="1:33" ht="12.75" customHeight="1">
      <c r="A84" s="770">
        <v>80</v>
      </c>
      <c r="B84" s="778" t="s">
        <v>825</v>
      </c>
      <c r="C84" s="788"/>
      <c r="D84" s="782"/>
      <c r="E84" s="783"/>
      <c r="F84" s="783"/>
      <c r="G84" s="783"/>
      <c r="H84" s="783"/>
      <c r="I84" s="783"/>
      <c r="J84" s="783"/>
      <c r="K84" s="783"/>
      <c r="L84" s="786"/>
      <c r="M84" s="786"/>
      <c r="N84" s="783"/>
      <c r="O84" s="786"/>
      <c r="P84" s="783"/>
      <c r="Q84" s="786"/>
      <c r="R84" s="783">
        <v>-381</v>
      </c>
      <c r="S84" s="783"/>
      <c r="T84" s="783"/>
      <c r="U84" s="773">
        <f t="shared" si="4"/>
        <v>-381</v>
      </c>
      <c r="V84" s="774"/>
      <c r="W84" s="783"/>
      <c r="X84" s="783"/>
      <c r="Y84" s="783"/>
      <c r="Z84" s="783"/>
      <c r="AA84" s="783"/>
      <c r="AB84" s="783"/>
      <c r="AC84" s="783"/>
      <c r="AD84" s="783"/>
      <c r="AE84" s="784"/>
      <c r="AF84" s="784"/>
      <c r="AG84" s="777">
        <f t="shared" si="5"/>
        <v>0</v>
      </c>
    </row>
    <row r="85" spans="1:33" ht="12.75" customHeight="1">
      <c r="A85" s="770">
        <v>81</v>
      </c>
      <c r="B85" s="778" t="s">
        <v>855</v>
      </c>
      <c r="C85" s="788" t="s">
        <v>811</v>
      </c>
      <c r="D85" s="782"/>
      <c r="E85" s="783"/>
      <c r="F85" s="783">
        <v>660</v>
      </c>
      <c r="G85" s="783"/>
      <c r="H85" s="783"/>
      <c r="I85" s="783"/>
      <c r="J85" s="783"/>
      <c r="K85" s="783"/>
      <c r="L85" s="786"/>
      <c r="M85" s="786"/>
      <c r="N85" s="783"/>
      <c r="O85" s="786"/>
      <c r="P85" s="783"/>
      <c r="Q85" s="786"/>
      <c r="R85" s="783"/>
      <c r="S85" s="783"/>
      <c r="T85" s="783"/>
      <c r="U85" s="773">
        <f t="shared" si="4"/>
        <v>660</v>
      </c>
      <c r="V85" s="774"/>
      <c r="W85" s="783"/>
      <c r="X85" s="783"/>
      <c r="Y85" s="783"/>
      <c r="Z85" s="783"/>
      <c r="AA85" s="783"/>
      <c r="AB85" s="783"/>
      <c r="AC85" s="783"/>
      <c r="AD85" s="783"/>
      <c r="AE85" s="784"/>
      <c r="AF85" s="784"/>
      <c r="AG85" s="777">
        <f t="shared" si="5"/>
        <v>0</v>
      </c>
    </row>
    <row r="86" spans="1:33" ht="12.75" customHeight="1">
      <c r="A86" s="770">
        <v>82</v>
      </c>
      <c r="B86" s="778" t="s">
        <v>856</v>
      </c>
      <c r="C86" s="788" t="s">
        <v>811</v>
      </c>
      <c r="D86" s="782"/>
      <c r="E86" s="783"/>
      <c r="F86" s="783">
        <v>137</v>
      </c>
      <c r="G86" s="783"/>
      <c r="H86" s="783"/>
      <c r="I86" s="783"/>
      <c r="J86" s="783"/>
      <c r="K86" s="783"/>
      <c r="L86" s="786"/>
      <c r="M86" s="786"/>
      <c r="N86" s="786"/>
      <c r="O86" s="786"/>
      <c r="P86" s="783"/>
      <c r="Q86" s="786"/>
      <c r="R86" s="783"/>
      <c r="S86" s="783"/>
      <c r="T86" s="783"/>
      <c r="U86" s="773">
        <f t="shared" si="4"/>
        <v>137</v>
      </c>
      <c r="V86" s="774"/>
      <c r="W86" s="783"/>
      <c r="X86" s="783"/>
      <c r="Y86" s="783"/>
      <c r="Z86" s="783"/>
      <c r="AA86" s="783"/>
      <c r="AB86" s="783"/>
      <c r="AC86" s="783"/>
      <c r="AD86" s="783"/>
      <c r="AE86" s="784"/>
      <c r="AF86" s="784"/>
      <c r="AG86" s="777">
        <f t="shared" si="5"/>
        <v>0</v>
      </c>
    </row>
    <row r="87" spans="1:33" ht="12.75" customHeight="1">
      <c r="A87" s="770">
        <v>83</v>
      </c>
      <c r="B87" s="778" t="s">
        <v>825</v>
      </c>
      <c r="C87" s="788"/>
      <c r="D87" s="782"/>
      <c r="E87" s="783"/>
      <c r="F87" s="783"/>
      <c r="G87" s="783"/>
      <c r="H87" s="783"/>
      <c r="I87" s="783"/>
      <c r="J87" s="783"/>
      <c r="K87" s="783"/>
      <c r="L87" s="786"/>
      <c r="M87" s="786"/>
      <c r="N87" s="786"/>
      <c r="O87" s="786"/>
      <c r="P87" s="783"/>
      <c r="Q87" s="786"/>
      <c r="R87" s="783">
        <v>-797</v>
      </c>
      <c r="S87" s="783"/>
      <c r="T87" s="783"/>
      <c r="U87" s="773">
        <f t="shared" si="4"/>
        <v>-797</v>
      </c>
      <c r="V87" s="774"/>
      <c r="W87" s="783"/>
      <c r="X87" s="783"/>
      <c r="Y87" s="783"/>
      <c r="Z87" s="783"/>
      <c r="AA87" s="783"/>
      <c r="AB87" s="783"/>
      <c r="AC87" s="783"/>
      <c r="AD87" s="783"/>
      <c r="AE87" s="784"/>
      <c r="AF87" s="784"/>
      <c r="AG87" s="777">
        <f t="shared" si="5"/>
        <v>0</v>
      </c>
    </row>
    <row r="88" spans="1:33" ht="12.75" customHeight="1">
      <c r="A88" s="770">
        <v>84</v>
      </c>
      <c r="B88" s="778" t="s">
        <v>857</v>
      </c>
      <c r="C88" s="788" t="s">
        <v>512</v>
      </c>
      <c r="D88" s="782"/>
      <c r="E88" s="783"/>
      <c r="F88" s="783">
        <v>114</v>
      </c>
      <c r="G88" s="783"/>
      <c r="H88" s="783"/>
      <c r="I88" s="783"/>
      <c r="J88" s="783"/>
      <c r="K88" s="783"/>
      <c r="L88" s="786"/>
      <c r="M88" s="786"/>
      <c r="N88" s="786"/>
      <c r="O88" s="786"/>
      <c r="P88" s="783"/>
      <c r="Q88" s="786"/>
      <c r="R88" s="783"/>
      <c r="S88" s="783"/>
      <c r="T88" s="783"/>
      <c r="U88" s="773">
        <f t="shared" si="4"/>
        <v>114</v>
      </c>
      <c r="V88" s="774"/>
      <c r="W88" s="783"/>
      <c r="X88" s="783"/>
      <c r="Y88" s="783"/>
      <c r="Z88" s="783"/>
      <c r="AA88" s="783"/>
      <c r="AB88" s="783"/>
      <c r="AC88" s="783"/>
      <c r="AD88" s="783"/>
      <c r="AE88" s="784"/>
      <c r="AF88" s="784"/>
      <c r="AG88" s="777">
        <f t="shared" si="5"/>
        <v>0</v>
      </c>
    </row>
    <row r="89" spans="1:33" ht="12.75" customHeight="1">
      <c r="A89" s="770">
        <v>85</v>
      </c>
      <c r="B89" s="778" t="s">
        <v>812</v>
      </c>
      <c r="C89" s="788"/>
      <c r="D89" s="782"/>
      <c r="E89" s="783"/>
      <c r="F89" s="783"/>
      <c r="G89" s="783"/>
      <c r="H89" s="783"/>
      <c r="I89" s="783"/>
      <c r="J89" s="783"/>
      <c r="K89" s="783"/>
      <c r="L89" s="786"/>
      <c r="M89" s="786"/>
      <c r="N89" s="786"/>
      <c r="O89" s="786"/>
      <c r="P89" s="783">
        <v>-114</v>
      </c>
      <c r="Q89" s="786"/>
      <c r="R89" s="783"/>
      <c r="S89" s="783"/>
      <c r="T89" s="783"/>
      <c r="U89" s="773">
        <f t="shared" si="4"/>
        <v>-114</v>
      </c>
      <c r="V89" s="774"/>
      <c r="W89" s="783"/>
      <c r="X89" s="783"/>
      <c r="Y89" s="783"/>
      <c r="Z89" s="783"/>
      <c r="AA89" s="783"/>
      <c r="AB89" s="783"/>
      <c r="AC89" s="783"/>
      <c r="AD89" s="783"/>
      <c r="AE89" s="784"/>
      <c r="AF89" s="784"/>
      <c r="AG89" s="777">
        <f t="shared" si="5"/>
        <v>0</v>
      </c>
    </row>
    <row r="90" spans="1:33" ht="12.75" customHeight="1">
      <c r="A90" s="770">
        <v>86</v>
      </c>
      <c r="B90" s="778" t="s">
        <v>858</v>
      </c>
      <c r="C90" s="788" t="s">
        <v>512</v>
      </c>
      <c r="D90" s="782"/>
      <c r="E90" s="783"/>
      <c r="F90" s="783">
        <v>449</v>
      </c>
      <c r="G90" s="783"/>
      <c r="H90" s="783"/>
      <c r="I90" s="783"/>
      <c r="J90" s="783"/>
      <c r="K90" s="783"/>
      <c r="L90" s="786"/>
      <c r="M90" s="786"/>
      <c r="N90" s="786"/>
      <c r="O90" s="786"/>
      <c r="P90" s="783"/>
      <c r="Q90" s="786"/>
      <c r="R90" s="783"/>
      <c r="S90" s="783"/>
      <c r="T90" s="783"/>
      <c r="U90" s="773">
        <f t="shared" si="4"/>
        <v>449</v>
      </c>
      <c r="V90" s="774"/>
      <c r="W90" s="783"/>
      <c r="X90" s="783"/>
      <c r="Y90" s="783"/>
      <c r="Z90" s="783"/>
      <c r="AA90" s="783"/>
      <c r="AB90" s="783"/>
      <c r="AC90" s="783"/>
      <c r="AD90" s="783"/>
      <c r="AE90" s="784"/>
      <c r="AF90" s="784"/>
      <c r="AG90" s="777">
        <f t="shared" si="5"/>
        <v>0</v>
      </c>
    </row>
    <row r="91" spans="1:33" ht="12.75" customHeight="1">
      <c r="A91" s="770">
        <v>87</v>
      </c>
      <c r="B91" s="778" t="s">
        <v>812</v>
      </c>
      <c r="C91" s="788"/>
      <c r="D91" s="782"/>
      <c r="E91" s="783"/>
      <c r="F91" s="783"/>
      <c r="G91" s="783"/>
      <c r="H91" s="783"/>
      <c r="I91" s="783"/>
      <c r="J91" s="783"/>
      <c r="K91" s="783"/>
      <c r="L91" s="786"/>
      <c r="M91" s="786"/>
      <c r="N91" s="786"/>
      <c r="O91" s="786"/>
      <c r="P91" s="783">
        <v>-449</v>
      </c>
      <c r="Q91" s="786"/>
      <c r="R91" s="783"/>
      <c r="S91" s="783"/>
      <c r="T91" s="783"/>
      <c r="U91" s="773">
        <f t="shared" si="4"/>
        <v>-449</v>
      </c>
      <c r="V91" s="774"/>
      <c r="W91" s="783"/>
      <c r="X91" s="783"/>
      <c r="Y91" s="783"/>
      <c r="Z91" s="783"/>
      <c r="AA91" s="783"/>
      <c r="AB91" s="783"/>
      <c r="AC91" s="783"/>
      <c r="AD91" s="783"/>
      <c r="AE91" s="784"/>
      <c r="AF91" s="784"/>
      <c r="AG91" s="777">
        <f t="shared" si="5"/>
        <v>0</v>
      </c>
    </row>
    <row r="92" spans="1:33" ht="12.75" customHeight="1">
      <c r="A92" s="770">
        <v>88</v>
      </c>
      <c r="B92" s="778" t="s">
        <v>859</v>
      </c>
      <c r="C92" s="788" t="s">
        <v>843</v>
      </c>
      <c r="D92" s="782"/>
      <c r="E92" s="783"/>
      <c r="F92" s="783"/>
      <c r="G92" s="783"/>
      <c r="H92" s="783">
        <v>5347</v>
      </c>
      <c r="I92" s="783"/>
      <c r="J92" s="783"/>
      <c r="K92" s="783"/>
      <c r="L92" s="786"/>
      <c r="M92" s="786"/>
      <c r="N92" s="786"/>
      <c r="O92" s="786"/>
      <c r="P92" s="783"/>
      <c r="Q92" s="786"/>
      <c r="R92" s="783"/>
      <c r="S92" s="783"/>
      <c r="T92" s="783"/>
      <c r="U92" s="773">
        <f t="shared" si="4"/>
        <v>5347</v>
      </c>
      <c r="V92" s="774"/>
      <c r="W92" s="783"/>
      <c r="X92" s="783"/>
      <c r="Y92" s="783"/>
      <c r="Z92" s="783"/>
      <c r="AA92" s="783"/>
      <c r="AB92" s="783"/>
      <c r="AC92" s="783"/>
      <c r="AD92" s="783"/>
      <c r="AE92" s="784"/>
      <c r="AF92" s="784"/>
      <c r="AG92" s="777">
        <f t="shared" si="5"/>
        <v>0</v>
      </c>
    </row>
    <row r="93" spans="1:33" ht="12.75" customHeight="1">
      <c r="A93" s="770">
        <v>89</v>
      </c>
      <c r="B93" s="778" t="s">
        <v>838</v>
      </c>
      <c r="C93" s="788"/>
      <c r="D93" s="782"/>
      <c r="E93" s="783"/>
      <c r="F93" s="783"/>
      <c r="G93" s="783"/>
      <c r="H93" s="783"/>
      <c r="I93" s="783"/>
      <c r="J93" s="783"/>
      <c r="K93" s="783"/>
      <c r="L93" s="786"/>
      <c r="M93" s="786"/>
      <c r="N93" s="786"/>
      <c r="O93" s="786"/>
      <c r="P93" s="783">
        <v>-5347</v>
      </c>
      <c r="Q93" s="786"/>
      <c r="R93" s="783"/>
      <c r="S93" s="783"/>
      <c r="T93" s="783"/>
      <c r="U93" s="773">
        <f t="shared" si="4"/>
        <v>-5347</v>
      </c>
      <c r="V93" s="774"/>
      <c r="W93" s="783"/>
      <c r="X93" s="783"/>
      <c r="Y93" s="783"/>
      <c r="Z93" s="783"/>
      <c r="AA93" s="783"/>
      <c r="AB93" s="783"/>
      <c r="AC93" s="783"/>
      <c r="AD93" s="783"/>
      <c r="AE93" s="784"/>
      <c r="AF93" s="784"/>
      <c r="AG93" s="777">
        <f t="shared" si="5"/>
        <v>0</v>
      </c>
    </row>
    <row r="94" spans="1:33">
      <c r="A94" s="770">
        <v>90</v>
      </c>
      <c r="B94" s="778" t="s">
        <v>860</v>
      </c>
      <c r="C94" s="788" t="s">
        <v>512</v>
      </c>
      <c r="D94" s="792"/>
      <c r="E94" s="792"/>
      <c r="F94" s="792"/>
      <c r="G94" s="792"/>
      <c r="H94" s="792"/>
      <c r="I94" s="792"/>
      <c r="J94" s="789">
        <v>1270</v>
      </c>
      <c r="K94" s="792"/>
      <c r="L94" s="792"/>
      <c r="M94" s="792"/>
      <c r="N94" s="792"/>
      <c r="O94" s="792"/>
      <c r="P94" s="792"/>
      <c r="Q94" s="792"/>
      <c r="R94" s="792"/>
      <c r="S94" s="792"/>
      <c r="T94" s="792"/>
      <c r="U94" s="773">
        <f t="shared" si="4"/>
        <v>1270</v>
      </c>
      <c r="V94" s="792"/>
      <c r="W94" s="792"/>
      <c r="X94" s="792"/>
      <c r="Y94" s="789"/>
      <c r="Z94" s="792"/>
      <c r="AA94" s="792"/>
      <c r="AB94" s="792"/>
      <c r="AC94" s="792"/>
      <c r="AD94" s="792"/>
      <c r="AE94" s="792"/>
      <c r="AF94" s="792"/>
      <c r="AG94" s="777">
        <f t="shared" si="5"/>
        <v>0</v>
      </c>
    </row>
    <row r="95" spans="1:33">
      <c r="A95" s="770">
        <v>91</v>
      </c>
      <c r="B95" s="778" t="s">
        <v>825</v>
      </c>
      <c r="C95" s="788"/>
      <c r="D95" s="789"/>
      <c r="E95" s="789"/>
      <c r="F95" s="793"/>
      <c r="G95" s="793"/>
      <c r="H95" s="793"/>
      <c r="I95" s="793"/>
      <c r="J95" s="793"/>
      <c r="K95" s="793"/>
      <c r="L95" s="793"/>
      <c r="M95" s="793"/>
      <c r="N95" s="793"/>
      <c r="O95" s="793"/>
      <c r="P95" s="793"/>
      <c r="Q95" s="793"/>
      <c r="R95" s="793">
        <v>-1270</v>
      </c>
      <c r="S95" s="793"/>
      <c r="T95" s="793"/>
      <c r="U95" s="773">
        <f t="shared" si="4"/>
        <v>-1270</v>
      </c>
      <c r="V95" s="794"/>
      <c r="W95" s="793"/>
      <c r="X95" s="793"/>
      <c r="Y95" s="793"/>
      <c r="Z95" s="793"/>
      <c r="AA95" s="793"/>
      <c r="AB95" s="793"/>
      <c r="AC95" s="793"/>
      <c r="AD95" s="793"/>
      <c r="AE95" s="793"/>
      <c r="AF95" s="793"/>
      <c r="AG95" s="777">
        <f t="shared" si="5"/>
        <v>0</v>
      </c>
    </row>
    <row r="96" spans="1:33">
      <c r="A96" s="770">
        <v>92</v>
      </c>
      <c r="B96" s="778" t="s">
        <v>861</v>
      </c>
      <c r="C96" s="790" t="s">
        <v>814</v>
      </c>
      <c r="D96" s="793"/>
      <c r="E96" s="793"/>
      <c r="F96" s="793"/>
      <c r="G96" s="793"/>
      <c r="H96" s="793"/>
      <c r="I96" s="793"/>
      <c r="J96" s="793">
        <v>15000</v>
      </c>
      <c r="K96" s="793"/>
      <c r="L96" s="793"/>
      <c r="M96" s="793"/>
      <c r="N96" s="793"/>
      <c r="O96" s="793"/>
      <c r="P96" s="793"/>
      <c r="Q96" s="793"/>
      <c r="R96" s="793"/>
      <c r="S96" s="793"/>
      <c r="T96" s="793"/>
      <c r="U96" s="773">
        <f t="shared" si="4"/>
        <v>15000</v>
      </c>
      <c r="V96" s="794"/>
      <c r="W96" s="793"/>
      <c r="X96" s="793"/>
      <c r="Y96" s="793"/>
      <c r="Z96" s="793"/>
      <c r="AA96" s="793"/>
      <c r="AB96" s="793"/>
      <c r="AC96" s="793"/>
      <c r="AD96" s="793"/>
      <c r="AE96" s="793"/>
      <c r="AF96" s="793"/>
      <c r="AG96" s="777">
        <f t="shared" si="5"/>
        <v>0</v>
      </c>
    </row>
    <row r="97" spans="1:33">
      <c r="A97" s="770">
        <v>93</v>
      </c>
      <c r="B97" s="778" t="s">
        <v>825</v>
      </c>
      <c r="C97" s="788"/>
      <c r="D97" s="793"/>
      <c r="E97" s="793"/>
      <c r="F97" s="793"/>
      <c r="G97" s="793"/>
      <c r="H97" s="793"/>
      <c r="I97" s="793"/>
      <c r="J97" s="793"/>
      <c r="K97" s="793"/>
      <c r="L97" s="793"/>
      <c r="M97" s="793"/>
      <c r="N97" s="793"/>
      <c r="O97" s="793"/>
      <c r="P97" s="793"/>
      <c r="Q97" s="793"/>
      <c r="R97" s="793">
        <v>-15000</v>
      </c>
      <c r="S97" s="793"/>
      <c r="T97" s="793"/>
      <c r="U97" s="773">
        <f t="shared" si="4"/>
        <v>-15000</v>
      </c>
      <c r="V97" s="794"/>
      <c r="W97" s="793"/>
      <c r="X97" s="793"/>
      <c r="Y97" s="793"/>
      <c r="Z97" s="793"/>
      <c r="AA97" s="793"/>
      <c r="AB97" s="793"/>
      <c r="AC97" s="793"/>
      <c r="AD97" s="793"/>
      <c r="AE97" s="793"/>
      <c r="AF97" s="793"/>
      <c r="AG97" s="777">
        <f t="shared" si="5"/>
        <v>0</v>
      </c>
    </row>
    <row r="98" spans="1:33">
      <c r="A98" s="770">
        <v>94</v>
      </c>
      <c r="B98" s="778" t="s">
        <v>862</v>
      </c>
      <c r="C98" s="790" t="s">
        <v>814</v>
      </c>
      <c r="D98" s="793"/>
      <c r="E98" s="793"/>
      <c r="F98" s="793"/>
      <c r="G98" s="793"/>
      <c r="H98" s="793"/>
      <c r="I98" s="793"/>
      <c r="J98" s="793">
        <v>665</v>
      </c>
      <c r="K98" s="793"/>
      <c r="L98" s="793"/>
      <c r="M98" s="793"/>
      <c r="N98" s="793"/>
      <c r="O98" s="793"/>
      <c r="P98" s="793"/>
      <c r="Q98" s="793"/>
      <c r="R98" s="793"/>
      <c r="S98" s="793"/>
      <c r="T98" s="793"/>
      <c r="U98" s="773">
        <f t="shared" si="4"/>
        <v>665</v>
      </c>
      <c r="V98" s="794"/>
      <c r="W98" s="793"/>
      <c r="X98" s="793"/>
      <c r="Y98" s="793"/>
      <c r="Z98" s="793"/>
      <c r="AA98" s="793"/>
      <c r="AB98" s="793"/>
      <c r="AC98" s="793"/>
      <c r="AD98" s="793"/>
      <c r="AE98" s="793"/>
      <c r="AF98" s="793"/>
      <c r="AG98" s="777">
        <f t="shared" si="5"/>
        <v>0</v>
      </c>
    </row>
    <row r="99" spans="1:33">
      <c r="A99" s="770">
        <v>95</v>
      </c>
      <c r="B99" s="778" t="s">
        <v>825</v>
      </c>
      <c r="C99" s="788"/>
      <c r="D99" s="793"/>
      <c r="E99" s="793"/>
      <c r="F99" s="793"/>
      <c r="G99" s="793"/>
      <c r="H99" s="793"/>
      <c r="I99" s="793"/>
      <c r="J99" s="793"/>
      <c r="K99" s="793"/>
      <c r="L99" s="793"/>
      <c r="M99" s="793"/>
      <c r="N99" s="793"/>
      <c r="O99" s="793"/>
      <c r="P99" s="793"/>
      <c r="Q99" s="793"/>
      <c r="R99" s="793">
        <v>-665</v>
      </c>
      <c r="S99" s="793"/>
      <c r="T99" s="793"/>
      <c r="U99" s="773">
        <f t="shared" si="4"/>
        <v>-665</v>
      </c>
      <c r="V99" s="794"/>
      <c r="W99" s="793"/>
      <c r="X99" s="793"/>
      <c r="Y99" s="793"/>
      <c r="Z99" s="793"/>
      <c r="AA99" s="793"/>
      <c r="AB99" s="793"/>
      <c r="AC99" s="793"/>
      <c r="AD99" s="793"/>
      <c r="AE99" s="793"/>
      <c r="AF99" s="793"/>
      <c r="AG99" s="777">
        <f t="shared" si="5"/>
        <v>0</v>
      </c>
    </row>
    <row r="100" spans="1:33">
      <c r="A100" s="770">
        <v>96</v>
      </c>
      <c r="B100" s="778" t="s">
        <v>863</v>
      </c>
      <c r="C100" s="790" t="s">
        <v>814</v>
      </c>
      <c r="D100" s="793"/>
      <c r="E100" s="793"/>
      <c r="F100" s="793"/>
      <c r="G100" s="793"/>
      <c r="H100" s="793"/>
      <c r="I100" s="793">
        <v>6825</v>
      </c>
      <c r="J100" s="793"/>
      <c r="K100" s="793"/>
      <c r="L100" s="793"/>
      <c r="M100" s="793"/>
      <c r="N100" s="793"/>
      <c r="O100" s="793"/>
      <c r="P100" s="793"/>
      <c r="Q100" s="793"/>
      <c r="R100" s="793"/>
      <c r="S100" s="793"/>
      <c r="T100" s="793"/>
      <c r="U100" s="773">
        <f t="shared" si="4"/>
        <v>6825</v>
      </c>
      <c r="V100" s="794"/>
      <c r="W100" s="793"/>
      <c r="X100" s="793"/>
      <c r="Y100" s="793"/>
      <c r="Z100" s="793"/>
      <c r="AA100" s="793"/>
      <c r="AB100" s="793"/>
      <c r="AC100" s="793"/>
      <c r="AD100" s="793"/>
      <c r="AE100" s="793"/>
      <c r="AF100" s="793"/>
      <c r="AG100" s="777">
        <f t="shared" si="5"/>
        <v>0</v>
      </c>
    </row>
    <row r="101" spans="1:33">
      <c r="A101" s="770">
        <v>97</v>
      </c>
      <c r="B101" s="778" t="s">
        <v>825</v>
      </c>
      <c r="C101" s="790"/>
      <c r="D101" s="793"/>
      <c r="E101" s="793"/>
      <c r="F101" s="793"/>
      <c r="G101" s="793"/>
      <c r="H101" s="793"/>
      <c r="I101" s="793"/>
      <c r="J101" s="793"/>
      <c r="K101" s="793"/>
      <c r="L101" s="793"/>
      <c r="M101" s="793"/>
      <c r="N101" s="793"/>
      <c r="O101" s="793"/>
      <c r="P101" s="793"/>
      <c r="Q101" s="793"/>
      <c r="R101" s="793">
        <v>-6825</v>
      </c>
      <c r="S101" s="793"/>
      <c r="T101" s="793"/>
      <c r="U101" s="773">
        <f t="shared" si="4"/>
        <v>-6825</v>
      </c>
      <c r="V101" s="794"/>
      <c r="W101" s="793"/>
      <c r="X101" s="793"/>
      <c r="Y101" s="793"/>
      <c r="Z101" s="793"/>
      <c r="AA101" s="793"/>
      <c r="AB101" s="793"/>
      <c r="AC101" s="793"/>
      <c r="AD101" s="793"/>
      <c r="AE101" s="793"/>
      <c r="AF101" s="793"/>
      <c r="AG101" s="777">
        <f t="shared" si="5"/>
        <v>0</v>
      </c>
    </row>
    <row r="102" spans="1:33">
      <c r="A102" s="770">
        <v>98</v>
      </c>
      <c r="B102" s="778" t="s">
        <v>864</v>
      </c>
      <c r="C102" s="790" t="s">
        <v>799</v>
      </c>
      <c r="D102" s="793"/>
      <c r="E102" s="793"/>
      <c r="F102" s="793">
        <v>34</v>
      </c>
      <c r="G102" s="793"/>
      <c r="H102" s="793"/>
      <c r="I102" s="793"/>
      <c r="J102" s="793"/>
      <c r="K102" s="793"/>
      <c r="L102" s="793"/>
      <c r="M102" s="793"/>
      <c r="N102" s="793"/>
      <c r="O102" s="793"/>
      <c r="P102" s="793"/>
      <c r="Q102" s="793"/>
      <c r="R102" s="793"/>
      <c r="S102" s="793"/>
      <c r="T102" s="793"/>
      <c r="U102" s="773">
        <f t="shared" si="4"/>
        <v>34</v>
      </c>
      <c r="V102" s="794"/>
      <c r="W102" s="793"/>
      <c r="X102" s="793"/>
      <c r="Y102" s="793"/>
      <c r="Z102" s="793"/>
      <c r="AA102" s="793"/>
      <c r="AB102" s="793"/>
      <c r="AC102" s="793"/>
      <c r="AD102" s="793"/>
      <c r="AE102" s="793"/>
      <c r="AF102" s="793"/>
      <c r="AG102" s="777">
        <f t="shared" si="5"/>
        <v>0</v>
      </c>
    </row>
    <row r="103" spans="1:33">
      <c r="A103" s="770">
        <v>99</v>
      </c>
      <c r="B103" s="778" t="s">
        <v>812</v>
      </c>
      <c r="C103" s="790"/>
      <c r="D103" s="793"/>
      <c r="E103" s="793"/>
      <c r="F103" s="793"/>
      <c r="G103" s="793"/>
      <c r="H103" s="793"/>
      <c r="I103" s="793"/>
      <c r="J103" s="793"/>
      <c r="K103" s="793"/>
      <c r="L103" s="793"/>
      <c r="M103" s="793"/>
      <c r="N103" s="793"/>
      <c r="O103" s="793"/>
      <c r="P103" s="793">
        <v>-34</v>
      </c>
      <c r="Q103" s="793"/>
      <c r="R103" s="793"/>
      <c r="S103" s="793"/>
      <c r="T103" s="793"/>
      <c r="U103" s="773">
        <f t="shared" si="4"/>
        <v>-34</v>
      </c>
      <c r="V103" s="794"/>
      <c r="W103" s="793"/>
      <c r="X103" s="793"/>
      <c r="Y103" s="793"/>
      <c r="Z103" s="793"/>
      <c r="AA103" s="793"/>
      <c r="AB103" s="793"/>
      <c r="AC103" s="793"/>
      <c r="AD103" s="793"/>
      <c r="AE103" s="793"/>
      <c r="AF103" s="793"/>
      <c r="AG103" s="777">
        <f t="shared" si="5"/>
        <v>0</v>
      </c>
    </row>
    <row r="104" spans="1:33">
      <c r="A104" s="770">
        <v>100</v>
      </c>
      <c r="B104" s="778" t="s">
        <v>865</v>
      </c>
      <c r="C104" s="790" t="s">
        <v>811</v>
      </c>
      <c r="D104" s="793"/>
      <c r="E104" s="793"/>
      <c r="F104" s="793"/>
      <c r="G104" s="793"/>
      <c r="H104" s="793"/>
      <c r="I104" s="793"/>
      <c r="J104" s="793"/>
      <c r="K104" s="793"/>
      <c r="L104" s="793"/>
      <c r="M104" s="793"/>
      <c r="N104" s="793"/>
      <c r="O104" s="793"/>
      <c r="P104" s="793"/>
      <c r="Q104" s="793"/>
      <c r="R104" s="793"/>
      <c r="S104" s="793"/>
      <c r="T104" s="793"/>
      <c r="U104" s="773">
        <f t="shared" si="4"/>
        <v>0</v>
      </c>
      <c r="V104" s="794"/>
      <c r="W104" s="793"/>
      <c r="X104" s="793"/>
      <c r="Y104" s="793">
        <v>600</v>
      </c>
      <c r="Z104" s="793"/>
      <c r="AA104" s="793"/>
      <c r="AB104" s="793"/>
      <c r="AC104" s="793"/>
      <c r="AD104" s="793"/>
      <c r="AE104" s="793"/>
      <c r="AF104" s="793"/>
      <c r="AG104" s="777">
        <f t="shared" si="5"/>
        <v>600</v>
      </c>
    </row>
    <row r="105" spans="1:33">
      <c r="A105" s="770">
        <v>101</v>
      </c>
      <c r="B105" s="778" t="s">
        <v>866</v>
      </c>
      <c r="C105" s="790" t="s">
        <v>811</v>
      </c>
      <c r="D105" s="793"/>
      <c r="E105" s="793"/>
      <c r="F105" s="793"/>
      <c r="G105" s="793"/>
      <c r="H105" s="793"/>
      <c r="I105" s="793"/>
      <c r="J105" s="793">
        <v>1600</v>
      </c>
      <c r="K105" s="793"/>
      <c r="L105" s="793"/>
      <c r="M105" s="793"/>
      <c r="N105" s="793"/>
      <c r="O105" s="793"/>
      <c r="P105" s="793"/>
      <c r="Q105" s="793"/>
      <c r="R105" s="793"/>
      <c r="S105" s="793"/>
      <c r="T105" s="793"/>
      <c r="U105" s="773">
        <f t="shared" si="4"/>
        <v>1600</v>
      </c>
      <c r="V105" s="794"/>
      <c r="W105" s="793"/>
      <c r="X105" s="793"/>
      <c r="Y105" s="793"/>
      <c r="Z105" s="793"/>
      <c r="AA105" s="793"/>
      <c r="AB105" s="793"/>
      <c r="AC105" s="793"/>
      <c r="AD105" s="793"/>
      <c r="AE105" s="793"/>
      <c r="AF105" s="793"/>
      <c r="AG105" s="777">
        <f t="shared" si="5"/>
        <v>0</v>
      </c>
    </row>
    <row r="106" spans="1:33">
      <c r="A106" s="770">
        <v>102</v>
      </c>
      <c r="B106" s="778" t="s">
        <v>867</v>
      </c>
      <c r="C106" s="790" t="s">
        <v>811</v>
      </c>
      <c r="D106" s="793"/>
      <c r="E106" s="793"/>
      <c r="F106" s="793"/>
      <c r="G106" s="793"/>
      <c r="H106" s="793"/>
      <c r="I106" s="793"/>
      <c r="J106" s="793">
        <v>3000</v>
      </c>
      <c r="K106" s="793"/>
      <c r="L106" s="793"/>
      <c r="M106" s="793"/>
      <c r="N106" s="793"/>
      <c r="O106" s="793"/>
      <c r="P106" s="793"/>
      <c r="Q106" s="793"/>
      <c r="R106" s="793"/>
      <c r="S106" s="793"/>
      <c r="T106" s="793"/>
      <c r="U106" s="773">
        <f t="shared" si="4"/>
        <v>3000</v>
      </c>
      <c r="V106" s="794"/>
      <c r="W106" s="793"/>
      <c r="X106" s="793"/>
      <c r="Y106" s="793"/>
      <c r="Z106" s="793"/>
      <c r="AA106" s="793"/>
      <c r="AB106" s="793"/>
      <c r="AC106" s="793"/>
      <c r="AD106" s="793"/>
      <c r="AE106" s="793"/>
      <c r="AF106" s="793"/>
      <c r="AG106" s="777">
        <f t="shared" si="5"/>
        <v>0</v>
      </c>
    </row>
    <row r="107" spans="1:33">
      <c r="A107" s="770">
        <v>103</v>
      </c>
      <c r="B107" s="778" t="s">
        <v>825</v>
      </c>
      <c r="C107" s="790"/>
      <c r="D107" s="793"/>
      <c r="E107" s="793"/>
      <c r="F107" s="793"/>
      <c r="G107" s="793"/>
      <c r="H107" s="793"/>
      <c r="I107" s="793"/>
      <c r="J107" s="793"/>
      <c r="K107" s="793"/>
      <c r="L107" s="793"/>
      <c r="M107" s="793"/>
      <c r="N107" s="793"/>
      <c r="O107" s="793"/>
      <c r="P107" s="793"/>
      <c r="Q107" s="793"/>
      <c r="R107" s="793">
        <v>-4000</v>
      </c>
      <c r="S107" s="793"/>
      <c r="T107" s="793"/>
      <c r="U107" s="773">
        <f t="shared" si="4"/>
        <v>-4000</v>
      </c>
      <c r="V107" s="794"/>
      <c r="W107" s="793"/>
      <c r="X107" s="793"/>
      <c r="Y107" s="793"/>
      <c r="Z107" s="793"/>
      <c r="AA107" s="793"/>
      <c r="AB107" s="793"/>
      <c r="AC107" s="793"/>
      <c r="AD107" s="793"/>
      <c r="AE107" s="793"/>
      <c r="AF107" s="793"/>
      <c r="AG107" s="777">
        <f t="shared" si="5"/>
        <v>0</v>
      </c>
    </row>
    <row r="108" spans="1:33">
      <c r="A108" s="770">
        <v>104</v>
      </c>
      <c r="B108" s="778" t="s">
        <v>868</v>
      </c>
      <c r="C108" s="790" t="s">
        <v>869</v>
      </c>
      <c r="D108" s="793"/>
      <c r="E108" s="793"/>
      <c r="F108" s="793">
        <v>95</v>
      </c>
      <c r="G108" s="793"/>
      <c r="H108" s="793"/>
      <c r="I108" s="793"/>
      <c r="J108" s="793"/>
      <c r="K108" s="793"/>
      <c r="L108" s="793"/>
      <c r="M108" s="793"/>
      <c r="N108" s="793"/>
      <c r="O108" s="793"/>
      <c r="P108" s="793"/>
      <c r="Q108" s="793"/>
      <c r="R108" s="793"/>
      <c r="S108" s="793"/>
      <c r="T108" s="793"/>
      <c r="U108" s="773">
        <f t="shared" si="4"/>
        <v>95</v>
      </c>
      <c r="V108" s="794"/>
      <c r="W108" s="793"/>
      <c r="X108" s="793"/>
      <c r="Y108" s="793"/>
      <c r="Z108" s="793"/>
      <c r="AA108" s="793"/>
      <c r="AB108" s="793"/>
      <c r="AC108" s="793"/>
      <c r="AD108" s="793"/>
      <c r="AE108" s="793"/>
      <c r="AF108" s="793"/>
      <c r="AG108" s="777">
        <f t="shared" si="5"/>
        <v>0</v>
      </c>
    </row>
    <row r="109" spans="1:33">
      <c r="A109" s="770">
        <v>105</v>
      </c>
      <c r="B109" s="778" t="s">
        <v>825</v>
      </c>
      <c r="C109" s="790"/>
      <c r="D109" s="793"/>
      <c r="E109" s="793"/>
      <c r="F109" s="793"/>
      <c r="G109" s="793"/>
      <c r="H109" s="793"/>
      <c r="I109" s="793"/>
      <c r="J109" s="793"/>
      <c r="K109" s="793"/>
      <c r="L109" s="793"/>
      <c r="M109" s="793"/>
      <c r="N109" s="793"/>
      <c r="O109" s="793"/>
      <c r="P109" s="793"/>
      <c r="Q109" s="793"/>
      <c r="R109" s="793">
        <v>-95</v>
      </c>
      <c r="S109" s="793"/>
      <c r="T109" s="793"/>
      <c r="U109" s="773">
        <f t="shared" si="4"/>
        <v>-95</v>
      </c>
      <c r="V109" s="794"/>
      <c r="W109" s="793"/>
      <c r="X109" s="793"/>
      <c r="Y109" s="793"/>
      <c r="Z109" s="793"/>
      <c r="AA109" s="793"/>
      <c r="AB109" s="793"/>
      <c r="AC109" s="793"/>
      <c r="AD109" s="793"/>
      <c r="AE109" s="793"/>
      <c r="AF109" s="793"/>
      <c r="AG109" s="777">
        <f t="shared" si="5"/>
        <v>0</v>
      </c>
    </row>
    <row r="110" spans="1:33">
      <c r="A110" s="770">
        <v>106</v>
      </c>
      <c r="B110" s="778" t="s">
        <v>870</v>
      </c>
      <c r="C110" s="790" t="s">
        <v>811</v>
      </c>
      <c r="D110" s="793"/>
      <c r="E110" s="793"/>
      <c r="F110" s="793"/>
      <c r="G110" s="793"/>
      <c r="H110" s="793"/>
      <c r="I110" s="793"/>
      <c r="J110" s="793">
        <v>494</v>
      </c>
      <c r="K110" s="793"/>
      <c r="L110" s="793"/>
      <c r="M110" s="793"/>
      <c r="N110" s="793"/>
      <c r="O110" s="793"/>
      <c r="P110" s="793"/>
      <c r="Q110" s="793"/>
      <c r="R110" s="793"/>
      <c r="S110" s="793"/>
      <c r="T110" s="793"/>
      <c r="U110" s="773">
        <f t="shared" si="4"/>
        <v>494</v>
      </c>
      <c r="V110" s="794"/>
      <c r="W110" s="793"/>
      <c r="X110" s="793"/>
      <c r="Y110" s="793"/>
      <c r="Z110" s="793"/>
      <c r="AA110" s="793"/>
      <c r="AB110" s="793"/>
      <c r="AC110" s="793"/>
      <c r="AD110" s="793"/>
      <c r="AE110" s="793"/>
      <c r="AF110" s="793"/>
      <c r="AG110" s="777">
        <f t="shared" si="5"/>
        <v>0</v>
      </c>
    </row>
    <row r="111" spans="1:33">
      <c r="A111" s="770">
        <v>107</v>
      </c>
      <c r="B111" s="778" t="s">
        <v>825</v>
      </c>
      <c r="C111" s="790"/>
      <c r="D111" s="793"/>
      <c r="E111" s="793"/>
      <c r="F111" s="793"/>
      <c r="G111" s="793"/>
      <c r="H111" s="793"/>
      <c r="I111" s="793"/>
      <c r="J111" s="793"/>
      <c r="K111" s="793"/>
      <c r="L111" s="793"/>
      <c r="M111" s="793"/>
      <c r="N111" s="793"/>
      <c r="O111" s="793"/>
      <c r="P111" s="793"/>
      <c r="Q111" s="793"/>
      <c r="R111" s="793">
        <v>-494</v>
      </c>
      <c r="S111" s="793"/>
      <c r="T111" s="793"/>
      <c r="U111" s="773">
        <f t="shared" si="4"/>
        <v>-494</v>
      </c>
      <c r="V111" s="794"/>
      <c r="W111" s="793"/>
      <c r="X111" s="793"/>
      <c r="Y111" s="793"/>
      <c r="Z111" s="793"/>
      <c r="AA111" s="793"/>
      <c r="AB111" s="793"/>
      <c r="AC111" s="793"/>
      <c r="AD111" s="793"/>
      <c r="AE111" s="793"/>
      <c r="AF111" s="793"/>
      <c r="AG111" s="777">
        <f t="shared" si="5"/>
        <v>0</v>
      </c>
    </row>
    <row r="112" spans="1:33">
      <c r="A112" s="770">
        <v>108</v>
      </c>
      <c r="B112" s="778" t="s">
        <v>871</v>
      </c>
      <c r="C112" s="790" t="s">
        <v>872</v>
      </c>
      <c r="D112" s="793"/>
      <c r="E112" s="793"/>
      <c r="F112" s="793"/>
      <c r="G112" s="793"/>
      <c r="H112" s="793"/>
      <c r="I112" s="793">
        <v>100</v>
      </c>
      <c r="J112" s="793"/>
      <c r="K112" s="793"/>
      <c r="L112" s="793"/>
      <c r="M112" s="793"/>
      <c r="N112" s="793"/>
      <c r="O112" s="793"/>
      <c r="P112" s="793"/>
      <c r="Q112" s="793"/>
      <c r="R112" s="793"/>
      <c r="S112" s="793"/>
      <c r="T112" s="793"/>
      <c r="U112" s="773">
        <f t="shared" si="4"/>
        <v>100</v>
      </c>
      <c r="V112" s="794"/>
      <c r="W112" s="793"/>
      <c r="X112" s="793"/>
      <c r="Y112" s="793"/>
      <c r="Z112" s="793"/>
      <c r="AA112" s="793"/>
      <c r="AB112" s="793"/>
      <c r="AC112" s="793"/>
      <c r="AD112" s="793"/>
      <c r="AE112" s="793"/>
      <c r="AF112" s="793"/>
      <c r="AG112" s="777">
        <f t="shared" si="5"/>
        <v>0</v>
      </c>
    </row>
    <row r="113" spans="1:33">
      <c r="A113" s="770">
        <v>109</v>
      </c>
      <c r="B113" s="778" t="s">
        <v>812</v>
      </c>
      <c r="C113" s="790"/>
      <c r="D113" s="793"/>
      <c r="E113" s="793"/>
      <c r="F113" s="793"/>
      <c r="G113" s="793"/>
      <c r="H113" s="793"/>
      <c r="I113" s="793"/>
      <c r="J113" s="793"/>
      <c r="K113" s="793"/>
      <c r="L113" s="793"/>
      <c r="M113" s="793"/>
      <c r="N113" s="793"/>
      <c r="O113" s="793"/>
      <c r="P113" s="793">
        <v>-100</v>
      </c>
      <c r="Q113" s="793"/>
      <c r="R113" s="793"/>
      <c r="S113" s="793"/>
      <c r="T113" s="793"/>
      <c r="U113" s="773">
        <f t="shared" si="4"/>
        <v>-100</v>
      </c>
      <c r="V113" s="794"/>
      <c r="W113" s="793"/>
      <c r="X113" s="793"/>
      <c r="Y113" s="793"/>
      <c r="Z113" s="793"/>
      <c r="AA113" s="793"/>
      <c r="AB113" s="793"/>
      <c r="AC113" s="793"/>
      <c r="AD113" s="793"/>
      <c r="AE113" s="793"/>
      <c r="AF113" s="793"/>
      <c r="AG113" s="777">
        <f t="shared" si="5"/>
        <v>0</v>
      </c>
    </row>
    <row r="114" spans="1:33">
      <c r="A114" s="770">
        <v>110</v>
      </c>
      <c r="B114" s="778" t="s">
        <v>873</v>
      </c>
      <c r="C114" s="790" t="s">
        <v>830</v>
      </c>
      <c r="D114" s="793"/>
      <c r="E114" s="793"/>
      <c r="F114" s="793"/>
      <c r="G114" s="793"/>
      <c r="H114" s="793"/>
      <c r="I114" s="793"/>
      <c r="J114" s="793">
        <v>565</v>
      </c>
      <c r="K114" s="793"/>
      <c r="L114" s="793"/>
      <c r="M114" s="793"/>
      <c r="N114" s="793"/>
      <c r="O114" s="793"/>
      <c r="P114" s="793"/>
      <c r="Q114" s="793"/>
      <c r="R114" s="793"/>
      <c r="S114" s="793"/>
      <c r="T114" s="793"/>
      <c r="U114" s="773">
        <f t="shared" si="4"/>
        <v>565</v>
      </c>
      <c r="V114" s="794"/>
      <c r="W114" s="793"/>
      <c r="X114" s="793"/>
      <c r="Y114" s="793"/>
      <c r="Z114" s="793"/>
      <c r="AA114" s="793"/>
      <c r="AB114" s="793"/>
      <c r="AC114" s="793"/>
      <c r="AD114" s="793"/>
      <c r="AE114" s="793"/>
      <c r="AF114" s="793"/>
      <c r="AG114" s="777">
        <f t="shared" si="5"/>
        <v>0</v>
      </c>
    </row>
    <row r="115" spans="1:33">
      <c r="A115" s="770">
        <v>111</v>
      </c>
      <c r="B115" s="778" t="s">
        <v>825</v>
      </c>
      <c r="C115" s="790"/>
      <c r="D115" s="793"/>
      <c r="E115" s="793"/>
      <c r="F115" s="793"/>
      <c r="G115" s="793"/>
      <c r="H115" s="793"/>
      <c r="I115" s="793"/>
      <c r="J115" s="793"/>
      <c r="K115" s="793"/>
      <c r="L115" s="793"/>
      <c r="M115" s="793"/>
      <c r="N115" s="793"/>
      <c r="O115" s="793"/>
      <c r="P115" s="793"/>
      <c r="Q115" s="793"/>
      <c r="R115" s="793">
        <v>-565</v>
      </c>
      <c r="S115" s="793"/>
      <c r="T115" s="793"/>
      <c r="U115" s="773">
        <f t="shared" si="4"/>
        <v>-565</v>
      </c>
      <c r="V115" s="794"/>
      <c r="W115" s="793"/>
      <c r="X115" s="793"/>
      <c r="Y115" s="793"/>
      <c r="Z115" s="793"/>
      <c r="AA115" s="793"/>
      <c r="AB115" s="793"/>
      <c r="AC115" s="793"/>
      <c r="AD115" s="793"/>
      <c r="AE115" s="793"/>
      <c r="AF115" s="793"/>
      <c r="AG115" s="777">
        <f t="shared" si="5"/>
        <v>0</v>
      </c>
    </row>
    <row r="116" spans="1:33">
      <c r="A116" s="770">
        <v>112</v>
      </c>
      <c r="B116" s="778" t="s">
        <v>874</v>
      </c>
      <c r="C116" s="790" t="s">
        <v>512</v>
      </c>
      <c r="D116" s="793"/>
      <c r="E116" s="793"/>
      <c r="F116" s="793"/>
      <c r="G116" s="793"/>
      <c r="H116" s="793"/>
      <c r="I116" s="793"/>
      <c r="J116" s="793"/>
      <c r="K116" s="793"/>
      <c r="L116" s="793"/>
      <c r="M116" s="793"/>
      <c r="N116" s="793"/>
      <c r="O116" s="793"/>
      <c r="P116" s="793"/>
      <c r="Q116" s="793"/>
      <c r="R116" s="793"/>
      <c r="S116" s="793"/>
      <c r="T116" s="793"/>
      <c r="U116" s="773">
        <f t="shared" si="4"/>
        <v>0</v>
      </c>
      <c r="V116" s="794"/>
      <c r="W116" s="793"/>
      <c r="X116" s="793"/>
      <c r="Y116" s="793">
        <v>179</v>
      </c>
      <c r="Z116" s="793"/>
      <c r="AA116" s="793"/>
      <c r="AB116" s="793"/>
      <c r="AC116" s="793"/>
      <c r="AD116" s="793"/>
      <c r="AE116" s="793"/>
      <c r="AF116" s="793"/>
      <c r="AG116" s="777">
        <f t="shared" si="5"/>
        <v>179</v>
      </c>
    </row>
    <row r="117" spans="1:33">
      <c r="A117" s="770">
        <v>113</v>
      </c>
      <c r="B117" s="778" t="s">
        <v>875</v>
      </c>
      <c r="C117" s="790" t="s">
        <v>807</v>
      </c>
      <c r="D117" s="793"/>
      <c r="E117" s="793"/>
      <c r="F117" s="793"/>
      <c r="G117" s="793"/>
      <c r="H117" s="793"/>
      <c r="I117" s="793"/>
      <c r="J117" s="793"/>
      <c r="K117" s="793"/>
      <c r="L117" s="793"/>
      <c r="M117" s="793"/>
      <c r="N117" s="793">
        <v>179</v>
      </c>
      <c r="O117" s="793"/>
      <c r="P117" s="793"/>
      <c r="Q117" s="793"/>
      <c r="R117" s="793"/>
      <c r="S117" s="793"/>
      <c r="T117" s="793"/>
      <c r="U117" s="773">
        <f t="shared" si="4"/>
        <v>179</v>
      </c>
      <c r="V117" s="794"/>
      <c r="W117" s="793"/>
      <c r="X117" s="793"/>
      <c r="Y117" s="793"/>
      <c r="Z117" s="793"/>
      <c r="AA117" s="793"/>
      <c r="AB117" s="793"/>
      <c r="AC117" s="793"/>
      <c r="AD117" s="793"/>
      <c r="AE117" s="793"/>
      <c r="AF117" s="793"/>
      <c r="AG117" s="777">
        <f t="shared" si="5"/>
        <v>0</v>
      </c>
    </row>
    <row r="118" spans="1:33">
      <c r="A118" s="770">
        <v>114</v>
      </c>
      <c r="B118" s="778" t="s">
        <v>876</v>
      </c>
      <c r="C118" s="790" t="s">
        <v>811</v>
      </c>
      <c r="D118" s="793"/>
      <c r="E118" s="793"/>
      <c r="F118" s="793">
        <v>385</v>
      </c>
      <c r="G118" s="793"/>
      <c r="H118" s="793"/>
      <c r="I118" s="793"/>
      <c r="J118" s="793"/>
      <c r="K118" s="793"/>
      <c r="L118" s="793"/>
      <c r="M118" s="793"/>
      <c r="N118" s="793"/>
      <c r="O118" s="793"/>
      <c r="P118" s="793"/>
      <c r="Q118" s="793"/>
      <c r="R118" s="793"/>
      <c r="S118" s="793"/>
      <c r="T118" s="793"/>
      <c r="U118" s="773">
        <f t="shared" si="4"/>
        <v>385</v>
      </c>
      <c r="V118" s="794"/>
      <c r="W118" s="793"/>
      <c r="X118" s="793"/>
      <c r="Y118" s="793"/>
      <c r="Z118" s="793"/>
      <c r="AA118" s="793"/>
      <c r="AB118" s="793"/>
      <c r="AC118" s="793"/>
      <c r="AD118" s="793"/>
      <c r="AE118" s="793"/>
      <c r="AF118" s="793"/>
      <c r="AG118" s="777">
        <f t="shared" si="5"/>
        <v>0</v>
      </c>
    </row>
    <row r="119" spans="1:33">
      <c r="A119" s="770">
        <v>115</v>
      </c>
      <c r="B119" s="778" t="s">
        <v>825</v>
      </c>
      <c r="C119" s="790"/>
      <c r="D119" s="793"/>
      <c r="E119" s="793"/>
      <c r="F119" s="793"/>
      <c r="G119" s="793"/>
      <c r="H119" s="793"/>
      <c r="I119" s="793"/>
      <c r="J119" s="793"/>
      <c r="K119" s="793"/>
      <c r="L119" s="793"/>
      <c r="M119" s="793"/>
      <c r="N119" s="793"/>
      <c r="O119" s="793"/>
      <c r="P119" s="793"/>
      <c r="Q119" s="793"/>
      <c r="R119" s="793">
        <v>-385</v>
      </c>
      <c r="S119" s="793"/>
      <c r="T119" s="793"/>
      <c r="U119" s="773">
        <f t="shared" si="4"/>
        <v>-385</v>
      </c>
      <c r="V119" s="794"/>
      <c r="W119" s="793"/>
      <c r="X119" s="793"/>
      <c r="Y119" s="793"/>
      <c r="Z119" s="793"/>
      <c r="AA119" s="793"/>
      <c r="AB119" s="793"/>
      <c r="AC119" s="793"/>
      <c r="AD119" s="793"/>
      <c r="AE119" s="793"/>
      <c r="AF119" s="793"/>
      <c r="AG119" s="777">
        <f t="shared" si="5"/>
        <v>0</v>
      </c>
    </row>
    <row r="120" spans="1:33">
      <c r="A120" s="770">
        <v>116</v>
      </c>
      <c r="B120" s="778" t="s">
        <v>855</v>
      </c>
      <c r="C120" s="790" t="s">
        <v>811</v>
      </c>
      <c r="D120" s="793"/>
      <c r="E120" s="793"/>
      <c r="F120" s="793">
        <v>33</v>
      </c>
      <c r="G120" s="793"/>
      <c r="H120" s="793"/>
      <c r="I120" s="793"/>
      <c r="J120" s="793"/>
      <c r="K120" s="793"/>
      <c r="L120" s="793"/>
      <c r="M120" s="793"/>
      <c r="N120" s="793"/>
      <c r="O120" s="793"/>
      <c r="P120" s="793"/>
      <c r="Q120" s="793"/>
      <c r="R120" s="793"/>
      <c r="S120" s="793"/>
      <c r="T120" s="793"/>
      <c r="U120" s="773">
        <f t="shared" si="4"/>
        <v>33</v>
      </c>
      <c r="V120" s="794"/>
      <c r="W120" s="793"/>
      <c r="X120" s="793"/>
      <c r="Y120" s="793"/>
      <c r="Z120" s="793"/>
      <c r="AA120" s="793"/>
      <c r="AB120" s="793"/>
      <c r="AC120" s="793"/>
      <c r="AD120" s="793"/>
      <c r="AE120" s="793"/>
      <c r="AF120" s="793"/>
      <c r="AG120" s="777">
        <f t="shared" si="5"/>
        <v>0</v>
      </c>
    </row>
    <row r="121" spans="1:33">
      <c r="A121" s="770">
        <v>117</v>
      </c>
      <c r="B121" s="778" t="s">
        <v>877</v>
      </c>
      <c r="C121" s="790" t="s">
        <v>811</v>
      </c>
      <c r="D121" s="793"/>
      <c r="E121" s="793"/>
      <c r="F121" s="793">
        <v>2</v>
      </c>
      <c r="G121" s="793"/>
      <c r="H121" s="793"/>
      <c r="I121" s="793"/>
      <c r="J121" s="793"/>
      <c r="K121" s="793"/>
      <c r="L121" s="793"/>
      <c r="M121" s="793"/>
      <c r="N121" s="793"/>
      <c r="O121" s="793"/>
      <c r="P121" s="793"/>
      <c r="Q121" s="793"/>
      <c r="R121" s="793"/>
      <c r="S121" s="793"/>
      <c r="T121" s="793"/>
      <c r="U121" s="773">
        <f t="shared" si="4"/>
        <v>2</v>
      </c>
      <c r="V121" s="794"/>
      <c r="W121" s="793"/>
      <c r="X121" s="793"/>
      <c r="Y121" s="793"/>
      <c r="Z121" s="793"/>
      <c r="AA121" s="793"/>
      <c r="AB121" s="793"/>
      <c r="AC121" s="793"/>
      <c r="AD121" s="793"/>
      <c r="AE121" s="793"/>
      <c r="AF121" s="793"/>
      <c r="AG121" s="777">
        <f t="shared" si="5"/>
        <v>0</v>
      </c>
    </row>
    <row r="122" spans="1:33">
      <c r="A122" s="770">
        <v>118</v>
      </c>
      <c r="B122" s="778" t="s">
        <v>825</v>
      </c>
      <c r="C122" s="790"/>
      <c r="D122" s="793"/>
      <c r="E122" s="793"/>
      <c r="F122" s="793"/>
      <c r="G122" s="793"/>
      <c r="H122" s="793"/>
      <c r="I122" s="793"/>
      <c r="J122" s="793"/>
      <c r="K122" s="793"/>
      <c r="L122" s="793"/>
      <c r="M122" s="793"/>
      <c r="N122" s="793"/>
      <c r="O122" s="793"/>
      <c r="P122" s="793"/>
      <c r="Q122" s="793"/>
      <c r="R122" s="793">
        <v>-35</v>
      </c>
      <c r="S122" s="793"/>
      <c r="T122" s="793"/>
      <c r="U122" s="773">
        <f t="shared" si="4"/>
        <v>-35</v>
      </c>
      <c r="V122" s="794"/>
      <c r="W122" s="793"/>
      <c r="X122" s="793"/>
      <c r="Y122" s="793"/>
      <c r="Z122" s="793"/>
      <c r="AA122" s="793"/>
      <c r="AB122" s="793"/>
      <c r="AC122" s="793"/>
      <c r="AD122" s="793"/>
      <c r="AE122" s="793"/>
      <c r="AF122" s="793"/>
      <c r="AG122" s="777">
        <f t="shared" si="5"/>
        <v>0</v>
      </c>
    </row>
    <row r="123" spans="1:33">
      <c r="A123" s="770">
        <v>119</v>
      </c>
      <c r="B123" s="778" t="s">
        <v>878</v>
      </c>
      <c r="C123" s="790" t="s">
        <v>811</v>
      </c>
      <c r="D123" s="793"/>
      <c r="E123" s="793"/>
      <c r="F123" s="793">
        <v>-150</v>
      </c>
      <c r="G123" s="793"/>
      <c r="H123" s="793"/>
      <c r="I123" s="793"/>
      <c r="J123" s="793"/>
      <c r="K123" s="793"/>
      <c r="L123" s="793"/>
      <c r="M123" s="793"/>
      <c r="N123" s="793"/>
      <c r="O123" s="793"/>
      <c r="P123" s="793"/>
      <c r="Q123" s="793"/>
      <c r="R123" s="793"/>
      <c r="S123" s="793"/>
      <c r="T123" s="793"/>
      <c r="U123" s="773">
        <f t="shared" si="4"/>
        <v>-150</v>
      </c>
      <c r="V123" s="794"/>
      <c r="W123" s="793"/>
      <c r="X123" s="793"/>
      <c r="Y123" s="793"/>
      <c r="Z123" s="793"/>
      <c r="AA123" s="793"/>
      <c r="AB123" s="793"/>
      <c r="AC123" s="793"/>
      <c r="AD123" s="793"/>
      <c r="AE123" s="793"/>
      <c r="AF123" s="793"/>
      <c r="AG123" s="777">
        <f t="shared" si="5"/>
        <v>0</v>
      </c>
    </row>
    <row r="124" spans="1:33">
      <c r="A124" s="770">
        <v>120</v>
      </c>
      <c r="B124" s="778" t="s">
        <v>878</v>
      </c>
      <c r="C124" s="790" t="s">
        <v>512</v>
      </c>
      <c r="D124" s="793"/>
      <c r="E124" s="793"/>
      <c r="F124" s="793">
        <v>150</v>
      </c>
      <c r="G124" s="793"/>
      <c r="H124" s="793"/>
      <c r="I124" s="793"/>
      <c r="J124" s="793"/>
      <c r="K124" s="793"/>
      <c r="L124" s="793"/>
      <c r="M124" s="793"/>
      <c r="N124" s="789"/>
      <c r="O124" s="789"/>
      <c r="P124" s="789"/>
      <c r="Q124" s="789"/>
      <c r="R124" s="789"/>
      <c r="S124" s="789"/>
      <c r="T124" s="793"/>
      <c r="U124" s="773">
        <f t="shared" si="4"/>
        <v>150</v>
      </c>
      <c r="V124" s="794"/>
      <c r="W124" s="793"/>
      <c r="X124" s="793"/>
      <c r="Y124" s="793"/>
      <c r="Z124" s="793"/>
      <c r="AA124" s="793"/>
      <c r="AB124" s="793"/>
      <c r="AC124" s="793"/>
      <c r="AD124" s="793"/>
      <c r="AE124" s="793"/>
      <c r="AF124" s="793"/>
      <c r="AG124" s="777">
        <f t="shared" si="5"/>
        <v>0</v>
      </c>
    </row>
    <row r="125" spans="1:33">
      <c r="A125" s="770">
        <v>121</v>
      </c>
      <c r="B125" s="778" t="s">
        <v>879</v>
      </c>
      <c r="C125" s="790" t="s">
        <v>811</v>
      </c>
      <c r="D125" s="793"/>
      <c r="E125" s="793"/>
      <c r="F125" s="793"/>
      <c r="G125" s="793"/>
      <c r="H125" s="793"/>
      <c r="I125" s="793"/>
      <c r="J125" s="793">
        <v>1156</v>
      </c>
      <c r="K125" s="793"/>
      <c r="L125" s="793"/>
      <c r="M125" s="793"/>
      <c r="N125" s="789"/>
      <c r="O125" s="789"/>
      <c r="P125" s="789"/>
      <c r="Q125" s="789"/>
      <c r="R125" s="789"/>
      <c r="S125" s="789"/>
      <c r="T125" s="793"/>
      <c r="U125" s="773">
        <f t="shared" si="4"/>
        <v>1156</v>
      </c>
      <c r="V125" s="794"/>
      <c r="W125" s="793"/>
      <c r="X125" s="793"/>
      <c r="Y125" s="793"/>
      <c r="Z125" s="793"/>
      <c r="AA125" s="793"/>
      <c r="AB125" s="793"/>
      <c r="AC125" s="793"/>
      <c r="AD125" s="793"/>
      <c r="AE125" s="793"/>
      <c r="AF125" s="793"/>
      <c r="AG125" s="777">
        <f t="shared" si="5"/>
        <v>0</v>
      </c>
    </row>
    <row r="126" spans="1:33">
      <c r="A126" s="770">
        <v>122</v>
      </c>
      <c r="B126" s="778" t="s">
        <v>825</v>
      </c>
      <c r="C126" s="790"/>
      <c r="D126" s="793"/>
      <c r="E126" s="793"/>
      <c r="F126" s="793"/>
      <c r="G126" s="793"/>
      <c r="H126" s="793"/>
      <c r="I126" s="793"/>
      <c r="J126" s="793"/>
      <c r="K126" s="793"/>
      <c r="L126" s="793"/>
      <c r="M126" s="793"/>
      <c r="N126" s="789"/>
      <c r="O126" s="789"/>
      <c r="P126" s="789"/>
      <c r="Q126" s="789"/>
      <c r="R126" s="789">
        <v>-1156</v>
      </c>
      <c r="S126" s="789"/>
      <c r="T126" s="793"/>
      <c r="U126" s="773">
        <f t="shared" si="4"/>
        <v>-1156</v>
      </c>
      <c r="V126" s="794"/>
      <c r="W126" s="793"/>
      <c r="X126" s="793"/>
      <c r="Y126" s="793"/>
      <c r="Z126" s="793"/>
      <c r="AA126" s="793"/>
      <c r="AB126" s="793"/>
      <c r="AC126" s="793"/>
      <c r="AD126" s="793"/>
      <c r="AE126" s="793"/>
      <c r="AF126" s="793"/>
      <c r="AG126" s="777">
        <f t="shared" si="5"/>
        <v>0</v>
      </c>
    </row>
    <row r="127" spans="1:33">
      <c r="A127" s="770">
        <v>123</v>
      </c>
      <c r="B127" s="778" t="s">
        <v>880</v>
      </c>
      <c r="C127" s="790" t="s">
        <v>854</v>
      </c>
      <c r="D127" s="793"/>
      <c r="E127" s="793"/>
      <c r="F127" s="793"/>
      <c r="G127" s="793"/>
      <c r="H127" s="793"/>
      <c r="I127" s="793"/>
      <c r="J127" s="793">
        <v>55</v>
      </c>
      <c r="K127" s="793"/>
      <c r="L127" s="793"/>
      <c r="M127" s="793"/>
      <c r="N127" s="789"/>
      <c r="O127" s="789"/>
      <c r="P127" s="789"/>
      <c r="Q127" s="789"/>
      <c r="R127" s="789"/>
      <c r="S127" s="789"/>
      <c r="T127" s="793"/>
      <c r="U127" s="773">
        <f t="shared" si="4"/>
        <v>55</v>
      </c>
      <c r="V127" s="794"/>
      <c r="W127" s="793"/>
      <c r="X127" s="793"/>
      <c r="Y127" s="793"/>
      <c r="Z127" s="793"/>
      <c r="AA127" s="793"/>
      <c r="AB127" s="793"/>
      <c r="AC127" s="793"/>
      <c r="AD127" s="793"/>
      <c r="AE127" s="793"/>
      <c r="AF127" s="793"/>
      <c r="AG127" s="777">
        <f t="shared" si="5"/>
        <v>0</v>
      </c>
    </row>
    <row r="128" spans="1:33">
      <c r="A128" s="770">
        <v>124</v>
      </c>
      <c r="B128" s="778" t="s">
        <v>825</v>
      </c>
      <c r="C128" s="790"/>
      <c r="D128" s="793"/>
      <c r="E128" s="793"/>
      <c r="F128" s="793"/>
      <c r="G128" s="793"/>
      <c r="H128" s="793"/>
      <c r="I128" s="793"/>
      <c r="J128" s="793"/>
      <c r="K128" s="793"/>
      <c r="L128" s="793"/>
      <c r="M128" s="793"/>
      <c r="N128" s="789"/>
      <c r="O128" s="789"/>
      <c r="P128" s="789"/>
      <c r="Q128" s="789"/>
      <c r="R128" s="789">
        <v>-55</v>
      </c>
      <c r="S128" s="789"/>
      <c r="T128" s="793"/>
      <c r="U128" s="773">
        <f t="shared" si="4"/>
        <v>-55</v>
      </c>
      <c r="V128" s="774"/>
      <c r="W128" s="793"/>
      <c r="X128" s="793"/>
      <c r="Y128" s="793"/>
      <c r="Z128" s="793"/>
      <c r="AA128" s="793"/>
      <c r="AB128" s="793"/>
      <c r="AC128" s="793"/>
      <c r="AD128" s="793"/>
      <c r="AE128" s="793"/>
      <c r="AF128" s="793"/>
      <c r="AG128" s="777">
        <f t="shared" si="5"/>
        <v>0</v>
      </c>
    </row>
    <row r="129" spans="1:33">
      <c r="A129" s="770">
        <v>125</v>
      </c>
      <c r="B129" s="778" t="s">
        <v>878</v>
      </c>
      <c r="C129" s="790" t="s">
        <v>811</v>
      </c>
      <c r="D129" s="793"/>
      <c r="E129" s="793"/>
      <c r="F129" s="793">
        <v>-10</v>
      </c>
      <c r="G129" s="793"/>
      <c r="H129" s="793"/>
      <c r="I129" s="793"/>
      <c r="J129" s="793"/>
      <c r="K129" s="793"/>
      <c r="L129" s="793"/>
      <c r="M129" s="793"/>
      <c r="N129" s="789"/>
      <c r="O129" s="789"/>
      <c r="P129" s="789"/>
      <c r="Q129" s="789"/>
      <c r="R129" s="789"/>
      <c r="S129" s="789"/>
      <c r="T129" s="793"/>
      <c r="U129" s="773">
        <f t="shared" si="4"/>
        <v>-10</v>
      </c>
      <c r="V129" s="774"/>
      <c r="W129" s="793"/>
      <c r="X129" s="793"/>
      <c r="Y129" s="793"/>
      <c r="Z129" s="793"/>
      <c r="AA129" s="793"/>
      <c r="AB129" s="793"/>
      <c r="AC129" s="793"/>
      <c r="AD129" s="793"/>
      <c r="AE129" s="793"/>
      <c r="AF129" s="793"/>
      <c r="AG129" s="777">
        <f t="shared" si="5"/>
        <v>0</v>
      </c>
    </row>
    <row r="130" spans="1:33">
      <c r="A130" s="770">
        <v>126</v>
      </c>
      <c r="B130" s="778" t="s">
        <v>878</v>
      </c>
      <c r="C130" s="790" t="s">
        <v>512</v>
      </c>
      <c r="D130" s="793"/>
      <c r="E130" s="793"/>
      <c r="F130" s="793">
        <v>10</v>
      </c>
      <c r="G130" s="793"/>
      <c r="H130" s="793"/>
      <c r="I130" s="793"/>
      <c r="J130" s="793"/>
      <c r="K130" s="793"/>
      <c r="L130" s="793"/>
      <c r="M130" s="793"/>
      <c r="N130" s="789"/>
      <c r="O130" s="789"/>
      <c r="P130" s="789"/>
      <c r="Q130" s="789"/>
      <c r="R130" s="789"/>
      <c r="S130" s="789"/>
      <c r="T130" s="793"/>
      <c r="U130" s="773">
        <f t="shared" si="4"/>
        <v>10</v>
      </c>
      <c r="V130" s="774"/>
      <c r="W130" s="793"/>
      <c r="X130" s="793"/>
      <c r="Y130" s="793"/>
      <c r="Z130" s="793"/>
      <c r="AA130" s="793"/>
      <c r="AB130" s="793"/>
      <c r="AC130" s="793"/>
      <c r="AD130" s="793"/>
      <c r="AE130" s="793"/>
      <c r="AF130" s="793"/>
      <c r="AG130" s="777">
        <f t="shared" si="5"/>
        <v>0</v>
      </c>
    </row>
    <row r="131" spans="1:33">
      <c r="A131" s="770">
        <v>127</v>
      </c>
      <c r="B131" s="778" t="s">
        <v>881</v>
      </c>
      <c r="C131" s="790" t="s">
        <v>512</v>
      </c>
      <c r="D131" s="793"/>
      <c r="E131" s="793"/>
      <c r="F131" s="793">
        <v>127</v>
      </c>
      <c r="G131" s="793"/>
      <c r="H131" s="793"/>
      <c r="I131" s="793"/>
      <c r="J131" s="793"/>
      <c r="K131" s="793"/>
      <c r="L131" s="793"/>
      <c r="M131" s="793"/>
      <c r="N131" s="789"/>
      <c r="O131" s="789"/>
      <c r="P131" s="789"/>
      <c r="Q131" s="789"/>
      <c r="R131" s="789"/>
      <c r="S131" s="789"/>
      <c r="T131" s="793"/>
      <c r="U131" s="773">
        <f t="shared" si="4"/>
        <v>127</v>
      </c>
      <c r="V131" s="774"/>
      <c r="W131" s="793"/>
      <c r="X131" s="793"/>
      <c r="Y131" s="793"/>
      <c r="Z131" s="793"/>
      <c r="AA131" s="793"/>
      <c r="AB131" s="793"/>
      <c r="AC131" s="793"/>
      <c r="AD131" s="793"/>
      <c r="AE131" s="793"/>
      <c r="AF131" s="793"/>
      <c r="AG131" s="777">
        <f t="shared" si="5"/>
        <v>0</v>
      </c>
    </row>
    <row r="132" spans="1:33">
      <c r="A132" s="770">
        <v>128</v>
      </c>
      <c r="B132" s="778" t="s">
        <v>816</v>
      </c>
      <c r="C132" s="790"/>
      <c r="D132" s="793"/>
      <c r="E132" s="793"/>
      <c r="F132" s="793"/>
      <c r="G132" s="793"/>
      <c r="H132" s="793"/>
      <c r="I132" s="793"/>
      <c r="J132" s="793"/>
      <c r="K132" s="793"/>
      <c r="L132" s="793"/>
      <c r="M132" s="793"/>
      <c r="N132" s="789"/>
      <c r="O132" s="789"/>
      <c r="P132" s="789"/>
      <c r="Q132" s="789"/>
      <c r="R132" s="789"/>
      <c r="S132" s="789"/>
      <c r="T132" s="793">
        <v>-127</v>
      </c>
      <c r="U132" s="773">
        <f t="shared" si="4"/>
        <v>-127</v>
      </c>
      <c r="V132" s="774"/>
      <c r="W132" s="793"/>
      <c r="X132" s="793"/>
      <c r="Y132" s="793"/>
      <c r="Z132" s="793"/>
      <c r="AA132" s="793"/>
      <c r="AB132" s="793"/>
      <c r="AC132" s="793"/>
      <c r="AD132" s="793"/>
      <c r="AE132" s="793"/>
      <c r="AF132" s="793"/>
      <c r="AG132" s="777">
        <f t="shared" si="5"/>
        <v>0</v>
      </c>
    </row>
    <row r="133" spans="1:33">
      <c r="A133" s="770">
        <v>129</v>
      </c>
      <c r="B133" s="778" t="s">
        <v>882</v>
      </c>
      <c r="C133" s="790" t="s">
        <v>811</v>
      </c>
      <c r="D133" s="793"/>
      <c r="E133" s="793"/>
      <c r="F133" s="793"/>
      <c r="G133" s="793"/>
      <c r="H133" s="793"/>
      <c r="I133" s="793"/>
      <c r="J133" s="793">
        <v>1499</v>
      </c>
      <c r="K133" s="793"/>
      <c r="L133" s="793"/>
      <c r="M133" s="793"/>
      <c r="N133" s="789"/>
      <c r="O133" s="789"/>
      <c r="P133" s="789"/>
      <c r="Q133" s="789"/>
      <c r="R133" s="789"/>
      <c r="S133" s="789"/>
      <c r="T133" s="793"/>
      <c r="U133" s="773">
        <f t="shared" si="4"/>
        <v>1499</v>
      </c>
      <c r="V133" s="794"/>
      <c r="W133" s="793"/>
      <c r="X133" s="793"/>
      <c r="Y133" s="793"/>
      <c r="Z133" s="793"/>
      <c r="AA133" s="793"/>
      <c r="AB133" s="793"/>
      <c r="AC133" s="793"/>
      <c r="AD133" s="793"/>
      <c r="AE133" s="793"/>
      <c r="AF133" s="793"/>
      <c r="AG133" s="777">
        <f t="shared" si="5"/>
        <v>0</v>
      </c>
    </row>
    <row r="134" spans="1:33">
      <c r="A134" s="770">
        <v>130</v>
      </c>
      <c r="B134" s="778" t="s">
        <v>825</v>
      </c>
      <c r="C134" s="790"/>
      <c r="D134" s="793"/>
      <c r="E134" s="793"/>
      <c r="F134" s="793"/>
      <c r="G134" s="793"/>
      <c r="H134" s="793"/>
      <c r="I134" s="793"/>
      <c r="J134" s="793"/>
      <c r="K134" s="793"/>
      <c r="L134" s="793"/>
      <c r="M134" s="793"/>
      <c r="N134" s="789"/>
      <c r="O134" s="789"/>
      <c r="P134" s="789"/>
      <c r="Q134" s="789"/>
      <c r="R134" s="789">
        <v>-1499</v>
      </c>
      <c r="S134" s="789"/>
      <c r="T134" s="793"/>
      <c r="U134" s="773">
        <f t="shared" si="4"/>
        <v>-1499</v>
      </c>
      <c r="V134" s="794"/>
      <c r="W134" s="793"/>
      <c r="X134" s="793"/>
      <c r="Y134" s="793"/>
      <c r="Z134" s="793"/>
      <c r="AA134" s="793"/>
      <c r="AB134" s="793"/>
      <c r="AC134" s="793"/>
      <c r="AD134" s="793"/>
      <c r="AE134" s="793"/>
      <c r="AF134" s="793"/>
      <c r="AG134" s="777">
        <f t="shared" si="5"/>
        <v>0</v>
      </c>
    </row>
    <row r="135" spans="1:33">
      <c r="A135" s="770">
        <v>131</v>
      </c>
      <c r="B135" s="778" t="s">
        <v>883</v>
      </c>
      <c r="C135" s="790" t="s">
        <v>884</v>
      </c>
      <c r="D135" s="793"/>
      <c r="E135" s="793"/>
      <c r="F135" s="793"/>
      <c r="G135" s="793"/>
      <c r="H135" s="793"/>
      <c r="I135" s="793"/>
      <c r="J135" s="793">
        <v>1499</v>
      </c>
      <c r="K135" s="793"/>
      <c r="L135" s="793"/>
      <c r="M135" s="793"/>
      <c r="N135" s="793"/>
      <c r="O135" s="793"/>
      <c r="P135" s="793"/>
      <c r="Q135" s="793"/>
      <c r="R135" s="793"/>
      <c r="S135" s="793"/>
      <c r="T135" s="793"/>
      <c r="U135" s="773">
        <f t="shared" si="4"/>
        <v>1499</v>
      </c>
      <c r="V135" s="794"/>
      <c r="W135" s="793"/>
      <c r="X135" s="793"/>
      <c r="Y135" s="793"/>
      <c r="Z135" s="793"/>
      <c r="AA135" s="793"/>
      <c r="AB135" s="793"/>
      <c r="AC135" s="793"/>
      <c r="AD135" s="793"/>
      <c r="AE135" s="793"/>
      <c r="AF135" s="793"/>
      <c r="AG135" s="777">
        <f t="shared" si="5"/>
        <v>0</v>
      </c>
    </row>
    <row r="136" spans="1:33">
      <c r="A136" s="770">
        <v>132</v>
      </c>
      <c r="B136" s="778" t="s">
        <v>825</v>
      </c>
      <c r="C136" s="790"/>
      <c r="D136" s="793"/>
      <c r="E136" s="793"/>
      <c r="F136" s="793"/>
      <c r="G136" s="793"/>
      <c r="H136" s="793"/>
      <c r="I136" s="793"/>
      <c r="J136" s="793"/>
      <c r="K136" s="793"/>
      <c r="L136" s="793"/>
      <c r="M136" s="793"/>
      <c r="N136" s="793"/>
      <c r="O136" s="793"/>
      <c r="P136" s="793"/>
      <c r="Q136" s="793"/>
      <c r="R136" s="793">
        <v>-1499</v>
      </c>
      <c r="S136" s="793"/>
      <c r="T136" s="793"/>
      <c r="U136" s="773">
        <f t="shared" si="4"/>
        <v>-1499</v>
      </c>
      <c r="V136" s="794"/>
      <c r="W136" s="793"/>
      <c r="X136" s="793"/>
      <c r="Y136" s="793"/>
      <c r="Z136" s="793"/>
      <c r="AA136" s="793"/>
      <c r="AB136" s="793"/>
      <c r="AC136" s="793"/>
      <c r="AD136" s="793"/>
      <c r="AE136" s="793"/>
      <c r="AF136" s="793"/>
      <c r="AG136" s="777">
        <f t="shared" si="5"/>
        <v>0</v>
      </c>
    </row>
    <row r="137" spans="1:33">
      <c r="A137" s="770">
        <v>133</v>
      </c>
      <c r="B137" s="778" t="s">
        <v>885</v>
      </c>
      <c r="C137" s="790" t="s">
        <v>811</v>
      </c>
      <c r="D137" s="793"/>
      <c r="E137" s="793"/>
      <c r="F137" s="793">
        <v>98</v>
      </c>
      <c r="G137" s="793"/>
      <c r="H137" s="793"/>
      <c r="I137" s="793"/>
      <c r="J137" s="793"/>
      <c r="K137" s="793"/>
      <c r="L137" s="793"/>
      <c r="M137" s="793"/>
      <c r="N137" s="793"/>
      <c r="O137" s="793"/>
      <c r="P137" s="793"/>
      <c r="Q137" s="793"/>
      <c r="R137" s="793"/>
      <c r="S137" s="793"/>
      <c r="T137" s="793"/>
      <c r="U137" s="773">
        <f t="shared" si="4"/>
        <v>98</v>
      </c>
      <c r="V137" s="794"/>
      <c r="W137" s="793"/>
      <c r="X137" s="793"/>
      <c r="Y137" s="793"/>
      <c r="Z137" s="793"/>
      <c r="AA137" s="793"/>
      <c r="AB137" s="793"/>
      <c r="AC137" s="793"/>
      <c r="AD137" s="793"/>
      <c r="AE137" s="793"/>
      <c r="AF137" s="793"/>
      <c r="AG137" s="777">
        <f t="shared" si="5"/>
        <v>0</v>
      </c>
    </row>
    <row r="138" spans="1:33">
      <c r="A138" s="770">
        <v>134</v>
      </c>
      <c r="B138" s="778" t="s">
        <v>825</v>
      </c>
      <c r="C138" s="790"/>
      <c r="D138" s="793"/>
      <c r="E138" s="793"/>
      <c r="F138" s="793"/>
      <c r="G138" s="793"/>
      <c r="H138" s="793"/>
      <c r="I138" s="793"/>
      <c r="J138" s="793"/>
      <c r="K138" s="793"/>
      <c r="L138" s="793"/>
      <c r="M138" s="793"/>
      <c r="N138" s="793"/>
      <c r="O138" s="793"/>
      <c r="P138" s="793"/>
      <c r="Q138" s="793"/>
      <c r="R138" s="793">
        <v>-98</v>
      </c>
      <c r="S138" s="793"/>
      <c r="T138" s="793"/>
      <c r="U138" s="773">
        <f t="shared" si="4"/>
        <v>-98</v>
      </c>
      <c r="V138" s="794"/>
      <c r="W138" s="793"/>
      <c r="X138" s="793"/>
      <c r="Y138" s="793"/>
      <c r="Z138" s="793"/>
      <c r="AA138" s="793"/>
      <c r="AB138" s="793"/>
      <c r="AC138" s="793"/>
      <c r="AD138" s="793"/>
      <c r="AE138" s="793"/>
      <c r="AF138" s="793"/>
      <c r="AG138" s="777">
        <f t="shared" si="5"/>
        <v>0</v>
      </c>
    </row>
    <row r="139" spans="1:33">
      <c r="A139" s="770">
        <v>135</v>
      </c>
      <c r="B139" s="778" t="s">
        <v>886</v>
      </c>
      <c r="C139" s="790" t="s">
        <v>854</v>
      </c>
      <c r="D139" s="793"/>
      <c r="E139" s="793"/>
      <c r="F139" s="793"/>
      <c r="G139" s="793"/>
      <c r="H139" s="793"/>
      <c r="I139" s="793"/>
      <c r="J139" s="793">
        <v>2159</v>
      </c>
      <c r="K139" s="793"/>
      <c r="L139" s="793"/>
      <c r="M139" s="793"/>
      <c r="N139" s="793"/>
      <c r="O139" s="793"/>
      <c r="P139" s="793"/>
      <c r="Q139" s="793"/>
      <c r="R139" s="793"/>
      <c r="S139" s="793"/>
      <c r="T139" s="793"/>
      <c r="U139" s="773">
        <f t="shared" si="4"/>
        <v>2159</v>
      </c>
      <c r="V139" s="794"/>
      <c r="W139" s="793"/>
      <c r="X139" s="793"/>
      <c r="Y139" s="793"/>
      <c r="Z139" s="793"/>
      <c r="AA139" s="793"/>
      <c r="AB139" s="793"/>
      <c r="AC139" s="793"/>
      <c r="AD139" s="793"/>
      <c r="AE139" s="793"/>
      <c r="AF139" s="793"/>
      <c r="AG139" s="777">
        <f t="shared" si="5"/>
        <v>0</v>
      </c>
    </row>
    <row r="140" spans="1:33">
      <c r="A140" s="770">
        <v>136</v>
      </c>
      <c r="B140" s="778" t="s">
        <v>825</v>
      </c>
      <c r="C140" s="790"/>
      <c r="D140" s="793"/>
      <c r="E140" s="793"/>
      <c r="F140" s="793"/>
      <c r="G140" s="793"/>
      <c r="H140" s="793"/>
      <c r="I140" s="793"/>
      <c r="J140" s="793"/>
      <c r="K140" s="793"/>
      <c r="L140" s="793"/>
      <c r="M140" s="793"/>
      <c r="N140" s="793"/>
      <c r="O140" s="793"/>
      <c r="P140" s="793"/>
      <c r="Q140" s="793"/>
      <c r="R140" s="793">
        <v>-2159</v>
      </c>
      <c r="S140" s="793"/>
      <c r="T140" s="793"/>
      <c r="U140" s="773">
        <f t="shared" si="4"/>
        <v>-2159</v>
      </c>
      <c r="V140" s="794"/>
      <c r="W140" s="793"/>
      <c r="X140" s="793"/>
      <c r="Y140" s="793"/>
      <c r="Z140" s="793"/>
      <c r="AA140" s="793"/>
      <c r="AB140" s="793"/>
      <c r="AC140" s="793"/>
      <c r="AD140" s="793"/>
      <c r="AE140" s="793"/>
      <c r="AF140" s="793"/>
      <c r="AG140" s="777">
        <f t="shared" si="5"/>
        <v>0</v>
      </c>
    </row>
    <row r="141" spans="1:33">
      <c r="A141" s="770">
        <v>137</v>
      </c>
      <c r="B141" s="778" t="s">
        <v>887</v>
      </c>
      <c r="C141" s="790" t="s">
        <v>512</v>
      </c>
      <c r="D141" s="793"/>
      <c r="E141" s="793"/>
      <c r="F141" s="793"/>
      <c r="G141" s="793"/>
      <c r="H141" s="793"/>
      <c r="I141" s="793"/>
      <c r="J141" s="793">
        <v>295</v>
      </c>
      <c r="K141" s="793"/>
      <c r="L141" s="793"/>
      <c r="M141" s="793"/>
      <c r="N141" s="793"/>
      <c r="O141" s="793"/>
      <c r="P141" s="793"/>
      <c r="Q141" s="793"/>
      <c r="R141" s="793"/>
      <c r="S141" s="793"/>
      <c r="T141" s="793"/>
      <c r="U141" s="773">
        <f t="shared" si="4"/>
        <v>295</v>
      </c>
      <c r="V141" s="794"/>
      <c r="W141" s="793"/>
      <c r="X141" s="793"/>
      <c r="Y141" s="793"/>
      <c r="Z141" s="793"/>
      <c r="AA141" s="793"/>
      <c r="AB141" s="793"/>
      <c r="AC141" s="793"/>
      <c r="AD141" s="793"/>
      <c r="AE141" s="793"/>
      <c r="AF141" s="793"/>
      <c r="AG141" s="777">
        <f t="shared" si="5"/>
        <v>0</v>
      </c>
    </row>
    <row r="142" spans="1:33">
      <c r="A142" s="770">
        <v>138</v>
      </c>
      <c r="B142" s="778" t="s">
        <v>812</v>
      </c>
      <c r="C142" s="790"/>
      <c r="D142" s="793"/>
      <c r="E142" s="793"/>
      <c r="F142" s="793"/>
      <c r="G142" s="793"/>
      <c r="H142" s="793"/>
      <c r="I142" s="793"/>
      <c r="J142" s="793"/>
      <c r="K142" s="793"/>
      <c r="L142" s="793"/>
      <c r="M142" s="793"/>
      <c r="N142" s="793"/>
      <c r="O142" s="793"/>
      <c r="P142" s="793">
        <v>-295</v>
      </c>
      <c r="Q142" s="793"/>
      <c r="R142" s="793"/>
      <c r="S142" s="793"/>
      <c r="T142" s="793"/>
      <c r="U142" s="773">
        <f t="shared" si="4"/>
        <v>-295</v>
      </c>
      <c r="V142" s="794"/>
      <c r="W142" s="793"/>
      <c r="X142" s="793"/>
      <c r="Y142" s="793"/>
      <c r="Z142" s="793"/>
      <c r="AA142" s="793"/>
      <c r="AB142" s="793"/>
      <c r="AC142" s="793"/>
      <c r="AD142" s="793"/>
      <c r="AE142" s="793"/>
      <c r="AF142" s="793"/>
      <c r="AG142" s="777">
        <f t="shared" si="5"/>
        <v>0</v>
      </c>
    </row>
    <row r="143" spans="1:33">
      <c r="A143" s="770">
        <v>139</v>
      </c>
      <c r="B143" s="778" t="s">
        <v>888</v>
      </c>
      <c r="C143" s="790" t="s">
        <v>811</v>
      </c>
      <c r="D143" s="793"/>
      <c r="E143" s="793"/>
      <c r="F143" s="793"/>
      <c r="G143" s="793"/>
      <c r="H143" s="793"/>
      <c r="I143" s="793"/>
      <c r="J143" s="793">
        <v>1346</v>
      </c>
      <c r="K143" s="793"/>
      <c r="L143" s="793"/>
      <c r="M143" s="793"/>
      <c r="N143" s="793"/>
      <c r="O143" s="793"/>
      <c r="P143" s="793"/>
      <c r="Q143" s="793"/>
      <c r="R143" s="793"/>
      <c r="S143" s="793"/>
      <c r="T143" s="793"/>
      <c r="U143" s="773">
        <f t="shared" si="4"/>
        <v>1346</v>
      </c>
      <c r="V143" s="794"/>
      <c r="W143" s="793"/>
      <c r="X143" s="793"/>
      <c r="Y143" s="793"/>
      <c r="Z143" s="793"/>
      <c r="AA143" s="793"/>
      <c r="AB143" s="793"/>
      <c r="AC143" s="793"/>
      <c r="AD143" s="793"/>
      <c r="AE143" s="793"/>
      <c r="AF143" s="793"/>
      <c r="AG143" s="777">
        <f t="shared" si="5"/>
        <v>0</v>
      </c>
    </row>
    <row r="144" spans="1:33">
      <c r="A144" s="770">
        <v>140</v>
      </c>
      <c r="B144" s="778" t="s">
        <v>825</v>
      </c>
      <c r="C144" s="790"/>
      <c r="D144" s="793"/>
      <c r="E144" s="793"/>
      <c r="F144" s="793"/>
      <c r="G144" s="793"/>
      <c r="H144" s="793"/>
      <c r="I144" s="793"/>
      <c r="J144" s="793"/>
      <c r="K144" s="793"/>
      <c r="L144" s="793"/>
      <c r="M144" s="793"/>
      <c r="N144" s="793"/>
      <c r="O144" s="793"/>
      <c r="P144" s="793"/>
      <c r="Q144" s="793"/>
      <c r="R144" s="793">
        <v>-1346</v>
      </c>
      <c r="S144" s="793"/>
      <c r="T144" s="793"/>
      <c r="U144" s="773">
        <f t="shared" si="4"/>
        <v>-1346</v>
      </c>
      <c r="V144" s="794"/>
      <c r="W144" s="793"/>
      <c r="X144" s="793"/>
      <c r="Y144" s="793"/>
      <c r="Z144" s="793"/>
      <c r="AA144" s="793"/>
      <c r="AB144" s="793"/>
      <c r="AC144" s="793"/>
      <c r="AD144" s="793"/>
      <c r="AE144" s="793"/>
      <c r="AF144" s="793"/>
      <c r="AG144" s="777">
        <f t="shared" si="5"/>
        <v>0</v>
      </c>
    </row>
    <row r="145" spans="1:33">
      <c r="A145" s="770">
        <v>141</v>
      </c>
      <c r="B145" s="778" t="s">
        <v>889</v>
      </c>
      <c r="C145" s="790" t="s">
        <v>811</v>
      </c>
      <c r="D145" s="793"/>
      <c r="E145" s="793"/>
      <c r="F145" s="793">
        <v>48</v>
      </c>
      <c r="G145" s="793"/>
      <c r="H145" s="793"/>
      <c r="I145" s="793"/>
      <c r="J145" s="793"/>
      <c r="K145" s="793"/>
      <c r="L145" s="793"/>
      <c r="M145" s="793"/>
      <c r="N145" s="793"/>
      <c r="O145" s="793"/>
      <c r="P145" s="793"/>
      <c r="Q145" s="793"/>
      <c r="R145" s="793"/>
      <c r="S145" s="793"/>
      <c r="T145" s="793"/>
      <c r="U145" s="773">
        <f t="shared" ref="U145:U189" si="6">SUM(D145:T145)</f>
        <v>48</v>
      </c>
      <c r="V145" s="794"/>
      <c r="W145" s="793"/>
      <c r="X145" s="793"/>
      <c r="Y145" s="793"/>
      <c r="Z145" s="793"/>
      <c r="AA145" s="793"/>
      <c r="AB145" s="793"/>
      <c r="AC145" s="793"/>
      <c r="AD145" s="793"/>
      <c r="AE145" s="793"/>
      <c r="AF145" s="793"/>
      <c r="AG145" s="777">
        <f t="shared" si="5"/>
        <v>0</v>
      </c>
    </row>
    <row r="146" spans="1:33">
      <c r="A146" s="770">
        <v>142</v>
      </c>
      <c r="B146" s="778" t="s">
        <v>825</v>
      </c>
      <c r="C146" s="790"/>
      <c r="D146" s="793"/>
      <c r="E146" s="793"/>
      <c r="F146" s="793"/>
      <c r="G146" s="793"/>
      <c r="H146" s="793"/>
      <c r="I146" s="793"/>
      <c r="J146" s="793"/>
      <c r="K146" s="793"/>
      <c r="L146" s="793"/>
      <c r="M146" s="793"/>
      <c r="N146" s="793"/>
      <c r="O146" s="793"/>
      <c r="P146" s="793"/>
      <c r="Q146" s="793"/>
      <c r="R146" s="793">
        <v>-48</v>
      </c>
      <c r="S146" s="793"/>
      <c r="T146" s="793"/>
      <c r="U146" s="773">
        <f t="shared" si="6"/>
        <v>-48</v>
      </c>
      <c r="V146" s="794"/>
      <c r="W146" s="793"/>
      <c r="X146" s="793"/>
      <c r="Y146" s="793"/>
      <c r="Z146" s="793"/>
      <c r="AA146" s="793"/>
      <c r="AB146" s="793"/>
      <c r="AC146" s="793"/>
      <c r="AD146" s="793"/>
      <c r="AE146" s="793"/>
      <c r="AF146" s="793"/>
      <c r="AG146" s="777">
        <f t="shared" si="5"/>
        <v>0</v>
      </c>
    </row>
    <row r="147" spans="1:33">
      <c r="A147" s="770">
        <v>143</v>
      </c>
      <c r="B147" s="778" t="s">
        <v>890</v>
      </c>
      <c r="C147" s="790" t="s">
        <v>811</v>
      </c>
      <c r="D147" s="793"/>
      <c r="E147" s="793"/>
      <c r="F147" s="793">
        <v>18</v>
      </c>
      <c r="G147" s="793"/>
      <c r="H147" s="793"/>
      <c r="I147" s="793"/>
      <c r="J147" s="793"/>
      <c r="K147" s="793"/>
      <c r="L147" s="793"/>
      <c r="M147" s="793"/>
      <c r="N147" s="793"/>
      <c r="O147" s="793"/>
      <c r="P147" s="793"/>
      <c r="Q147" s="793"/>
      <c r="R147" s="793"/>
      <c r="S147" s="793"/>
      <c r="T147" s="793"/>
      <c r="U147" s="773">
        <f t="shared" si="6"/>
        <v>18</v>
      </c>
      <c r="V147" s="794"/>
      <c r="W147" s="793"/>
      <c r="X147" s="793"/>
      <c r="Y147" s="793"/>
      <c r="Z147" s="793"/>
      <c r="AA147" s="793"/>
      <c r="AB147" s="793"/>
      <c r="AC147" s="793"/>
      <c r="AD147" s="793"/>
      <c r="AE147" s="793"/>
      <c r="AF147" s="793"/>
      <c r="AG147" s="777">
        <f t="shared" ref="AG147:AG189" si="7">SUM(V147:AF147)</f>
        <v>0</v>
      </c>
    </row>
    <row r="148" spans="1:33">
      <c r="A148" s="770">
        <v>144</v>
      </c>
      <c r="B148" s="778" t="s">
        <v>825</v>
      </c>
      <c r="C148" s="790"/>
      <c r="D148" s="793"/>
      <c r="E148" s="793"/>
      <c r="F148" s="793"/>
      <c r="G148" s="793"/>
      <c r="H148" s="793"/>
      <c r="I148" s="793"/>
      <c r="J148" s="793"/>
      <c r="K148" s="793"/>
      <c r="L148" s="793"/>
      <c r="M148" s="793"/>
      <c r="N148" s="793"/>
      <c r="O148" s="793"/>
      <c r="P148" s="793"/>
      <c r="Q148" s="793"/>
      <c r="R148" s="793">
        <v>-18</v>
      </c>
      <c r="S148" s="793"/>
      <c r="T148" s="793"/>
      <c r="U148" s="773">
        <f t="shared" si="6"/>
        <v>-18</v>
      </c>
      <c r="V148" s="794"/>
      <c r="W148" s="793"/>
      <c r="X148" s="793"/>
      <c r="Y148" s="793"/>
      <c r="Z148" s="793"/>
      <c r="AA148" s="793"/>
      <c r="AB148" s="793"/>
      <c r="AC148" s="793"/>
      <c r="AD148" s="793"/>
      <c r="AE148" s="793"/>
      <c r="AF148" s="793"/>
      <c r="AG148" s="777">
        <f t="shared" si="7"/>
        <v>0</v>
      </c>
    </row>
    <row r="149" spans="1:33">
      <c r="A149" s="770">
        <v>145</v>
      </c>
      <c r="B149" s="778" t="s">
        <v>891</v>
      </c>
      <c r="C149" s="790" t="s">
        <v>811</v>
      </c>
      <c r="D149" s="793"/>
      <c r="E149" s="793"/>
      <c r="F149" s="793"/>
      <c r="G149" s="793"/>
      <c r="H149" s="793"/>
      <c r="I149" s="793"/>
      <c r="J149" s="793">
        <v>53</v>
      </c>
      <c r="K149" s="793"/>
      <c r="L149" s="793"/>
      <c r="M149" s="793"/>
      <c r="N149" s="793"/>
      <c r="O149" s="793"/>
      <c r="P149" s="793"/>
      <c r="Q149" s="793"/>
      <c r="R149" s="793"/>
      <c r="S149" s="793"/>
      <c r="T149" s="793"/>
      <c r="U149" s="773">
        <f t="shared" si="6"/>
        <v>53</v>
      </c>
      <c r="V149" s="794"/>
      <c r="W149" s="793"/>
      <c r="X149" s="793"/>
      <c r="Y149" s="793"/>
      <c r="Z149" s="793"/>
      <c r="AA149" s="793"/>
      <c r="AB149" s="793"/>
      <c r="AC149" s="793"/>
      <c r="AD149" s="793"/>
      <c r="AE149" s="793"/>
      <c r="AF149" s="793"/>
      <c r="AG149" s="777">
        <f t="shared" si="7"/>
        <v>0</v>
      </c>
    </row>
    <row r="150" spans="1:33">
      <c r="A150" s="770">
        <v>146</v>
      </c>
      <c r="B150" s="778" t="s">
        <v>825</v>
      </c>
      <c r="C150" s="790"/>
      <c r="D150" s="793"/>
      <c r="E150" s="793"/>
      <c r="F150" s="793"/>
      <c r="G150" s="793"/>
      <c r="H150" s="793"/>
      <c r="I150" s="793"/>
      <c r="J150" s="793"/>
      <c r="K150" s="793"/>
      <c r="L150" s="793"/>
      <c r="M150" s="793"/>
      <c r="N150" s="793"/>
      <c r="O150" s="793"/>
      <c r="P150" s="793"/>
      <c r="Q150" s="793"/>
      <c r="R150" s="793">
        <v>-53</v>
      </c>
      <c r="S150" s="793"/>
      <c r="T150" s="793"/>
      <c r="U150" s="773">
        <f t="shared" si="6"/>
        <v>-53</v>
      </c>
      <c r="V150" s="794"/>
      <c r="W150" s="793"/>
      <c r="X150" s="793"/>
      <c r="Y150" s="793"/>
      <c r="Z150" s="793"/>
      <c r="AA150" s="793"/>
      <c r="AB150" s="793"/>
      <c r="AC150" s="793"/>
      <c r="AD150" s="793"/>
      <c r="AE150" s="793"/>
      <c r="AF150" s="793"/>
      <c r="AG150" s="777">
        <f t="shared" si="7"/>
        <v>0</v>
      </c>
    </row>
    <row r="151" spans="1:33">
      <c r="A151" s="770">
        <v>147</v>
      </c>
      <c r="B151" s="778" t="s">
        <v>1076</v>
      </c>
      <c r="C151" s="790" t="s">
        <v>814</v>
      </c>
      <c r="D151" s="793"/>
      <c r="E151" s="793"/>
      <c r="F151" s="793"/>
      <c r="G151" s="793"/>
      <c r="H151" s="793"/>
      <c r="I151" s="793"/>
      <c r="J151" s="793"/>
      <c r="K151" s="793"/>
      <c r="L151" s="793">
        <v>800</v>
      </c>
      <c r="M151" s="793"/>
      <c r="N151" s="793"/>
      <c r="O151" s="793"/>
      <c r="P151" s="793"/>
      <c r="Q151" s="793"/>
      <c r="R151" s="793"/>
      <c r="S151" s="793"/>
      <c r="T151" s="793"/>
      <c r="U151" s="773">
        <f t="shared" si="6"/>
        <v>800</v>
      </c>
      <c r="V151" s="794"/>
      <c r="W151" s="793"/>
      <c r="X151" s="793"/>
      <c r="Y151" s="793"/>
      <c r="Z151" s="793"/>
      <c r="AA151" s="793"/>
      <c r="AB151" s="793"/>
      <c r="AC151" s="793"/>
      <c r="AD151" s="793"/>
      <c r="AE151" s="793"/>
      <c r="AF151" s="793"/>
      <c r="AG151" s="777">
        <f t="shared" si="7"/>
        <v>0</v>
      </c>
    </row>
    <row r="152" spans="1:33">
      <c r="A152" s="770">
        <v>148</v>
      </c>
      <c r="B152" s="778" t="s">
        <v>812</v>
      </c>
      <c r="C152" s="790"/>
      <c r="D152" s="793"/>
      <c r="E152" s="793"/>
      <c r="F152" s="793"/>
      <c r="G152" s="793"/>
      <c r="H152" s="793"/>
      <c r="I152" s="793"/>
      <c r="J152" s="793"/>
      <c r="K152" s="793"/>
      <c r="L152" s="793"/>
      <c r="M152" s="793"/>
      <c r="N152" s="793"/>
      <c r="O152" s="793"/>
      <c r="P152" s="793">
        <v>-800</v>
      </c>
      <c r="Q152" s="793"/>
      <c r="R152" s="793"/>
      <c r="S152" s="793"/>
      <c r="T152" s="793"/>
      <c r="U152" s="773">
        <f t="shared" si="6"/>
        <v>-800</v>
      </c>
      <c r="V152" s="794"/>
      <c r="W152" s="793"/>
      <c r="X152" s="793"/>
      <c r="Y152" s="793"/>
      <c r="Z152" s="793"/>
      <c r="AA152" s="793"/>
      <c r="AB152" s="793"/>
      <c r="AC152" s="793"/>
      <c r="AD152" s="793"/>
      <c r="AE152" s="793"/>
      <c r="AF152" s="793"/>
      <c r="AG152" s="777">
        <f t="shared" si="7"/>
        <v>0</v>
      </c>
    </row>
    <row r="153" spans="1:33">
      <c r="A153" s="770">
        <v>149</v>
      </c>
      <c r="B153" s="778" t="s">
        <v>892</v>
      </c>
      <c r="C153" s="790" t="s">
        <v>811</v>
      </c>
      <c r="D153" s="793"/>
      <c r="E153" s="793"/>
      <c r="F153" s="793"/>
      <c r="G153" s="793"/>
      <c r="H153" s="793"/>
      <c r="I153" s="793"/>
      <c r="J153" s="793">
        <v>14</v>
      </c>
      <c r="K153" s="793"/>
      <c r="L153" s="793"/>
      <c r="M153" s="793"/>
      <c r="N153" s="793"/>
      <c r="O153" s="793"/>
      <c r="P153" s="793"/>
      <c r="Q153" s="793"/>
      <c r="R153" s="793"/>
      <c r="S153" s="793"/>
      <c r="T153" s="793"/>
      <c r="U153" s="773">
        <f t="shared" si="6"/>
        <v>14</v>
      </c>
      <c r="V153" s="794"/>
      <c r="W153" s="793"/>
      <c r="X153" s="793"/>
      <c r="Y153" s="793"/>
      <c r="Z153" s="793"/>
      <c r="AA153" s="793"/>
      <c r="AB153" s="793"/>
      <c r="AC153" s="793"/>
      <c r="AD153" s="793"/>
      <c r="AE153" s="793"/>
      <c r="AF153" s="793"/>
      <c r="AG153" s="777">
        <f t="shared" si="7"/>
        <v>0</v>
      </c>
    </row>
    <row r="154" spans="1:33">
      <c r="A154" s="770">
        <v>150</v>
      </c>
      <c r="B154" s="778" t="s">
        <v>825</v>
      </c>
      <c r="C154" s="790"/>
      <c r="D154" s="793"/>
      <c r="E154" s="793"/>
      <c r="F154" s="793"/>
      <c r="G154" s="793"/>
      <c r="H154" s="793"/>
      <c r="I154" s="793"/>
      <c r="J154" s="793"/>
      <c r="K154" s="793"/>
      <c r="L154" s="793"/>
      <c r="M154" s="793"/>
      <c r="N154" s="793"/>
      <c r="O154" s="793"/>
      <c r="P154" s="793"/>
      <c r="Q154" s="793"/>
      <c r="R154" s="793">
        <v>-14</v>
      </c>
      <c r="S154" s="793"/>
      <c r="T154" s="793"/>
      <c r="U154" s="773">
        <f t="shared" si="6"/>
        <v>-14</v>
      </c>
      <c r="V154" s="794"/>
      <c r="W154" s="793"/>
      <c r="X154" s="793"/>
      <c r="Y154" s="793"/>
      <c r="Z154" s="793"/>
      <c r="AA154" s="793"/>
      <c r="AB154" s="793"/>
      <c r="AC154" s="793"/>
      <c r="AD154" s="793"/>
      <c r="AE154" s="793"/>
      <c r="AF154" s="793"/>
      <c r="AG154" s="777">
        <f t="shared" si="7"/>
        <v>0</v>
      </c>
    </row>
    <row r="155" spans="1:33">
      <c r="A155" s="770">
        <v>151</v>
      </c>
      <c r="B155" s="778" t="s">
        <v>893</v>
      </c>
      <c r="C155" s="790" t="s">
        <v>811</v>
      </c>
      <c r="D155" s="793"/>
      <c r="E155" s="793"/>
      <c r="F155" s="793">
        <v>320</v>
      </c>
      <c r="G155" s="793"/>
      <c r="H155" s="793"/>
      <c r="I155" s="793"/>
      <c r="J155" s="793"/>
      <c r="K155" s="793"/>
      <c r="L155" s="793"/>
      <c r="M155" s="793"/>
      <c r="N155" s="793"/>
      <c r="O155" s="793"/>
      <c r="P155" s="793"/>
      <c r="Q155" s="793"/>
      <c r="R155" s="793"/>
      <c r="S155" s="793"/>
      <c r="T155" s="793"/>
      <c r="U155" s="773">
        <f t="shared" si="6"/>
        <v>320</v>
      </c>
      <c r="V155" s="794"/>
      <c r="W155" s="793"/>
      <c r="X155" s="793"/>
      <c r="Y155" s="793"/>
      <c r="Z155" s="793"/>
      <c r="AA155" s="793"/>
      <c r="AB155" s="793"/>
      <c r="AC155" s="793"/>
      <c r="AD155" s="793"/>
      <c r="AE155" s="793"/>
      <c r="AF155" s="793"/>
      <c r="AG155" s="777">
        <f t="shared" si="7"/>
        <v>0</v>
      </c>
    </row>
    <row r="156" spans="1:33">
      <c r="A156" s="770">
        <v>152</v>
      </c>
      <c r="B156" s="778" t="s">
        <v>825</v>
      </c>
      <c r="C156" s="790"/>
      <c r="D156" s="793"/>
      <c r="E156" s="793"/>
      <c r="F156" s="793"/>
      <c r="G156" s="793"/>
      <c r="H156" s="793"/>
      <c r="I156" s="793"/>
      <c r="J156" s="793"/>
      <c r="K156" s="793"/>
      <c r="L156" s="793"/>
      <c r="M156" s="793"/>
      <c r="N156" s="793"/>
      <c r="O156" s="793"/>
      <c r="P156" s="793"/>
      <c r="Q156" s="793"/>
      <c r="R156" s="793">
        <v>-320</v>
      </c>
      <c r="S156" s="793"/>
      <c r="T156" s="793"/>
      <c r="U156" s="773">
        <f t="shared" si="6"/>
        <v>-320</v>
      </c>
      <c r="V156" s="794"/>
      <c r="W156" s="793"/>
      <c r="X156" s="793"/>
      <c r="Y156" s="793"/>
      <c r="Z156" s="793"/>
      <c r="AA156" s="793"/>
      <c r="AB156" s="793"/>
      <c r="AC156" s="793"/>
      <c r="AD156" s="793"/>
      <c r="AE156" s="793"/>
      <c r="AF156" s="793"/>
      <c r="AG156" s="777">
        <f t="shared" si="7"/>
        <v>0</v>
      </c>
    </row>
    <row r="157" spans="1:33">
      <c r="A157" s="770">
        <v>153</v>
      </c>
      <c r="B157" s="778" t="s">
        <v>894</v>
      </c>
      <c r="C157" s="790" t="s">
        <v>811</v>
      </c>
      <c r="D157" s="793"/>
      <c r="E157" s="793"/>
      <c r="F157" s="793"/>
      <c r="G157" s="793"/>
      <c r="H157" s="793"/>
      <c r="I157" s="793"/>
      <c r="J157" s="793">
        <v>476</v>
      </c>
      <c r="K157" s="793"/>
      <c r="L157" s="793"/>
      <c r="M157" s="793"/>
      <c r="N157" s="793"/>
      <c r="O157" s="793"/>
      <c r="P157" s="793"/>
      <c r="Q157" s="793"/>
      <c r="R157" s="793"/>
      <c r="S157" s="793"/>
      <c r="T157" s="793"/>
      <c r="U157" s="773">
        <f t="shared" si="6"/>
        <v>476</v>
      </c>
      <c r="V157" s="794"/>
      <c r="W157" s="793"/>
      <c r="X157" s="793"/>
      <c r="Y157" s="793"/>
      <c r="Z157" s="793"/>
      <c r="AA157" s="793"/>
      <c r="AB157" s="793"/>
      <c r="AC157" s="793"/>
      <c r="AD157" s="793"/>
      <c r="AE157" s="793"/>
      <c r="AF157" s="793"/>
      <c r="AG157" s="777">
        <f t="shared" si="7"/>
        <v>0</v>
      </c>
    </row>
    <row r="158" spans="1:33">
      <c r="A158" s="770">
        <v>154</v>
      </c>
      <c r="B158" s="778" t="s">
        <v>825</v>
      </c>
      <c r="C158" s="790"/>
      <c r="D158" s="793"/>
      <c r="E158" s="793"/>
      <c r="F158" s="793"/>
      <c r="G158" s="793"/>
      <c r="H158" s="793"/>
      <c r="I158" s="793"/>
      <c r="J158" s="793"/>
      <c r="K158" s="793"/>
      <c r="L158" s="793"/>
      <c r="M158" s="793"/>
      <c r="N158" s="793"/>
      <c r="O158" s="793"/>
      <c r="P158" s="793"/>
      <c r="Q158" s="793"/>
      <c r="R158" s="793">
        <v>-476</v>
      </c>
      <c r="S158" s="793"/>
      <c r="T158" s="793"/>
      <c r="U158" s="773">
        <f t="shared" si="6"/>
        <v>-476</v>
      </c>
      <c r="V158" s="794"/>
      <c r="W158" s="793"/>
      <c r="X158" s="793"/>
      <c r="Y158" s="793"/>
      <c r="Z158" s="793"/>
      <c r="AA158" s="793"/>
      <c r="AB158" s="793"/>
      <c r="AC158" s="793"/>
      <c r="AD158" s="793"/>
      <c r="AE158" s="793"/>
      <c r="AF158" s="793"/>
      <c r="AG158" s="777">
        <f t="shared" si="7"/>
        <v>0</v>
      </c>
    </row>
    <row r="159" spans="1:33">
      <c r="A159" s="770">
        <v>155</v>
      </c>
      <c r="B159" s="778" t="s">
        <v>895</v>
      </c>
      <c r="C159" s="790" t="s">
        <v>811</v>
      </c>
      <c r="D159" s="793"/>
      <c r="E159" s="793"/>
      <c r="F159" s="793"/>
      <c r="G159" s="793"/>
      <c r="H159" s="793"/>
      <c r="I159" s="793"/>
      <c r="J159" s="793">
        <v>3175</v>
      </c>
      <c r="K159" s="793"/>
      <c r="L159" s="793"/>
      <c r="M159" s="793"/>
      <c r="N159" s="793"/>
      <c r="O159" s="793"/>
      <c r="P159" s="793"/>
      <c r="Q159" s="793"/>
      <c r="R159" s="793"/>
      <c r="S159" s="793"/>
      <c r="T159" s="793"/>
      <c r="U159" s="773">
        <f t="shared" si="6"/>
        <v>3175</v>
      </c>
      <c r="V159" s="794"/>
      <c r="W159" s="793"/>
      <c r="X159" s="793"/>
      <c r="Y159" s="793"/>
      <c r="Z159" s="793"/>
      <c r="AA159" s="793"/>
      <c r="AB159" s="793"/>
      <c r="AC159" s="793"/>
      <c r="AD159" s="793"/>
      <c r="AE159" s="793"/>
      <c r="AF159" s="793"/>
      <c r="AG159" s="777">
        <f t="shared" si="7"/>
        <v>0</v>
      </c>
    </row>
    <row r="160" spans="1:33">
      <c r="A160" s="770">
        <v>156</v>
      </c>
      <c r="B160" s="778" t="s">
        <v>825</v>
      </c>
      <c r="C160" s="790"/>
      <c r="D160" s="793"/>
      <c r="E160" s="793"/>
      <c r="F160" s="793"/>
      <c r="G160" s="793"/>
      <c r="H160" s="793"/>
      <c r="I160" s="793"/>
      <c r="J160" s="793"/>
      <c r="K160" s="793"/>
      <c r="L160" s="793"/>
      <c r="M160" s="793"/>
      <c r="N160" s="793"/>
      <c r="O160" s="793"/>
      <c r="P160" s="793"/>
      <c r="Q160" s="793"/>
      <c r="R160" s="793">
        <v>-3175</v>
      </c>
      <c r="S160" s="793"/>
      <c r="T160" s="793"/>
      <c r="U160" s="773">
        <f t="shared" si="6"/>
        <v>-3175</v>
      </c>
      <c r="V160" s="794"/>
      <c r="W160" s="793"/>
      <c r="X160" s="793"/>
      <c r="Y160" s="793"/>
      <c r="Z160" s="793"/>
      <c r="AA160" s="793"/>
      <c r="AB160" s="793"/>
      <c r="AC160" s="793"/>
      <c r="AD160" s="793"/>
      <c r="AE160" s="793"/>
      <c r="AF160" s="793"/>
      <c r="AG160" s="777">
        <f t="shared" si="7"/>
        <v>0</v>
      </c>
    </row>
    <row r="161" spans="1:33">
      <c r="A161" s="770">
        <v>157</v>
      </c>
      <c r="B161" s="778" t="s">
        <v>887</v>
      </c>
      <c r="C161" s="790" t="s">
        <v>512</v>
      </c>
      <c r="D161" s="793"/>
      <c r="E161" s="793"/>
      <c r="F161" s="793"/>
      <c r="G161" s="793"/>
      <c r="H161" s="793"/>
      <c r="I161" s="793"/>
      <c r="J161" s="793">
        <v>198</v>
      </c>
      <c r="K161" s="793"/>
      <c r="L161" s="793"/>
      <c r="M161" s="793"/>
      <c r="N161" s="793"/>
      <c r="O161" s="793"/>
      <c r="P161" s="793"/>
      <c r="Q161" s="793"/>
      <c r="R161" s="793"/>
      <c r="S161" s="793"/>
      <c r="T161" s="793"/>
      <c r="U161" s="773">
        <f t="shared" si="6"/>
        <v>198</v>
      </c>
      <c r="V161" s="794"/>
      <c r="W161" s="793"/>
      <c r="X161" s="793"/>
      <c r="Y161" s="793"/>
      <c r="Z161" s="793"/>
      <c r="AA161" s="793"/>
      <c r="AB161" s="793"/>
      <c r="AC161" s="793"/>
      <c r="AD161" s="793"/>
      <c r="AE161" s="793"/>
      <c r="AF161" s="793"/>
      <c r="AG161" s="777">
        <f t="shared" si="7"/>
        <v>0</v>
      </c>
    </row>
    <row r="162" spans="1:33">
      <c r="A162" s="770">
        <v>158</v>
      </c>
      <c r="B162" s="778" t="s">
        <v>825</v>
      </c>
      <c r="C162" s="790"/>
      <c r="D162" s="793"/>
      <c r="E162" s="793"/>
      <c r="F162" s="793"/>
      <c r="G162" s="793"/>
      <c r="H162" s="793"/>
      <c r="I162" s="793"/>
      <c r="J162" s="793"/>
      <c r="K162" s="793"/>
      <c r="L162" s="793"/>
      <c r="M162" s="793"/>
      <c r="N162" s="793"/>
      <c r="O162" s="793"/>
      <c r="P162" s="793"/>
      <c r="Q162" s="793"/>
      <c r="R162" s="793">
        <v>-198</v>
      </c>
      <c r="S162" s="793"/>
      <c r="T162" s="793"/>
      <c r="U162" s="773">
        <f t="shared" si="6"/>
        <v>-198</v>
      </c>
      <c r="V162" s="794"/>
      <c r="W162" s="793"/>
      <c r="X162" s="793"/>
      <c r="Y162" s="793"/>
      <c r="Z162" s="793"/>
      <c r="AA162" s="793"/>
      <c r="AB162" s="793"/>
      <c r="AC162" s="793"/>
      <c r="AD162" s="793"/>
      <c r="AE162" s="793"/>
      <c r="AF162" s="793"/>
      <c r="AG162" s="777">
        <f t="shared" si="7"/>
        <v>0</v>
      </c>
    </row>
    <row r="163" spans="1:33">
      <c r="A163" s="770">
        <v>159</v>
      </c>
      <c r="B163" s="778" t="s">
        <v>896</v>
      </c>
      <c r="C163" s="790" t="s">
        <v>897</v>
      </c>
      <c r="D163" s="793"/>
      <c r="E163" s="793"/>
      <c r="F163" s="793"/>
      <c r="G163" s="793"/>
      <c r="H163" s="793"/>
      <c r="I163" s="793"/>
      <c r="J163" s="793">
        <v>279</v>
      </c>
      <c r="K163" s="793"/>
      <c r="L163" s="793"/>
      <c r="M163" s="793"/>
      <c r="N163" s="793"/>
      <c r="O163" s="793"/>
      <c r="P163" s="793"/>
      <c r="Q163" s="793"/>
      <c r="R163" s="793"/>
      <c r="S163" s="793"/>
      <c r="T163" s="793"/>
      <c r="U163" s="773">
        <f t="shared" si="6"/>
        <v>279</v>
      </c>
      <c r="V163" s="794"/>
      <c r="W163" s="793"/>
      <c r="X163" s="793"/>
      <c r="Y163" s="793"/>
      <c r="Z163" s="793"/>
      <c r="AA163" s="793"/>
      <c r="AB163" s="793"/>
      <c r="AC163" s="793"/>
      <c r="AD163" s="793"/>
      <c r="AE163" s="793"/>
      <c r="AF163" s="793"/>
      <c r="AG163" s="777">
        <f t="shared" si="7"/>
        <v>0</v>
      </c>
    </row>
    <row r="164" spans="1:33">
      <c r="A164" s="770">
        <v>160</v>
      </c>
      <c r="B164" s="778" t="s">
        <v>825</v>
      </c>
      <c r="C164" s="790"/>
      <c r="D164" s="793"/>
      <c r="E164" s="793"/>
      <c r="F164" s="793"/>
      <c r="G164" s="793"/>
      <c r="H164" s="793"/>
      <c r="I164" s="793"/>
      <c r="J164" s="793"/>
      <c r="K164" s="793"/>
      <c r="L164" s="793"/>
      <c r="M164" s="793"/>
      <c r="N164" s="793"/>
      <c r="O164" s="793"/>
      <c r="P164" s="793"/>
      <c r="Q164" s="793"/>
      <c r="R164" s="793">
        <v>-279</v>
      </c>
      <c r="S164" s="793"/>
      <c r="T164" s="793"/>
      <c r="U164" s="773">
        <f t="shared" si="6"/>
        <v>-279</v>
      </c>
      <c r="V164" s="794"/>
      <c r="W164" s="793"/>
      <c r="X164" s="793"/>
      <c r="Y164" s="793"/>
      <c r="Z164" s="793"/>
      <c r="AA164" s="793"/>
      <c r="AB164" s="793"/>
      <c r="AC164" s="793"/>
      <c r="AD164" s="793"/>
      <c r="AE164" s="793"/>
      <c r="AF164" s="793"/>
      <c r="AG164" s="777">
        <f t="shared" si="7"/>
        <v>0</v>
      </c>
    </row>
    <row r="165" spans="1:33">
      <c r="A165" s="770">
        <v>161</v>
      </c>
      <c r="B165" s="778" t="s">
        <v>898</v>
      </c>
      <c r="C165" s="790" t="s">
        <v>807</v>
      </c>
      <c r="D165" s="793"/>
      <c r="E165" s="793"/>
      <c r="F165" s="793"/>
      <c r="G165" s="793"/>
      <c r="H165" s="793"/>
      <c r="I165" s="793"/>
      <c r="J165" s="793"/>
      <c r="K165" s="793"/>
      <c r="L165" s="793"/>
      <c r="M165" s="793"/>
      <c r="N165" s="793">
        <v>1668</v>
      </c>
      <c r="O165" s="793"/>
      <c r="P165" s="793"/>
      <c r="Q165" s="793"/>
      <c r="R165" s="793"/>
      <c r="S165" s="793"/>
      <c r="T165" s="793"/>
      <c r="U165" s="773">
        <f t="shared" si="6"/>
        <v>1668</v>
      </c>
      <c r="V165" s="794"/>
      <c r="W165" s="793"/>
      <c r="X165" s="793"/>
      <c r="Y165" s="793"/>
      <c r="Z165" s="793"/>
      <c r="AA165" s="793"/>
      <c r="AB165" s="793"/>
      <c r="AC165" s="793"/>
      <c r="AD165" s="793"/>
      <c r="AE165" s="793"/>
      <c r="AF165" s="793"/>
      <c r="AG165" s="777">
        <f t="shared" si="7"/>
        <v>0</v>
      </c>
    </row>
    <row r="166" spans="1:33">
      <c r="A166" s="770">
        <v>162</v>
      </c>
      <c r="B166" s="778" t="s">
        <v>812</v>
      </c>
      <c r="C166" s="790"/>
      <c r="D166" s="793"/>
      <c r="E166" s="793"/>
      <c r="F166" s="793"/>
      <c r="G166" s="793"/>
      <c r="H166" s="793"/>
      <c r="I166" s="793"/>
      <c r="J166" s="793"/>
      <c r="K166" s="793"/>
      <c r="L166" s="793"/>
      <c r="M166" s="793"/>
      <c r="N166" s="793"/>
      <c r="O166" s="793"/>
      <c r="P166" s="793">
        <v>-1668</v>
      </c>
      <c r="Q166" s="793"/>
      <c r="R166" s="793"/>
      <c r="S166" s="793"/>
      <c r="T166" s="793"/>
      <c r="U166" s="773">
        <f t="shared" si="6"/>
        <v>-1668</v>
      </c>
      <c r="V166" s="794"/>
      <c r="W166" s="793"/>
      <c r="X166" s="793"/>
      <c r="Y166" s="793"/>
      <c r="Z166" s="793"/>
      <c r="AA166" s="793"/>
      <c r="AB166" s="793"/>
      <c r="AC166" s="793"/>
      <c r="AD166" s="793"/>
      <c r="AE166" s="793"/>
      <c r="AF166" s="793"/>
      <c r="AG166" s="777">
        <f t="shared" si="7"/>
        <v>0</v>
      </c>
    </row>
    <row r="167" spans="1:33">
      <c r="A167" s="770">
        <v>163</v>
      </c>
      <c r="B167" s="778" t="s">
        <v>899</v>
      </c>
      <c r="C167" s="790" t="s">
        <v>807</v>
      </c>
      <c r="D167" s="793"/>
      <c r="E167" s="793"/>
      <c r="F167" s="793"/>
      <c r="G167" s="793"/>
      <c r="H167" s="793"/>
      <c r="I167" s="793"/>
      <c r="J167" s="793"/>
      <c r="K167" s="793"/>
      <c r="L167" s="793"/>
      <c r="M167" s="793"/>
      <c r="N167" s="793">
        <v>1199</v>
      </c>
      <c r="O167" s="793"/>
      <c r="P167" s="793"/>
      <c r="Q167" s="793"/>
      <c r="R167" s="793"/>
      <c r="S167" s="793"/>
      <c r="T167" s="793"/>
      <c r="U167" s="773">
        <f t="shared" si="6"/>
        <v>1199</v>
      </c>
      <c r="V167" s="794"/>
      <c r="W167" s="793"/>
      <c r="X167" s="793"/>
      <c r="Y167" s="793"/>
      <c r="Z167" s="793"/>
      <c r="AA167" s="793"/>
      <c r="AB167" s="793"/>
      <c r="AC167" s="793"/>
      <c r="AD167" s="793"/>
      <c r="AE167" s="793"/>
      <c r="AF167" s="793"/>
      <c r="AG167" s="777">
        <f t="shared" si="7"/>
        <v>0</v>
      </c>
    </row>
    <row r="168" spans="1:33">
      <c r="A168" s="770">
        <v>164</v>
      </c>
      <c r="B168" s="778" t="s">
        <v>825</v>
      </c>
      <c r="C168" s="790"/>
      <c r="D168" s="793"/>
      <c r="E168" s="793"/>
      <c r="F168" s="793"/>
      <c r="G168" s="793"/>
      <c r="H168" s="793"/>
      <c r="I168" s="793"/>
      <c r="J168" s="793"/>
      <c r="K168" s="793"/>
      <c r="L168" s="793"/>
      <c r="M168" s="793"/>
      <c r="N168" s="793"/>
      <c r="O168" s="793"/>
      <c r="P168" s="793"/>
      <c r="Q168" s="793"/>
      <c r="R168" s="793">
        <v>-1199</v>
      </c>
      <c r="S168" s="793"/>
      <c r="T168" s="793"/>
      <c r="U168" s="773">
        <f t="shared" si="6"/>
        <v>-1199</v>
      </c>
      <c r="V168" s="794"/>
      <c r="W168" s="793"/>
      <c r="X168" s="793"/>
      <c r="Y168" s="793"/>
      <c r="Z168" s="793"/>
      <c r="AA168" s="793"/>
      <c r="AB168" s="793"/>
      <c r="AC168" s="793"/>
      <c r="AD168" s="793"/>
      <c r="AE168" s="793"/>
      <c r="AF168" s="793"/>
      <c r="AG168" s="777">
        <f t="shared" si="7"/>
        <v>0</v>
      </c>
    </row>
    <row r="169" spans="1:33">
      <c r="A169" s="770">
        <v>165</v>
      </c>
      <c r="B169" s="778" t="s">
        <v>900</v>
      </c>
      <c r="C169" s="790" t="s">
        <v>524</v>
      </c>
      <c r="D169" s="793"/>
      <c r="E169" s="793"/>
      <c r="F169" s="793"/>
      <c r="G169" s="793"/>
      <c r="H169" s="793"/>
      <c r="I169" s="793"/>
      <c r="J169" s="793"/>
      <c r="K169" s="793"/>
      <c r="L169" s="793">
        <v>2139</v>
      </c>
      <c r="M169" s="793"/>
      <c r="N169" s="793"/>
      <c r="O169" s="793"/>
      <c r="P169" s="793"/>
      <c r="Q169" s="793"/>
      <c r="R169" s="793"/>
      <c r="S169" s="793"/>
      <c r="T169" s="793"/>
      <c r="U169" s="773">
        <f t="shared" si="6"/>
        <v>2139</v>
      </c>
      <c r="V169" s="794"/>
      <c r="W169" s="793"/>
      <c r="X169" s="793"/>
      <c r="Y169" s="793"/>
      <c r="Z169" s="793"/>
      <c r="AA169" s="793"/>
      <c r="AB169" s="793"/>
      <c r="AC169" s="793"/>
      <c r="AD169" s="793"/>
      <c r="AE169" s="793"/>
      <c r="AF169" s="793"/>
      <c r="AG169" s="777">
        <f t="shared" si="7"/>
        <v>0</v>
      </c>
    </row>
    <row r="170" spans="1:33">
      <c r="A170" s="770">
        <v>166</v>
      </c>
      <c r="B170" s="778" t="s">
        <v>825</v>
      </c>
      <c r="C170" s="790"/>
      <c r="D170" s="793"/>
      <c r="E170" s="793"/>
      <c r="F170" s="793"/>
      <c r="G170" s="793"/>
      <c r="H170" s="793"/>
      <c r="I170" s="793"/>
      <c r="J170" s="793"/>
      <c r="K170" s="793"/>
      <c r="L170" s="793"/>
      <c r="M170" s="793"/>
      <c r="N170" s="793"/>
      <c r="O170" s="793"/>
      <c r="P170" s="793"/>
      <c r="Q170" s="793"/>
      <c r="R170" s="793">
        <v>-2139</v>
      </c>
      <c r="S170" s="793"/>
      <c r="T170" s="793"/>
      <c r="U170" s="773">
        <f t="shared" si="6"/>
        <v>-2139</v>
      </c>
      <c r="V170" s="794"/>
      <c r="W170" s="793"/>
      <c r="X170" s="793"/>
      <c r="Y170" s="793"/>
      <c r="Z170" s="793"/>
      <c r="AA170" s="793"/>
      <c r="AB170" s="793"/>
      <c r="AC170" s="793"/>
      <c r="AD170" s="793"/>
      <c r="AE170" s="793"/>
      <c r="AF170" s="793"/>
      <c r="AG170" s="777">
        <f t="shared" si="7"/>
        <v>0</v>
      </c>
    </row>
    <row r="171" spans="1:33">
      <c r="A171" s="770">
        <v>167</v>
      </c>
      <c r="B171" s="778" t="s">
        <v>901</v>
      </c>
      <c r="C171" s="790" t="s">
        <v>843</v>
      </c>
      <c r="D171" s="793"/>
      <c r="E171" s="793"/>
      <c r="F171" s="793"/>
      <c r="G171" s="793"/>
      <c r="H171" s="793"/>
      <c r="I171" s="793"/>
      <c r="J171" s="793"/>
      <c r="K171" s="793"/>
      <c r="L171" s="793"/>
      <c r="M171" s="793"/>
      <c r="N171" s="793"/>
      <c r="O171" s="793"/>
      <c r="P171" s="793"/>
      <c r="Q171" s="793"/>
      <c r="R171" s="793"/>
      <c r="S171" s="793"/>
      <c r="T171" s="793"/>
      <c r="U171" s="773">
        <f t="shared" si="6"/>
        <v>0</v>
      </c>
      <c r="V171" s="794"/>
      <c r="W171" s="793"/>
      <c r="X171" s="868">
        <v>413</v>
      </c>
      <c r="Y171" s="793"/>
      <c r="Z171" s="793"/>
      <c r="AA171" s="793"/>
      <c r="AB171" s="793"/>
      <c r="AC171" s="793"/>
      <c r="AD171" s="793"/>
      <c r="AE171" s="793"/>
      <c r="AF171" s="793"/>
      <c r="AG171" s="777">
        <f>SUM(V171:AF171)</f>
        <v>413</v>
      </c>
    </row>
    <row r="172" spans="1:33">
      <c r="A172" s="770">
        <v>168</v>
      </c>
      <c r="B172" s="778" t="s">
        <v>902</v>
      </c>
      <c r="C172" s="790" t="s">
        <v>843</v>
      </c>
      <c r="D172" s="793"/>
      <c r="E172" s="793"/>
      <c r="F172" s="793"/>
      <c r="G172" s="793"/>
      <c r="H172" s="793"/>
      <c r="I172" s="793"/>
      <c r="J172" s="793"/>
      <c r="K172" s="793"/>
      <c r="L172" s="793"/>
      <c r="M172" s="793"/>
      <c r="N172" s="793"/>
      <c r="O172" s="793"/>
      <c r="P172" s="793"/>
      <c r="Q172" s="793"/>
      <c r="R172" s="793"/>
      <c r="S172" s="793"/>
      <c r="T172" s="793"/>
      <c r="U172" s="773">
        <f t="shared" si="6"/>
        <v>0</v>
      </c>
      <c r="V172" s="794"/>
      <c r="W172" s="793"/>
      <c r="X172" s="868">
        <v>2176</v>
      </c>
      <c r="Y172" s="793"/>
      <c r="Z172" s="793"/>
      <c r="AA172" s="793"/>
      <c r="AB172" s="793"/>
      <c r="AC172" s="793"/>
      <c r="AD172" s="793"/>
      <c r="AE172" s="793"/>
      <c r="AF172" s="793"/>
      <c r="AG172" s="777">
        <f t="shared" si="7"/>
        <v>2176</v>
      </c>
    </row>
    <row r="173" spans="1:33">
      <c r="A173" s="770">
        <v>169</v>
      </c>
      <c r="B173" s="778" t="s">
        <v>903</v>
      </c>
      <c r="C173" s="790" t="s">
        <v>807</v>
      </c>
      <c r="D173" s="793"/>
      <c r="E173" s="793"/>
      <c r="F173" s="793"/>
      <c r="G173" s="793"/>
      <c r="H173" s="793"/>
      <c r="I173" s="793"/>
      <c r="J173" s="793"/>
      <c r="K173" s="793"/>
      <c r="L173" s="793"/>
      <c r="M173" s="793"/>
      <c r="N173" s="793">
        <v>419</v>
      </c>
      <c r="O173" s="793"/>
      <c r="P173" s="793"/>
      <c r="Q173" s="793"/>
      <c r="R173" s="793"/>
      <c r="S173" s="793"/>
      <c r="T173" s="793"/>
      <c r="U173" s="773">
        <f t="shared" si="6"/>
        <v>419</v>
      </c>
      <c r="V173" s="794"/>
      <c r="W173" s="793"/>
      <c r="X173" s="793"/>
      <c r="Y173" s="793"/>
      <c r="Z173" s="793"/>
      <c r="AA173" s="793"/>
      <c r="AB173" s="793"/>
      <c r="AC173" s="793"/>
      <c r="AD173" s="793"/>
      <c r="AE173" s="793"/>
      <c r="AF173" s="793"/>
      <c r="AG173" s="777">
        <f t="shared" si="7"/>
        <v>0</v>
      </c>
    </row>
    <row r="174" spans="1:33">
      <c r="A174" s="770">
        <v>170</v>
      </c>
      <c r="B174" s="778" t="s">
        <v>904</v>
      </c>
      <c r="C174" s="790" t="s">
        <v>905</v>
      </c>
      <c r="D174" s="793"/>
      <c r="E174" s="793"/>
      <c r="F174" s="793"/>
      <c r="G174" s="793"/>
      <c r="H174" s="793"/>
      <c r="I174" s="793"/>
      <c r="J174" s="793"/>
      <c r="K174" s="793"/>
      <c r="L174" s="793"/>
      <c r="M174" s="793"/>
      <c r="N174" s="793">
        <v>316</v>
      </c>
      <c r="O174" s="793"/>
      <c r="P174" s="793"/>
      <c r="Q174" s="793"/>
      <c r="R174" s="793"/>
      <c r="S174" s="793"/>
      <c r="T174" s="793"/>
      <c r="U174" s="773">
        <f t="shared" si="6"/>
        <v>316</v>
      </c>
      <c r="V174" s="794"/>
      <c r="W174" s="793"/>
      <c r="X174" s="793"/>
      <c r="Y174" s="793"/>
      <c r="Z174" s="793"/>
      <c r="AA174" s="793"/>
      <c r="AB174" s="793"/>
      <c r="AC174" s="793"/>
      <c r="AD174" s="793"/>
      <c r="AE174" s="793"/>
      <c r="AF174" s="793"/>
      <c r="AG174" s="777">
        <f t="shared" si="7"/>
        <v>0</v>
      </c>
    </row>
    <row r="175" spans="1:33">
      <c r="A175" s="770">
        <v>171</v>
      </c>
      <c r="B175" s="778" t="s">
        <v>906</v>
      </c>
      <c r="C175" s="790" t="s">
        <v>907</v>
      </c>
      <c r="D175" s="793"/>
      <c r="E175" s="793"/>
      <c r="F175" s="793"/>
      <c r="G175" s="793"/>
      <c r="H175" s="793"/>
      <c r="I175" s="793"/>
      <c r="J175" s="793"/>
      <c r="K175" s="793"/>
      <c r="L175" s="793"/>
      <c r="M175" s="793"/>
      <c r="N175" s="793">
        <v>22</v>
      </c>
      <c r="O175" s="793"/>
      <c r="P175" s="793"/>
      <c r="Q175" s="793"/>
      <c r="R175" s="793"/>
      <c r="S175" s="793"/>
      <c r="T175" s="793"/>
      <c r="U175" s="773">
        <f t="shared" si="6"/>
        <v>22</v>
      </c>
      <c r="V175" s="794"/>
      <c r="W175" s="793"/>
      <c r="X175" s="793"/>
      <c r="Y175" s="793"/>
      <c r="Z175" s="793"/>
      <c r="AA175" s="793"/>
      <c r="AB175" s="793"/>
      <c r="AC175" s="793"/>
      <c r="AD175" s="793"/>
      <c r="AE175" s="793"/>
      <c r="AF175" s="793"/>
      <c r="AG175" s="777">
        <f t="shared" si="7"/>
        <v>0</v>
      </c>
    </row>
    <row r="176" spans="1:33">
      <c r="A176" s="770">
        <v>172</v>
      </c>
      <c r="B176" s="778" t="s">
        <v>908</v>
      </c>
      <c r="C176" s="790" t="s">
        <v>512</v>
      </c>
      <c r="D176" s="793"/>
      <c r="E176" s="793"/>
      <c r="F176" s="793"/>
      <c r="G176" s="793"/>
      <c r="H176" s="793">
        <v>1615</v>
      </c>
      <c r="I176" s="793"/>
      <c r="J176" s="793"/>
      <c r="K176" s="793"/>
      <c r="L176" s="793"/>
      <c r="M176" s="793"/>
      <c r="N176" s="793"/>
      <c r="O176" s="793"/>
      <c r="P176" s="793"/>
      <c r="Q176" s="793"/>
      <c r="R176" s="793"/>
      <c r="S176" s="793"/>
      <c r="T176" s="793"/>
      <c r="U176" s="773">
        <f t="shared" si="6"/>
        <v>1615</v>
      </c>
      <c r="V176" s="794"/>
      <c r="W176" s="793"/>
      <c r="X176" s="793"/>
      <c r="Y176" s="793"/>
      <c r="Z176" s="793"/>
      <c r="AA176" s="793"/>
      <c r="AB176" s="793"/>
      <c r="AC176" s="793"/>
      <c r="AD176" s="793"/>
      <c r="AE176" s="793"/>
      <c r="AF176" s="793"/>
      <c r="AG176" s="777">
        <f t="shared" si="7"/>
        <v>0</v>
      </c>
    </row>
    <row r="177" spans="1:33">
      <c r="A177" s="770">
        <v>173</v>
      </c>
      <c r="B177" s="778" t="s">
        <v>909</v>
      </c>
      <c r="C177" s="790"/>
      <c r="D177" s="793"/>
      <c r="E177" s="793"/>
      <c r="F177" s="793"/>
      <c r="G177" s="793"/>
      <c r="H177" s="793"/>
      <c r="I177" s="793"/>
      <c r="J177" s="793"/>
      <c r="K177" s="793"/>
      <c r="L177" s="793"/>
      <c r="M177" s="793"/>
      <c r="N177" s="793"/>
      <c r="O177" s="793"/>
      <c r="P177" s="793">
        <v>217</v>
      </c>
      <c r="Q177" s="793"/>
      <c r="R177" s="793"/>
      <c r="S177" s="793"/>
      <c r="T177" s="793"/>
      <c r="U177" s="773">
        <f t="shared" si="6"/>
        <v>217</v>
      </c>
      <c r="V177" s="794"/>
      <c r="W177" s="793"/>
      <c r="X177" s="793"/>
      <c r="Y177" s="793"/>
      <c r="Z177" s="793"/>
      <c r="AA177" s="793"/>
      <c r="AB177" s="793"/>
      <c r="AC177" s="793"/>
      <c r="AD177" s="793"/>
      <c r="AE177" s="793"/>
      <c r="AF177" s="793"/>
      <c r="AG177" s="777">
        <f t="shared" si="7"/>
        <v>0</v>
      </c>
    </row>
    <row r="178" spans="1:33">
      <c r="A178" s="770">
        <v>174</v>
      </c>
      <c r="B178" s="778" t="s">
        <v>910</v>
      </c>
      <c r="C178" s="790" t="s">
        <v>512</v>
      </c>
      <c r="D178" s="793"/>
      <c r="E178" s="793"/>
      <c r="F178" s="793"/>
      <c r="G178" s="793"/>
      <c r="H178" s="793"/>
      <c r="I178" s="793"/>
      <c r="J178" s="793"/>
      <c r="K178" s="793"/>
      <c r="L178" s="793"/>
      <c r="M178" s="793"/>
      <c r="N178" s="793"/>
      <c r="O178" s="793"/>
      <c r="P178" s="793"/>
      <c r="Q178" s="793"/>
      <c r="R178" s="793"/>
      <c r="S178" s="793"/>
      <c r="T178" s="793"/>
      <c r="U178" s="773">
        <f t="shared" si="6"/>
        <v>0</v>
      </c>
      <c r="V178" s="794"/>
      <c r="W178" s="793"/>
      <c r="X178" s="793"/>
      <c r="Y178" s="793">
        <v>289</v>
      </c>
      <c r="Z178" s="793"/>
      <c r="AA178" s="793"/>
      <c r="AB178" s="793"/>
      <c r="AC178" s="793"/>
      <c r="AD178" s="793"/>
      <c r="AE178" s="793"/>
      <c r="AF178" s="793"/>
      <c r="AG178" s="777">
        <f t="shared" si="7"/>
        <v>289</v>
      </c>
    </row>
    <row r="179" spans="1:33">
      <c r="A179" s="770">
        <v>175</v>
      </c>
      <c r="B179" s="778" t="s">
        <v>911</v>
      </c>
      <c r="C179" s="790" t="s">
        <v>814</v>
      </c>
      <c r="D179" s="793"/>
      <c r="E179" s="793"/>
      <c r="F179" s="793"/>
      <c r="G179" s="793"/>
      <c r="H179" s="793"/>
      <c r="I179" s="793">
        <v>2583</v>
      </c>
      <c r="J179" s="793"/>
      <c r="K179" s="793"/>
      <c r="L179" s="793"/>
      <c r="M179" s="793"/>
      <c r="N179" s="793"/>
      <c r="O179" s="793"/>
      <c r="P179" s="793"/>
      <c r="Q179" s="793"/>
      <c r="R179" s="793"/>
      <c r="S179" s="793"/>
      <c r="T179" s="793"/>
      <c r="U179" s="773">
        <f t="shared" si="6"/>
        <v>2583</v>
      </c>
      <c r="V179" s="794"/>
      <c r="W179" s="793"/>
      <c r="X179" s="793"/>
      <c r="Y179" s="793"/>
      <c r="Z179" s="793"/>
      <c r="AA179" s="793"/>
      <c r="AB179" s="793"/>
      <c r="AC179" s="793"/>
      <c r="AD179" s="793"/>
      <c r="AE179" s="793"/>
      <c r="AF179" s="793"/>
      <c r="AG179" s="777">
        <f t="shared" si="7"/>
        <v>0</v>
      </c>
    </row>
    <row r="180" spans="1:33">
      <c r="A180" s="770">
        <v>176</v>
      </c>
      <c r="B180" s="778" t="s">
        <v>812</v>
      </c>
      <c r="C180" s="790"/>
      <c r="D180" s="793"/>
      <c r="E180" s="793"/>
      <c r="F180" s="793"/>
      <c r="G180" s="793"/>
      <c r="H180" s="793"/>
      <c r="I180" s="793"/>
      <c r="J180" s="793"/>
      <c r="K180" s="793"/>
      <c r="L180" s="793"/>
      <c r="M180" s="793"/>
      <c r="N180" s="793"/>
      <c r="O180" s="793"/>
      <c r="P180" s="793">
        <v>-2294</v>
      </c>
      <c r="Q180" s="793"/>
      <c r="R180" s="793"/>
      <c r="S180" s="793"/>
      <c r="T180" s="793"/>
      <c r="U180" s="773">
        <f t="shared" si="6"/>
        <v>-2294</v>
      </c>
      <c r="V180" s="794"/>
      <c r="W180" s="793"/>
      <c r="X180" s="793"/>
      <c r="Y180" s="793"/>
      <c r="Z180" s="793"/>
      <c r="AA180" s="793"/>
      <c r="AB180" s="793"/>
      <c r="AC180" s="793"/>
      <c r="AD180" s="793"/>
      <c r="AE180" s="793"/>
      <c r="AF180" s="793"/>
      <c r="AG180" s="777">
        <f t="shared" si="7"/>
        <v>0</v>
      </c>
    </row>
    <row r="181" spans="1:33">
      <c r="A181" s="770">
        <v>177</v>
      </c>
      <c r="B181" s="778" t="s">
        <v>912</v>
      </c>
      <c r="C181" s="790" t="s">
        <v>843</v>
      </c>
      <c r="D181" s="793"/>
      <c r="E181" s="793"/>
      <c r="F181" s="793"/>
      <c r="G181" s="793"/>
      <c r="H181" s="793"/>
      <c r="I181" s="793"/>
      <c r="J181" s="793"/>
      <c r="K181" s="793"/>
      <c r="L181" s="793"/>
      <c r="M181" s="793"/>
      <c r="N181" s="793"/>
      <c r="O181" s="793"/>
      <c r="P181" s="793"/>
      <c r="Q181" s="793"/>
      <c r="R181" s="793"/>
      <c r="S181" s="793"/>
      <c r="T181" s="793"/>
      <c r="U181" s="773">
        <f t="shared" si="6"/>
        <v>0</v>
      </c>
      <c r="V181" s="794"/>
      <c r="W181" s="793"/>
      <c r="X181" s="793">
        <v>2223</v>
      </c>
      <c r="Y181" s="793"/>
      <c r="Z181" s="793"/>
      <c r="AA181" s="793"/>
      <c r="AB181" s="793"/>
      <c r="AC181" s="793"/>
      <c r="AD181" s="793"/>
      <c r="AE181" s="793"/>
      <c r="AF181" s="793"/>
      <c r="AG181" s="777">
        <f t="shared" si="7"/>
        <v>2223</v>
      </c>
    </row>
    <row r="182" spans="1:33">
      <c r="A182" s="770">
        <v>178</v>
      </c>
      <c r="B182" s="778" t="s">
        <v>913</v>
      </c>
      <c r="C182" s="790" t="s">
        <v>843</v>
      </c>
      <c r="D182" s="793"/>
      <c r="E182" s="793"/>
      <c r="F182" s="793"/>
      <c r="G182" s="793"/>
      <c r="H182" s="793"/>
      <c r="I182" s="793"/>
      <c r="J182" s="793"/>
      <c r="K182" s="793"/>
      <c r="L182" s="793"/>
      <c r="M182" s="793"/>
      <c r="N182" s="793"/>
      <c r="O182" s="793"/>
      <c r="P182" s="793"/>
      <c r="Q182" s="793"/>
      <c r="R182" s="793"/>
      <c r="S182" s="793"/>
      <c r="T182" s="793"/>
      <c r="U182" s="773">
        <f t="shared" si="6"/>
        <v>0</v>
      </c>
      <c r="V182" s="794"/>
      <c r="W182" s="793"/>
      <c r="X182" s="793">
        <v>3498</v>
      </c>
      <c r="Y182" s="793"/>
      <c r="Z182" s="793"/>
      <c r="AA182" s="793"/>
      <c r="AB182" s="793"/>
      <c r="AC182" s="793"/>
      <c r="AD182" s="793"/>
      <c r="AE182" s="793"/>
      <c r="AF182" s="793"/>
      <c r="AG182" s="777">
        <f t="shared" si="7"/>
        <v>3498</v>
      </c>
    </row>
    <row r="183" spans="1:33">
      <c r="A183" s="770">
        <v>179</v>
      </c>
      <c r="B183" s="778" t="s">
        <v>914</v>
      </c>
      <c r="C183" s="790" t="s">
        <v>512</v>
      </c>
      <c r="D183" s="793"/>
      <c r="E183" s="793"/>
      <c r="F183" s="793"/>
      <c r="G183" s="793"/>
      <c r="H183" s="793">
        <v>5721</v>
      </c>
      <c r="I183" s="793"/>
      <c r="J183" s="793"/>
      <c r="K183" s="793"/>
      <c r="L183" s="793"/>
      <c r="M183" s="793"/>
      <c r="N183" s="793"/>
      <c r="O183" s="793"/>
      <c r="P183" s="793"/>
      <c r="Q183" s="793"/>
      <c r="R183" s="793"/>
      <c r="S183" s="793"/>
      <c r="T183" s="793"/>
      <c r="U183" s="773">
        <f t="shared" si="6"/>
        <v>5721</v>
      </c>
      <c r="V183" s="794"/>
      <c r="W183" s="793"/>
      <c r="X183" s="793"/>
      <c r="Y183" s="793"/>
      <c r="Z183" s="793"/>
      <c r="AA183" s="793"/>
      <c r="AB183" s="793"/>
      <c r="AC183" s="793"/>
      <c r="AD183" s="793"/>
      <c r="AE183" s="793"/>
      <c r="AF183" s="793"/>
      <c r="AG183" s="777">
        <f t="shared" si="7"/>
        <v>0</v>
      </c>
    </row>
    <row r="184" spans="1:33">
      <c r="A184" s="770">
        <v>180</v>
      </c>
      <c r="B184" s="778" t="s">
        <v>915</v>
      </c>
      <c r="C184" s="790" t="s">
        <v>512</v>
      </c>
      <c r="D184" s="793"/>
      <c r="E184" s="793"/>
      <c r="F184" s="793">
        <v>787</v>
      </c>
      <c r="G184" s="793"/>
      <c r="H184" s="793"/>
      <c r="I184" s="793"/>
      <c r="J184" s="793"/>
      <c r="K184" s="793"/>
      <c r="L184" s="793"/>
      <c r="M184" s="793"/>
      <c r="N184" s="793"/>
      <c r="O184" s="793"/>
      <c r="P184" s="793"/>
      <c r="Q184" s="793"/>
      <c r="R184" s="793"/>
      <c r="S184" s="793"/>
      <c r="T184" s="793"/>
      <c r="U184" s="773">
        <f t="shared" si="6"/>
        <v>787</v>
      </c>
      <c r="V184" s="794"/>
      <c r="W184" s="793"/>
      <c r="X184" s="793"/>
      <c r="Y184" s="793"/>
      <c r="Z184" s="793"/>
      <c r="AA184" s="793"/>
      <c r="AB184" s="793"/>
      <c r="AC184" s="793"/>
      <c r="AD184" s="793"/>
      <c r="AE184" s="793"/>
      <c r="AF184" s="793"/>
      <c r="AG184" s="777">
        <f t="shared" si="7"/>
        <v>0</v>
      </c>
    </row>
    <row r="185" spans="1:33">
      <c r="A185" s="770">
        <v>181</v>
      </c>
      <c r="B185" s="778" t="s">
        <v>825</v>
      </c>
      <c r="C185" s="790"/>
      <c r="D185" s="793"/>
      <c r="E185" s="793"/>
      <c r="F185" s="793"/>
      <c r="G185" s="793"/>
      <c r="H185" s="793"/>
      <c r="I185" s="793"/>
      <c r="J185" s="793"/>
      <c r="K185" s="793"/>
      <c r="L185" s="793"/>
      <c r="M185" s="793"/>
      <c r="N185" s="793"/>
      <c r="O185" s="793"/>
      <c r="P185" s="793"/>
      <c r="Q185" s="793"/>
      <c r="R185" s="793">
        <v>-787</v>
      </c>
      <c r="S185" s="793"/>
      <c r="T185" s="793"/>
      <c r="U185" s="773">
        <f t="shared" si="6"/>
        <v>-787</v>
      </c>
      <c r="V185" s="794"/>
      <c r="W185" s="793"/>
      <c r="X185" s="793"/>
      <c r="Y185" s="793"/>
      <c r="Z185" s="793"/>
      <c r="AA185" s="793"/>
      <c r="AB185" s="793"/>
      <c r="AC185" s="793"/>
      <c r="AD185" s="793"/>
      <c r="AE185" s="793"/>
      <c r="AF185" s="793"/>
      <c r="AG185" s="777">
        <f t="shared" si="7"/>
        <v>0</v>
      </c>
    </row>
    <row r="186" spans="1:33">
      <c r="A186" s="770">
        <v>182</v>
      </c>
      <c r="B186" s="778" t="s">
        <v>916</v>
      </c>
      <c r="C186" s="790" t="s">
        <v>811</v>
      </c>
      <c r="D186" s="793"/>
      <c r="E186" s="793"/>
      <c r="F186" s="793"/>
      <c r="G186" s="793"/>
      <c r="H186" s="793"/>
      <c r="I186" s="793"/>
      <c r="J186" s="793">
        <v>6750</v>
      </c>
      <c r="K186" s="793"/>
      <c r="L186" s="793"/>
      <c r="M186" s="793"/>
      <c r="N186" s="793"/>
      <c r="O186" s="793"/>
      <c r="P186" s="793"/>
      <c r="Q186" s="793"/>
      <c r="R186" s="793"/>
      <c r="S186" s="793"/>
      <c r="T186" s="793"/>
      <c r="U186" s="773">
        <f t="shared" si="6"/>
        <v>6750</v>
      </c>
      <c r="V186" s="794"/>
      <c r="W186" s="793"/>
      <c r="X186" s="793"/>
      <c r="Y186" s="793"/>
      <c r="Z186" s="793"/>
      <c r="AA186" s="793"/>
      <c r="AB186" s="793"/>
      <c r="AC186" s="793"/>
      <c r="AD186" s="793"/>
      <c r="AE186" s="793"/>
      <c r="AF186" s="793"/>
      <c r="AG186" s="777">
        <f t="shared" si="7"/>
        <v>0</v>
      </c>
    </row>
    <row r="187" spans="1:33">
      <c r="A187" s="770">
        <v>183</v>
      </c>
      <c r="B187" s="778" t="s">
        <v>825</v>
      </c>
      <c r="C187" s="790"/>
      <c r="D187" s="793"/>
      <c r="E187" s="793"/>
      <c r="F187" s="793"/>
      <c r="G187" s="793"/>
      <c r="H187" s="793"/>
      <c r="I187" s="793"/>
      <c r="J187" s="793"/>
      <c r="K187" s="793"/>
      <c r="L187" s="793"/>
      <c r="M187" s="793"/>
      <c r="N187" s="793"/>
      <c r="O187" s="793"/>
      <c r="P187" s="793"/>
      <c r="Q187" s="793"/>
      <c r="R187" s="793">
        <v>-6750</v>
      </c>
      <c r="S187" s="793"/>
      <c r="T187" s="793"/>
      <c r="U187" s="773">
        <f t="shared" si="6"/>
        <v>-6750</v>
      </c>
      <c r="V187" s="794"/>
      <c r="W187" s="793"/>
      <c r="X187" s="793"/>
      <c r="Y187" s="793"/>
      <c r="Z187" s="793"/>
      <c r="AA187" s="793"/>
      <c r="AB187" s="793"/>
      <c r="AC187" s="793"/>
      <c r="AD187" s="793"/>
      <c r="AE187" s="793"/>
      <c r="AF187" s="793"/>
      <c r="AG187" s="777">
        <f t="shared" si="7"/>
        <v>0</v>
      </c>
    </row>
    <row r="188" spans="1:33">
      <c r="A188" s="770">
        <v>184</v>
      </c>
      <c r="B188" s="778" t="s">
        <v>917</v>
      </c>
      <c r="C188" s="790" t="s">
        <v>897</v>
      </c>
      <c r="D188" s="793"/>
      <c r="E188" s="793"/>
      <c r="F188" s="793"/>
      <c r="G188" s="793"/>
      <c r="H188" s="793"/>
      <c r="I188" s="793"/>
      <c r="J188" s="793">
        <v>31742</v>
      </c>
      <c r="K188" s="793"/>
      <c r="L188" s="793"/>
      <c r="M188" s="793"/>
      <c r="N188" s="793"/>
      <c r="O188" s="793"/>
      <c r="P188" s="793"/>
      <c r="Q188" s="793"/>
      <c r="R188" s="793"/>
      <c r="S188" s="793"/>
      <c r="T188" s="793"/>
      <c r="U188" s="773">
        <f t="shared" si="6"/>
        <v>31742</v>
      </c>
      <c r="V188" s="794"/>
      <c r="W188" s="793"/>
      <c r="X188" s="793"/>
      <c r="Y188" s="793"/>
      <c r="Z188" s="793"/>
      <c r="AA188" s="793"/>
      <c r="AB188" s="793"/>
      <c r="AC188" s="793"/>
      <c r="AD188" s="793"/>
      <c r="AE188" s="793"/>
      <c r="AF188" s="793"/>
      <c r="AG188" s="777">
        <f t="shared" si="7"/>
        <v>0</v>
      </c>
    </row>
    <row r="189" spans="1:33">
      <c r="A189" s="770">
        <v>185</v>
      </c>
      <c r="B189" s="778" t="s">
        <v>825</v>
      </c>
      <c r="C189" s="790"/>
      <c r="D189" s="793"/>
      <c r="E189" s="793"/>
      <c r="F189" s="793"/>
      <c r="G189" s="793"/>
      <c r="H189" s="793"/>
      <c r="I189" s="793"/>
      <c r="J189" s="793"/>
      <c r="K189" s="793"/>
      <c r="L189" s="793"/>
      <c r="M189" s="793"/>
      <c r="N189" s="793"/>
      <c r="O189" s="793"/>
      <c r="P189" s="793"/>
      <c r="Q189" s="793"/>
      <c r="R189" s="793">
        <v>-31742</v>
      </c>
      <c r="S189" s="793"/>
      <c r="T189" s="793"/>
      <c r="U189" s="773">
        <f t="shared" si="6"/>
        <v>-31742</v>
      </c>
      <c r="V189" s="794"/>
      <c r="W189" s="793"/>
      <c r="X189" s="793"/>
      <c r="Y189" s="793"/>
      <c r="Z189" s="793"/>
      <c r="AA189" s="793"/>
      <c r="AB189" s="793"/>
      <c r="AC189" s="793"/>
      <c r="AD189" s="793"/>
      <c r="AE189" s="793"/>
      <c r="AF189" s="793"/>
      <c r="AG189" s="777">
        <f t="shared" si="7"/>
        <v>0</v>
      </c>
    </row>
    <row r="190" spans="1:33" s="801" customFormat="1" ht="13.8" thickBot="1">
      <c r="A190" s="795"/>
      <c r="B190" s="796" t="s">
        <v>181</v>
      </c>
      <c r="C190" s="796"/>
      <c r="D190" s="797">
        <f>SUM(D6:D189)</f>
        <v>19</v>
      </c>
      <c r="E190" s="797">
        <f t="shared" ref="E190:Q190" si="8">SUM(E6:E189)</f>
        <v>0</v>
      </c>
      <c r="F190" s="797">
        <f t="shared" si="8"/>
        <v>23939</v>
      </c>
      <c r="G190" s="797">
        <f t="shared" si="8"/>
        <v>-1158</v>
      </c>
      <c r="H190" s="797">
        <f t="shared" si="8"/>
        <v>14522</v>
      </c>
      <c r="I190" s="797">
        <f t="shared" si="8"/>
        <v>9508</v>
      </c>
      <c r="J190" s="797">
        <f>SUM(J6:J189)</f>
        <v>76289</v>
      </c>
      <c r="K190" s="797">
        <f t="shared" si="8"/>
        <v>5663</v>
      </c>
      <c r="L190" s="797">
        <f t="shared" si="8"/>
        <v>8317</v>
      </c>
      <c r="M190" s="797">
        <f t="shared" si="8"/>
        <v>19584</v>
      </c>
      <c r="N190" s="797">
        <f t="shared" si="8"/>
        <v>3200</v>
      </c>
      <c r="O190" s="797">
        <f t="shared" si="8"/>
        <v>0</v>
      </c>
      <c r="P190" s="797">
        <f t="shared" si="8"/>
        <v>-2506</v>
      </c>
      <c r="Q190" s="797">
        <f t="shared" si="8"/>
        <v>0</v>
      </c>
      <c r="R190" s="797">
        <f>SUM(R6:R189)</f>
        <v>-93753</v>
      </c>
      <c r="S190" s="797">
        <f>SUM(S6:S189)</f>
        <v>-5418</v>
      </c>
      <c r="T190" s="797">
        <f>SUM(T6:T189)</f>
        <v>-274</v>
      </c>
      <c r="U190" s="798">
        <f>SUM(D190:T190)</f>
        <v>57932</v>
      </c>
      <c r="V190" s="799">
        <f>SUM(V5:V189)</f>
        <v>0</v>
      </c>
      <c r="W190" s="799">
        <f t="shared" ref="W190:AF190" si="9">SUM(W5:W189)</f>
        <v>0</v>
      </c>
      <c r="X190" s="799">
        <f t="shared" si="9"/>
        <v>8310</v>
      </c>
      <c r="Y190" s="799">
        <f t="shared" si="9"/>
        <v>1956</v>
      </c>
      <c r="Z190" s="799">
        <f t="shared" si="9"/>
        <v>0</v>
      </c>
      <c r="AA190" s="799">
        <f t="shared" si="9"/>
        <v>0</v>
      </c>
      <c r="AB190" s="799">
        <f t="shared" si="9"/>
        <v>0</v>
      </c>
      <c r="AC190" s="799">
        <f t="shared" si="9"/>
        <v>0</v>
      </c>
      <c r="AD190" s="799">
        <f t="shared" si="9"/>
        <v>0</v>
      </c>
      <c r="AE190" s="799">
        <f t="shared" si="9"/>
        <v>0</v>
      </c>
      <c r="AF190" s="799">
        <f t="shared" si="9"/>
        <v>47666</v>
      </c>
      <c r="AG190" s="800">
        <f t="shared" ref="AG190" si="10">SUM(V190:AF190)</f>
        <v>57932</v>
      </c>
    </row>
  </sheetData>
  <mergeCells count="35">
    <mergeCell ref="AF3:AF4"/>
    <mergeCell ref="Z3:Z4"/>
    <mergeCell ref="AA3:AA4"/>
    <mergeCell ref="AB3:AB4"/>
    <mergeCell ref="AC3:AC4"/>
    <mergeCell ref="AD3:AD4"/>
    <mergeCell ref="AE3:AE4"/>
    <mergeCell ref="Y3:Y4"/>
    <mergeCell ref="M3:M4"/>
    <mergeCell ref="N3:N4"/>
    <mergeCell ref="O3:O4"/>
    <mergeCell ref="P3:P4"/>
    <mergeCell ref="Q3:Q4"/>
    <mergeCell ref="R3:R4"/>
    <mergeCell ref="S3:S4"/>
    <mergeCell ref="T3:T4"/>
    <mergeCell ref="V3:V4"/>
    <mergeCell ref="W3:W4"/>
    <mergeCell ref="X3:X4"/>
    <mergeCell ref="L3:L4"/>
    <mergeCell ref="AE1:AG1"/>
    <mergeCell ref="A2:A4"/>
    <mergeCell ref="B2:B4"/>
    <mergeCell ref="C2:C4"/>
    <mergeCell ref="D2:T2"/>
    <mergeCell ref="U2:U4"/>
    <mergeCell ref="V2:AF2"/>
    <mergeCell ref="AG2:AG4"/>
    <mergeCell ref="D3:D4"/>
    <mergeCell ref="E3:E4"/>
    <mergeCell ref="F3:F4"/>
    <mergeCell ref="G3:G4"/>
    <mergeCell ref="H3:I3"/>
    <mergeCell ref="J3:J4"/>
    <mergeCell ref="K3:K4"/>
  </mergeCells>
  <printOptions horizontalCentered="1"/>
  <pageMargins left="0.23622047244094491" right="0.19685039370078741" top="0.98425196850393704" bottom="0.78740157480314965" header="0.51181102362204722" footer="0.51181102362204722"/>
  <pageSetup paperSize="9" scale="45" fitToHeight="2" orientation="landscape" r:id="rId1"/>
  <headerFooter alignWithMargins="0">
    <oddHeader>&amp;C&amp;"Times New Roman,Félkövér"&amp;16Előirányzat módosítás nyilvántartás Martonvásár Város Önkormányzata 2016. év&amp;R&amp;"Times New Roman CE,Normál" 12.a. melléklet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AC26"/>
  <sheetViews>
    <sheetView workbookViewId="0">
      <selection activeCell="Z1" sqref="Z1:AC1"/>
    </sheetView>
  </sheetViews>
  <sheetFormatPr defaultColWidth="9.109375" defaultRowHeight="13.2"/>
  <cols>
    <col min="1" max="1" width="5.6640625" style="767" customWidth="1"/>
    <col min="2" max="2" width="35.6640625" style="767" customWidth="1"/>
    <col min="3" max="3" width="6.109375" style="767" hidden="1" customWidth="1"/>
    <col min="4" max="4" width="7.44140625" style="767" customWidth="1"/>
    <col min="5" max="5" width="5.6640625" style="767" customWidth="1"/>
    <col min="6" max="7" width="5.5546875" style="767" hidden="1" customWidth="1"/>
    <col min="8" max="8" width="5.44140625" style="767" hidden="1" customWidth="1"/>
    <col min="9" max="9" width="5.33203125" style="767" hidden="1" customWidth="1"/>
    <col min="10" max="10" width="5.109375" style="767" hidden="1" customWidth="1"/>
    <col min="11" max="11" width="0.109375" style="767" hidden="1" customWidth="1"/>
    <col min="12" max="12" width="8.109375" style="767" customWidth="1"/>
    <col min="13" max="13" width="7.88671875" style="767" customWidth="1"/>
    <col min="14" max="14" width="8.5546875" style="767" customWidth="1"/>
    <col min="15" max="15" width="7.33203125" style="767" customWidth="1"/>
    <col min="16" max="16" width="6.5546875" style="767" customWidth="1"/>
    <col min="17" max="17" width="8.109375" style="767" customWidth="1"/>
    <col min="18" max="18" width="9" style="767" customWidth="1"/>
    <col min="19" max="19" width="8.88671875" style="767" customWidth="1"/>
    <col min="20" max="20" width="8.33203125" style="767" customWidth="1"/>
    <col min="21" max="22" width="9.109375" style="767"/>
    <col min="23" max="24" width="9" style="767" customWidth="1"/>
    <col min="25" max="25" width="6.88671875" style="767" customWidth="1"/>
    <col min="26" max="26" width="7.88671875" style="767" customWidth="1"/>
    <col min="27" max="27" width="9.33203125" style="767" customWidth="1"/>
    <col min="28" max="28" width="7" style="767" hidden="1" customWidth="1"/>
    <col min="29" max="16384" width="9.109375" style="767"/>
  </cols>
  <sheetData>
    <row r="1" spans="1:29" ht="15" customHeight="1" thickBot="1">
      <c r="Z1" s="1160" t="s">
        <v>411</v>
      </c>
      <c r="AA1" s="1160"/>
      <c r="AB1" s="1160"/>
      <c r="AC1" s="1160"/>
    </row>
    <row r="2" spans="1:29" ht="31.5" customHeight="1">
      <c r="A2" s="1161" t="s">
        <v>352</v>
      </c>
      <c r="B2" s="1163" t="s">
        <v>768</v>
      </c>
      <c r="C2" s="1163" t="s">
        <v>918</v>
      </c>
      <c r="D2" s="1165" t="s">
        <v>312</v>
      </c>
      <c r="E2" s="1165"/>
      <c r="F2" s="1165"/>
      <c r="G2" s="1165"/>
      <c r="H2" s="1165"/>
      <c r="I2" s="1165"/>
      <c r="J2" s="1165"/>
      <c r="K2" s="1165"/>
      <c r="L2" s="1165"/>
      <c r="M2" s="1165"/>
      <c r="N2" s="1165"/>
      <c r="O2" s="1165"/>
      <c r="P2" s="1165"/>
      <c r="Q2" s="1165"/>
      <c r="R2" s="1167" t="s">
        <v>290</v>
      </c>
      <c r="S2" s="1165" t="s">
        <v>303</v>
      </c>
      <c r="T2" s="1165"/>
      <c r="U2" s="1165"/>
      <c r="V2" s="1165"/>
      <c r="W2" s="1165"/>
      <c r="X2" s="1165"/>
      <c r="Y2" s="1165"/>
      <c r="Z2" s="1165"/>
      <c r="AA2" s="1166"/>
      <c r="AB2" s="1167" t="s">
        <v>770</v>
      </c>
      <c r="AC2" s="1175" t="s">
        <v>919</v>
      </c>
    </row>
    <row r="3" spans="1:29" s="802" customFormat="1" ht="25.5" customHeight="1">
      <c r="A3" s="1162"/>
      <c r="B3" s="1159"/>
      <c r="C3" s="1164"/>
      <c r="D3" s="1159" t="s">
        <v>920</v>
      </c>
      <c r="E3" s="1159" t="s">
        <v>921</v>
      </c>
      <c r="F3" s="1159" t="s">
        <v>922</v>
      </c>
      <c r="G3" s="1159"/>
      <c r="H3" s="1159"/>
      <c r="I3" s="1159"/>
      <c r="J3" s="1159"/>
      <c r="K3" s="1159"/>
      <c r="L3" s="1159" t="s">
        <v>152</v>
      </c>
      <c r="M3" s="1159" t="s">
        <v>164</v>
      </c>
      <c r="N3" s="1171"/>
      <c r="O3" s="1159" t="s">
        <v>774</v>
      </c>
      <c r="P3" s="1159" t="s">
        <v>923</v>
      </c>
      <c r="Q3" s="1159" t="s">
        <v>924</v>
      </c>
      <c r="R3" s="1168"/>
      <c r="S3" s="1159" t="s">
        <v>784</v>
      </c>
      <c r="T3" s="1159" t="s">
        <v>785</v>
      </c>
      <c r="U3" s="1159" t="s">
        <v>778</v>
      </c>
      <c r="V3" s="1159" t="s">
        <v>925</v>
      </c>
      <c r="W3" s="1171"/>
      <c r="X3" s="1177" t="s">
        <v>926</v>
      </c>
      <c r="Y3" s="1159" t="s">
        <v>927</v>
      </c>
      <c r="Z3" s="1171"/>
      <c r="AA3" s="1177" t="s">
        <v>928</v>
      </c>
      <c r="AB3" s="1168"/>
      <c r="AC3" s="1176"/>
    </row>
    <row r="4" spans="1:29" s="802" customFormat="1" ht="23.25" customHeight="1">
      <c r="A4" s="1162"/>
      <c r="B4" s="1159"/>
      <c r="C4" s="1164"/>
      <c r="D4" s="1159"/>
      <c r="E4" s="1159"/>
      <c r="F4" s="803" t="s">
        <v>929</v>
      </c>
      <c r="G4" s="803" t="s">
        <v>930</v>
      </c>
      <c r="H4" s="803" t="s">
        <v>931</v>
      </c>
      <c r="I4" s="803" t="s">
        <v>932</v>
      </c>
      <c r="J4" s="803" t="s">
        <v>933</v>
      </c>
      <c r="K4" s="803" t="s">
        <v>934</v>
      </c>
      <c r="L4" s="1159"/>
      <c r="M4" s="854" t="s">
        <v>795</v>
      </c>
      <c r="N4" s="854" t="s">
        <v>796</v>
      </c>
      <c r="O4" s="1159"/>
      <c r="P4" s="1159"/>
      <c r="Q4" s="1159"/>
      <c r="R4" s="1168"/>
      <c r="S4" s="1159"/>
      <c r="T4" s="1159"/>
      <c r="U4" s="1159"/>
      <c r="V4" s="854" t="s">
        <v>935</v>
      </c>
      <c r="W4" s="854" t="s">
        <v>936</v>
      </c>
      <c r="X4" s="1178"/>
      <c r="Y4" s="854" t="s">
        <v>935</v>
      </c>
      <c r="Z4" s="854" t="s">
        <v>936</v>
      </c>
      <c r="AA4" s="1179"/>
      <c r="AB4" s="1168"/>
      <c r="AC4" s="1176"/>
    </row>
    <row r="5" spans="1:29">
      <c r="A5" s="804">
        <v>1</v>
      </c>
      <c r="B5" s="778" t="s">
        <v>937</v>
      </c>
      <c r="C5" s="805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07">
        <f t="shared" ref="R5:R25" si="0">SUM(D5:Q5)</f>
        <v>0</v>
      </c>
      <c r="S5" s="806"/>
      <c r="T5" s="806"/>
      <c r="U5" s="806">
        <v>-1154</v>
      </c>
      <c r="V5" s="806"/>
      <c r="W5" s="806"/>
      <c r="X5" s="806"/>
      <c r="Y5" s="806"/>
      <c r="Z5" s="806"/>
      <c r="AA5" s="808"/>
      <c r="AB5" s="807">
        <f>SUM(S5:Z5)</f>
        <v>-1154</v>
      </c>
      <c r="AC5" s="809">
        <f>SUM(S5:AA5)</f>
        <v>-1154</v>
      </c>
    </row>
    <row r="6" spans="1:29" ht="26.4">
      <c r="A6" s="804">
        <v>2</v>
      </c>
      <c r="B6" s="787" t="s">
        <v>938</v>
      </c>
      <c r="C6" s="805"/>
      <c r="D6" s="806">
        <v>-909</v>
      </c>
      <c r="E6" s="806">
        <v>-245</v>
      </c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07">
        <f t="shared" si="0"/>
        <v>-1154</v>
      </c>
      <c r="S6" s="806"/>
      <c r="T6" s="806"/>
      <c r="U6" s="806"/>
      <c r="V6" s="806"/>
      <c r="W6" s="806"/>
      <c r="X6" s="806"/>
      <c r="Y6" s="806"/>
      <c r="Z6" s="806"/>
      <c r="AA6" s="808"/>
      <c r="AB6" s="807">
        <f>SUM(S6:Z6)</f>
        <v>0</v>
      </c>
      <c r="AC6" s="809">
        <f t="shared" ref="AC6:AC25" si="1">SUM(S6:AA6)</f>
        <v>0</v>
      </c>
    </row>
    <row r="7" spans="1:29">
      <c r="A7" s="804">
        <v>3</v>
      </c>
      <c r="B7" s="778" t="s">
        <v>939</v>
      </c>
      <c r="C7" s="805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07">
        <f t="shared" si="0"/>
        <v>0</v>
      </c>
      <c r="S7" s="806"/>
      <c r="T7" s="806">
        <v>40</v>
      </c>
      <c r="U7" s="806"/>
      <c r="V7" s="806"/>
      <c r="W7" s="806"/>
      <c r="X7" s="806"/>
      <c r="Y7" s="806"/>
      <c r="Z7" s="806"/>
      <c r="AA7" s="808"/>
      <c r="AB7" s="807">
        <f>SUM(S7:Z7)</f>
        <v>40</v>
      </c>
      <c r="AC7" s="809">
        <f t="shared" si="1"/>
        <v>40</v>
      </c>
    </row>
    <row r="8" spans="1:29">
      <c r="A8" s="804">
        <v>4</v>
      </c>
      <c r="B8" s="778" t="s">
        <v>940</v>
      </c>
      <c r="C8" s="805"/>
      <c r="D8" s="806"/>
      <c r="E8" s="806"/>
      <c r="F8" s="806"/>
      <c r="G8" s="806"/>
      <c r="H8" s="806"/>
      <c r="I8" s="806"/>
      <c r="J8" s="806"/>
      <c r="K8" s="806"/>
      <c r="L8" s="806">
        <v>40</v>
      </c>
      <c r="M8" s="806"/>
      <c r="N8" s="806"/>
      <c r="O8" s="806"/>
      <c r="P8" s="806"/>
      <c r="Q8" s="806"/>
      <c r="R8" s="807">
        <f t="shared" si="0"/>
        <v>40</v>
      </c>
      <c r="S8" s="806"/>
      <c r="T8" s="806"/>
      <c r="U8" s="806"/>
      <c r="V8" s="806"/>
      <c r="W8" s="806"/>
      <c r="X8" s="806"/>
      <c r="Y8" s="806"/>
      <c r="Z8" s="806"/>
      <c r="AA8" s="808"/>
      <c r="AB8" s="807">
        <f>SUM(S8:Z8)</f>
        <v>0</v>
      </c>
      <c r="AC8" s="809">
        <f t="shared" si="1"/>
        <v>0</v>
      </c>
    </row>
    <row r="9" spans="1:29">
      <c r="A9" s="804">
        <v>5</v>
      </c>
      <c r="B9" s="778" t="s">
        <v>941</v>
      </c>
      <c r="C9" s="805"/>
      <c r="D9" s="806"/>
      <c r="E9" s="806"/>
      <c r="F9" s="806"/>
      <c r="G9" s="806"/>
      <c r="H9" s="806"/>
      <c r="I9" s="806"/>
      <c r="J9" s="806"/>
      <c r="K9" s="806"/>
      <c r="L9" s="806"/>
      <c r="M9" s="806"/>
      <c r="N9" s="806"/>
      <c r="O9" s="806"/>
      <c r="P9" s="806"/>
      <c r="Q9" s="806"/>
      <c r="R9" s="807">
        <f t="shared" si="0"/>
        <v>0</v>
      </c>
      <c r="S9" s="806"/>
      <c r="T9" s="806"/>
      <c r="U9" s="806">
        <v>179</v>
      </c>
      <c r="V9" s="806"/>
      <c r="W9" s="806"/>
      <c r="X9" s="806"/>
      <c r="Y9" s="806"/>
      <c r="Z9" s="806"/>
      <c r="AA9" s="808"/>
      <c r="AB9" s="807">
        <f>SUM(S9:Z9)</f>
        <v>179</v>
      </c>
      <c r="AC9" s="809">
        <f t="shared" si="1"/>
        <v>179</v>
      </c>
    </row>
    <row r="10" spans="1:29">
      <c r="A10" s="804">
        <v>6</v>
      </c>
      <c r="B10" s="778" t="s">
        <v>942</v>
      </c>
      <c r="C10" s="805"/>
      <c r="D10" s="789">
        <v>141</v>
      </c>
      <c r="E10" s="789">
        <v>38</v>
      </c>
      <c r="F10" s="789"/>
      <c r="G10" s="789"/>
      <c r="H10" s="789"/>
      <c r="I10" s="789"/>
      <c r="J10" s="789"/>
      <c r="K10" s="789"/>
      <c r="L10" s="789"/>
      <c r="M10" s="789"/>
      <c r="N10" s="789"/>
      <c r="O10" s="789"/>
      <c r="P10" s="789"/>
      <c r="Q10" s="789"/>
      <c r="R10" s="807">
        <f t="shared" si="0"/>
        <v>179</v>
      </c>
      <c r="S10" s="789"/>
      <c r="T10" s="789"/>
      <c r="U10" s="789"/>
      <c r="V10" s="789"/>
      <c r="W10" s="789"/>
      <c r="X10" s="789"/>
      <c r="Y10" s="789"/>
      <c r="Z10" s="789"/>
      <c r="AA10" s="774"/>
      <c r="AB10" s="805"/>
      <c r="AC10" s="809">
        <f t="shared" si="1"/>
        <v>0</v>
      </c>
    </row>
    <row r="11" spans="1:29">
      <c r="A11" s="804">
        <v>7</v>
      </c>
      <c r="B11" s="778" t="s">
        <v>943</v>
      </c>
      <c r="C11" s="805"/>
      <c r="D11" s="789"/>
      <c r="E11" s="789"/>
      <c r="F11" s="789"/>
      <c r="G11" s="789"/>
      <c r="H11" s="789"/>
      <c r="I11" s="789"/>
      <c r="J11" s="789"/>
      <c r="K11" s="789"/>
      <c r="L11" s="789"/>
      <c r="M11" s="789"/>
      <c r="N11" s="789"/>
      <c r="O11" s="789"/>
      <c r="P11" s="789"/>
      <c r="Q11" s="789"/>
      <c r="R11" s="807">
        <f t="shared" si="0"/>
        <v>0</v>
      </c>
      <c r="S11" s="789"/>
      <c r="T11" s="789"/>
      <c r="U11" s="789">
        <v>1668</v>
      </c>
      <c r="V11" s="789"/>
      <c r="W11" s="789"/>
      <c r="X11" s="789"/>
      <c r="Y11" s="789"/>
      <c r="Z11" s="789"/>
      <c r="AA11" s="774"/>
      <c r="AB11" s="805"/>
      <c r="AC11" s="809">
        <f t="shared" si="1"/>
        <v>1668</v>
      </c>
    </row>
    <row r="12" spans="1:29">
      <c r="A12" s="804">
        <v>8</v>
      </c>
      <c r="B12" s="778" t="s">
        <v>944</v>
      </c>
      <c r="C12" s="805"/>
      <c r="D12" s="789"/>
      <c r="E12" s="789"/>
      <c r="F12" s="789"/>
      <c r="G12" s="789"/>
      <c r="H12" s="789"/>
      <c r="I12" s="789"/>
      <c r="J12" s="789"/>
      <c r="K12" s="789"/>
      <c r="L12" s="789">
        <v>168</v>
      </c>
      <c r="M12" s="789"/>
      <c r="N12" s="789"/>
      <c r="O12" s="789"/>
      <c r="P12" s="789"/>
      <c r="Q12" s="789"/>
      <c r="R12" s="807">
        <f t="shared" si="0"/>
        <v>168</v>
      </c>
      <c r="S12" s="789"/>
      <c r="T12" s="789"/>
      <c r="U12" s="789"/>
      <c r="V12" s="789"/>
      <c r="W12" s="789"/>
      <c r="X12" s="789"/>
      <c r="Y12" s="789"/>
      <c r="Z12" s="789"/>
      <c r="AA12" s="774"/>
      <c r="AB12" s="805"/>
      <c r="AC12" s="809">
        <f t="shared" si="1"/>
        <v>0</v>
      </c>
    </row>
    <row r="13" spans="1:29">
      <c r="A13" s="804">
        <v>9</v>
      </c>
      <c r="B13" s="778" t="s">
        <v>945</v>
      </c>
      <c r="C13" s="805"/>
      <c r="D13" s="789"/>
      <c r="E13" s="789"/>
      <c r="F13" s="789"/>
      <c r="G13" s="789"/>
      <c r="H13" s="789"/>
      <c r="I13" s="789"/>
      <c r="J13" s="789"/>
      <c r="K13" s="789"/>
      <c r="L13" s="789">
        <v>1500</v>
      </c>
      <c r="M13" s="789"/>
      <c r="N13" s="789"/>
      <c r="O13" s="789"/>
      <c r="P13" s="789"/>
      <c r="Q13" s="789"/>
      <c r="R13" s="807">
        <f t="shared" si="0"/>
        <v>1500</v>
      </c>
      <c r="S13" s="789"/>
      <c r="T13" s="789"/>
      <c r="U13" s="789"/>
      <c r="V13" s="789"/>
      <c r="W13" s="789"/>
      <c r="X13" s="789"/>
      <c r="Y13" s="789"/>
      <c r="Z13" s="789"/>
      <c r="AA13" s="774"/>
      <c r="AB13" s="805"/>
      <c r="AC13" s="809">
        <f t="shared" si="1"/>
        <v>0</v>
      </c>
    </row>
    <row r="14" spans="1:29">
      <c r="A14" s="804">
        <v>10</v>
      </c>
      <c r="B14" s="778" t="s">
        <v>946</v>
      </c>
      <c r="C14" s="805"/>
      <c r="D14" s="789"/>
      <c r="E14" s="789"/>
      <c r="F14" s="789"/>
      <c r="G14" s="789"/>
      <c r="H14" s="789"/>
      <c r="I14" s="789"/>
      <c r="J14" s="789"/>
      <c r="K14" s="789"/>
      <c r="L14" s="789"/>
      <c r="M14" s="789"/>
      <c r="N14" s="789"/>
      <c r="O14" s="789"/>
      <c r="P14" s="789"/>
      <c r="Q14" s="789"/>
      <c r="R14" s="807">
        <f t="shared" si="0"/>
        <v>0</v>
      </c>
      <c r="S14" s="789"/>
      <c r="T14" s="789"/>
      <c r="U14" s="789">
        <v>1199</v>
      </c>
      <c r="V14" s="789"/>
      <c r="W14" s="789"/>
      <c r="X14" s="789"/>
      <c r="Y14" s="789"/>
      <c r="Z14" s="789"/>
      <c r="AA14" s="774"/>
      <c r="AB14" s="805"/>
      <c r="AC14" s="809">
        <f t="shared" si="1"/>
        <v>1199</v>
      </c>
    </row>
    <row r="15" spans="1:29">
      <c r="A15" s="804">
        <v>11</v>
      </c>
      <c r="B15" s="778" t="s">
        <v>947</v>
      </c>
      <c r="C15" s="805"/>
      <c r="D15" s="789"/>
      <c r="E15" s="789"/>
      <c r="F15" s="789"/>
      <c r="G15" s="789"/>
      <c r="H15" s="789"/>
      <c r="I15" s="789"/>
      <c r="J15" s="789"/>
      <c r="K15" s="789"/>
      <c r="L15" s="789"/>
      <c r="M15" s="789"/>
      <c r="N15" s="789"/>
      <c r="O15" s="789">
        <v>1199</v>
      </c>
      <c r="P15" s="789"/>
      <c r="Q15" s="789"/>
      <c r="R15" s="807">
        <f t="shared" si="0"/>
        <v>1199</v>
      </c>
      <c r="S15" s="789"/>
      <c r="T15" s="789"/>
      <c r="U15" s="789"/>
      <c r="V15" s="789"/>
      <c r="W15" s="789"/>
      <c r="X15" s="789"/>
      <c r="Y15" s="789"/>
      <c r="Z15" s="789"/>
      <c r="AA15" s="774"/>
      <c r="AB15" s="805"/>
      <c r="AC15" s="809">
        <f t="shared" si="1"/>
        <v>0</v>
      </c>
    </row>
    <row r="16" spans="1:29">
      <c r="A16" s="804">
        <v>12</v>
      </c>
      <c r="B16" s="778" t="s">
        <v>948</v>
      </c>
      <c r="C16" s="805"/>
      <c r="D16" s="789"/>
      <c r="E16" s="789"/>
      <c r="F16" s="789"/>
      <c r="G16" s="789"/>
      <c r="H16" s="789"/>
      <c r="I16" s="789"/>
      <c r="J16" s="789"/>
      <c r="K16" s="789"/>
      <c r="L16" s="789"/>
      <c r="M16" s="789"/>
      <c r="N16" s="789"/>
      <c r="O16" s="789"/>
      <c r="P16" s="789"/>
      <c r="Q16" s="789"/>
      <c r="R16" s="807">
        <f t="shared" si="0"/>
        <v>0</v>
      </c>
      <c r="S16" s="789"/>
      <c r="T16" s="789"/>
      <c r="U16" s="789">
        <v>419</v>
      </c>
      <c r="V16" s="789"/>
      <c r="W16" s="789"/>
      <c r="X16" s="789"/>
      <c r="Y16" s="789"/>
      <c r="Z16" s="789"/>
      <c r="AA16" s="774"/>
      <c r="AB16" s="805"/>
      <c r="AC16" s="809">
        <f t="shared" si="1"/>
        <v>419</v>
      </c>
    </row>
    <row r="17" spans="1:29">
      <c r="A17" s="804">
        <v>13</v>
      </c>
      <c r="B17" s="778" t="s">
        <v>949</v>
      </c>
      <c r="C17" s="805"/>
      <c r="D17" s="789">
        <v>330</v>
      </c>
      <c r="E17" s="789">
        <v>89</v>
      </c>
      <c r="F17" s="789"/>
      <c r="G17" s="789"/>
      <c r="H17" s="789"/>
      <c r="I17" s="789"/>
      <c r="J17" s="789"/>
      <c r="K17" s="789"/>
      <c r="L17" s="789"/>
      <c r="M17" s="789"/>
      <c r="N17" s="789"/>
      <c r="O17" s="789"/>
      <c r="P17" s="789"/>
      <c r="Q17" s="789"/>
      <c r="R17" s="807">
        <f t="shared" si="0"/>
        <v>419</v>
      </c>
      <c r="S17" s="789"/>
      <c r="T17" s="789"/>
      <c r="U17" s="789"/>
      <c r="V17" s="789"/>
      <c r="W17" s="789"/>
      <c r="X17" s="789"/>
      <c r="Y17" s="789"/>
      <c r="Z17" s="789"/>
      <c r="AA17" s="774"/>
      <c r="AB17" s="805"/>
      <c r="AC17" s="809">
        <f t="shared" si="1"/>
        <v>0</v>
      </c>
    </row>
    <row r="18" spans="1:29">
      <c r="A18" s="804">
        <v>14</v>
      </c>
      <c r="B18" s="778" t="s">
        <v>950</v>
      </c>
      <c r="C18" s="805"/>
      <c r="D18" s="789"/>
      <c r="E18" s="789"/>
      <c r="F18" s="789"/>
      <c r="G18" s="789"/>
      <c r="H18" s="789"/>
      <c r="I18" s="789"/>
      <c r="J18" s="789"/>
      <c r="K18" s="789"/>
      <c r="L18" s="789"/>
      <c r="M18" s="789"/>
      <c r="N18" s="789"/>
      <c r="O18" s="789"/>
      <c r="P18" s="789"/>
      <c r="Q18" s="789"/>
      <c r="R18" s="807">
        <f t="shared" si="0"/>
        <v>0</v>
      </c>
      <c r="S18" s="789"/>
      <c r="T18" s="789">
        <v>139</v>
      </c>
      <c r="U18" s="789"/>
      <c r="V18" s="789"/>
      <c r="W18" s="789"/>
      <c r="X18" s="789"/>
      <c r="Y18" s="789"/>
      <c r="Z18" s="789"/>
      <c r="AA18" s="774"/>
      <c r="AB18" s="805"/>
      <c r="AC18" s="809">
        <f t="shared" si="1"/>
        <v>139</v>
      </c>
    </row>
    <row r="19" spans="1:29">
      <c r="A19" s="804">
        <v>15</v>
      </c>
      <c r="B19" s="778" t="s">
        <v>951</v>
      </c>
      <c r="C19" s="805"/>
      <c r="D19" s="789">
        <v>109</v>
      </c>
      <c r="E19" s="789">
        <v>30</v>
      </c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Q19" s="789"/>
      <c r="R19" s="807">
        <f t="shared" si="0"/>
        <v>139</v>
      </c>
      <c r="S19" s="789"/>
      <c r="T19" s="789"/>
      <c r="U19" s="789"/>
      <c r="V19" s="789"/>
      <c r="W19" s="789"/>
      <c r="X19" s="789"/>
      <c r="Y19" s="789"/>
      <c r="Z19" s="789"/>
      <c r="AA19" s="774"/>
      <c r="AB19" s="805"/>
      <c r="AC19" s="809">
        <f t="shared" si="1"/>
        <v>0</v>
      </c>
    </row>
    <row r="20" spans="1:29">
      <c r="A20" s="804">
        <v>16</v>
      </c>
      <c r="B20" s="778" t="s">
        <v>952</v>
      </c>
      <c r="C20" s="805"/>
      <c r="D20" s="78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807">
        <f t="shared" si="0"/>
        <v>0</v>
      </c>
      <c r="S20" s="789"/>
      <c r="T20" s="789"/>
      <c r="U20" s="789"/>
      <c r="V20" s="789"/>
      <c r="W20" s="789"/>
      <c r="X20" s="789"/>
      <c r="Y20" s="789"/>
      <c r="Z20" s="789"/>
      <c r="AA20" s="774">
        <v>492</v>
      </c>
      <c r="AB20" s="805"/>
      <c r="AC20" s="809">
        <f t="shared" si="1"/>
        <v>492</v>
      </c>
    </row>
    <row r="21" spans="1:29">
      <c r="A21" s="804">
        <v>17</v>
      </c>
      <c r="B21" s="778" t="s">
        <v>953</v>
      </c>
      <c r="C21" s="805"/>
      <c r="D21" s="789"/>
      <c r="E21" s="789"/>
      <c r="F21" s="789"/>
      <c r="G21" s="789"/>
      <c r="H21" s="789"/>
      <c r="I21" s="789"/>
      <c r="J21" s="789"/>
      <c r="K21" s="789"/>
      <c r="L21" s="789"/>
      <c r="M21" s="789">
        <v>492</v>
      </c>
      <c r="N21" s="789"/>
      <c r="O21" s="789"/>
      <c r="P21" s="789"/>
      <c r="Q21" s="789"/>
      <c r="R21" s="807">
        <f t="shared" si="0"/>
        <v>492</v>
      </c>
      <c r="S21" s="789"/>
      <c r="T21" s="789"/>
      <c r="U21" s="789"/>
      <c r="V21" s="789"/>
      <c r="W21" s="789"/>
      <c r="X21" s="789"/>
      <c r="Y21" s="789"/>
      <c r="Z21" s="789"/>
      <c r="AA21" s="774"/>
      <c r="AB21" s="805"/>
      <c r="AC21" s="809">
        <f t="shared" si="1"/>
        <v>0</v>
      </c>
    </row>
    <row r="22" spans="1:29">
      <c r="A22" s="804">
        <v>18</v>
      </c>
      <c r="B22" s="778" t="s">
        <v>954</v>
      </c>
      <c r="C22" s="805"/>
      <c r="D22" s="789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807">
        <f t="shared" si="0"/>
        <v>0</v>
      </c>
      <c r="S22" s="789"/>
      <c r="T22" s="789">
        <v>53</v>
      </c>
      <c r="U22" s="789"/>
      <c r="V22" s="789"/>
      <c r="W22" s="789"/>
      <c r="X22" s="789"/>
      <c r="Y22" s="789"/>
      <c r="Z22" s="789"/>
      <c r="AA22" s="774"/>
      <c r="AB22" s="805"/>
      <c r="AC22" s="809">
        <f t="shared" si="1"/>
        <v>53</v>
      </c>
    </row>
    <row r="23" spans="1:29">
      <c r="A23" s="804">
        <v>19</v>
      </c>
      <c r="B23" s="778" t="s">
        <v>955</v>
      </c>
      <c r="C23" s="805"/>
      <c r="D23" s="789"/>
      <c r="E23" s="789"/>
      <c r="F23" s="789"/>
      <c r="G23" s="789"/>
      <c r="H23" s="789"/>
      <c r="I23" s="789"/>
      <c r="J23" s="789"/>
      <c r="K23" s="789"/>
      <c r="L23" s="789"/>
      <c r="M23" s="789">
        <v>7</v>
      </c>
      <c r="N23" s="789"/>
      <c r="O23" s="789"/>
      <c r="P23" s="789"/>
      <c r="Q23" s="789"/>
      <c r="R23" s="807">
        <f t="shared" si="0"/>
        <v>7</v>
      </c>
      <c r="S23" s="789"/>
      <c r="T23" s="789"/>
      <c r="U23" s="789"/>
      <c r="V23" s="789"/>
      <c r="W23" s="789"/>
      <c r="X23" s="789"/>
      <c r="Y23" s="789"/>
      <c r="Z23" s="789"/>
      <c r="AA23" s="774"/>
      <c r="AB23" s="805"/>
      <c r="AC23" s="809">
        <f t="shared" si="1"/>
        <v>0</v>
      </c>
    </row>
    <row r="24" spans="1:29">
      <c r="A24" s="804">
        <v>20</v>
      </c>
      <c r="B24" s="778" t="s">
        <v>956</v>
      </c>
      <c r="C24" s="805"/>
      <c r="D24" s="789"/>
      <c r="E24" s="789"/>
      <c r="F24" s="789"/>
      <c r="G24" s="789"/>
      <c r="H24" s="789"/>
      <c r="I24" s="789"/>
      <c r="J24" s="789"/>
      <c r="K24" s="789"/>
      <c r="L24" s="789"/>
      <c r="M24" s="789"/>
      <c r="N24" s="789">
        <v>6</v>
      </c>
      <c r="O24" s="789"/>
      <c r="P24" s="789"/>
      <c r="Q24" s="789"/>
      <c r="R24" s="807">
        <f t="shared" si="0"/>
        <v>6</v>
      </c>
      <c r="S24" s="789"/>
      <c r="T24" s="789"/>
      <c r="U24" s="789"/>
      <c r="V24" s="789"/>
      <c r="W24" s="789"/>
      <c r="X24" s="789"/>
      <c r="Y24" s="789"/>
      <c r="Z24" s="789"/>
      <c r="AA24" s="774"/>
      <c r="AB24" s="805"/>
      <c r="AC24" s="809">
        <f t="shared" si="1"/>
        <v>0</v>
      </c>
    </row>
    <row r="25" spans="1:29">
      <c r="A25" s="804">
        <v>21</v>
      </c>
      <c r="B25" s="778" t="s">
        <v>957</v>
      </c>
      <c r="C25" s="805"/>
      <c r="D25" s="789"/>
      <c r="E25" s="789"/>
      <c r="F25" s="789"/>
      <c r="G25" s="789"/>
      <c r="H25" s="789"/>
      <c r="I25" s="789"/>
      <c r="J25" s="789"/>
      <c r="K25" s="789"/>
      <c r="L25" s="789">
        <v>40</v>
      </c>
      <c r="M25" s="789"/>
      <c r="N25" s="789"/>
      <c r="O25" s="789"/>
      <c r="P25" s="789"/>
      <c r="Q25" s="789"/>
      <c r="R25" s="807">
        <f t="shared" si="0"/>
        <v>40</v>
      </c>
      <c r="S25" s="789"/>
      <c r="T25" s="789"/>
      <c r="U25" s="789"/>
      <c r="V25" s="789"/>
      <c r="W25" s="789"/>
      <c r="X25" s="789"/>
      <c r="Y25" s="789"/>
      <c r="Z25" s="789"/>
      <c r="AA25" s="774"/>
      <c r="AB25" s="805"/>
      <c r="AC25" s="809">
        <f t="shared" si="1"/>
        <v>0</v>
      </c>
    </row>
    <row r="26" spans="1:29" ht="13.8" thickBot="1">
      <c r="A26" s="835"/>
      <c r="B26" s="869" t="s">
        <v>181</v>
      </c>
      <c r="C26" s="870"/>
      <c r="D26" s="871">
        <f t="shared" ref="D26:Q26" si="2">SUM(D5:D25)</f>
        <v>-329</v>
      </c>
      <c r="E26" s="871">
        <f t="shared" si="2"/>
        <v>-88</v>
      </c>
      <c r="F26" s="871">
        <f t="shared" si="2"/>
        <v>0</v>
      </c>
      <c r="G26" s="871">
        <f t="shared" si="2"/>
        <v>0</v>
      </c>
      <c r="H26" s="871">
        <f t="shared" si="2"/>
        <v>0</v>
      </c>
      <c r="I26" s="871">
        <f t="shared" si="2"/>
        <v>0</v>
      </c>
      <c r="J26" s="871">
        <f t="shared" si="2"/>
        <v>0</v>
      </c>
      <c r="K26" s="871">
        <f t="shared" si="2"/>
        <v>0</v>
      </c>
      <c r="L26" s="871">
        <f t="shared" si="2"/>
        <v>1748</v>
      </c>
      <c r="M26" s="871">
        <f t="shared" si="2"/>
        <v>499</v>
      </c>
      <c r="N26" s="871">
        <f t="shared" si="2"/>
        <v>6</v>
      </c>
      <c r="O26" s="871">
        <f t="shared" si="2"/>
        <v>1199</v>
      </c>
      <c r="P26" s="871">
        <f t="shared" si="2"/>
        <v>0</v>
      </c>
      <c r="Q26" s="871">
        <f t="shared" si="2"/>
        <v>0</v>
      </c>
      <c r="R26" s="872">
        <f>SUM(D26:Q26)</f>
        <v>3035</v>
      </c>
      <c r="S26" s="871">
        <f t="shared" ref="S26:AA26" si="3">SUM(S5:S25)</f>
        <v>0</v>
      </c>
      <c r="T26" s="871">
        <f t="shared" si="3"/>
        <v>232</v>
      </c>
      <c r="U26" s="871">
        <f t="shared" si="3"/>
        <v>2311</v>
      </c>
      <c r="V26" s="871">
        <f t="shared" si="3"/>
        <v>0</v>
      </c>
      <c r="W26" s="871">
        <f t="shared" si="3"/>
        <v>0</v>
      </c>
      <c r="X26" s="871">
        <f t="shared" si="3"/>
        <v>0</v>
      </c>
      <c r="Y26" s="871">
        <f t="shared" si="3"/>
        <v>0</v>
      </c>
      <c r="Z26" s="871">
        <f t="shared" si="3"/>
        <v>0</v>
      </c>
      <c r="AA26" s="871">
        <f t="shared" si="3"/>
        <v>492</v>
      </c>
      <c r="AB26" s="871">
        <f t="shared" ref="AB26" si="4">SUM(AB5:AB18)</f>
        <v>-935</v>
      </c>
      <c r="AC26" s="873">
        <f>SUM(S26:AA26)</f>
        <v>3035</v>
      </c>
    </row>
  </sheetData>
  <mergeCells count="24">
    <mergeCell ref="S2:AA2"/>
    <mergeCell ref="AB2:AB4"/>
    <mergeCell ref="T3:T4"/>
    <mergeCell ref="Z1:AC1"/>
    <mergeCell ref="AC2:AC4"/>
    <mergeCell ref="S3:S4"/>
    <mergeCell ref="U3:U4"/>
    <mergeCell ref="V3:W3"/>
    <mergeCell ref="X3:X4"/>
    <mergeCell ref="Y3:Z3"/>
    <mergeCell ref="AA3:AA4"/>
    <mergeCell ref="A2:A4"/>
    <mergeCell ref="B2:B4"/>
    <mergeCell ref="C2:C4"/>
    <mergeCell ref="D2:Q2"/>
    <mergeCell ref="R2:R4"/>
    <mergeCell ref="D3:D4"/>
    <mergeCell ref="E3:E4"/>
    <mergeCell ref="F3:K3"/>
    <mergeCell ref="L3:L4"/>
    <mergeCell ref="M3:N3"/>
    <mergeCell ref="O3:O4"/>
    <mergeCell ref="P3:P4"/>
    <mergeCell ref="Q3:Q4"/>
  </mergeCells>
  <printOptions horizontalCentered="1"/>
  <pageMargins left="0.70866141732283472" right="0.70866141732283472" top="0.94488188976377963" bottom="0.47244094488188981" header="0.31496062992125984" footer="0.31496062992125984"/>
  <pageSetup paperSize="9" scale="63" fitToHeight="2" orientation="landscape" r:id="rId1"/>
  <headerFooter>
    <oddHeader>&amp;C&amp;"Times New Roman CE,Félkövér"&amp;14Előirányzat módosítás nyilvántartás Polgármesteri Hivatal 2016. év&amp;R&amp;"Times New Roman CE,Félkövér"&amp;12 &amp;"Times New Roman CE,Normál"&amp;10 12.b. melléklet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178"/>
  <sheetViews>
    <sheetView workbookViewId="0">
      <selection activeCell="D19" sqref="D19:E19"/>
    </sheetView>
  </sheetViews>
  <sheetFormatPr defaultColWidth="9.109375" defaultRowHeight="13.2"/>
  <cols>
    <col min="1" max="1" width="7.109375" style="810" customWidth="1"/>
    <col min="2" max="2" width="47.44140625" style="810" customWidth="1"/>
    <col min="3" max="3" width="1.33203125" style="810" hidden="1" customWidth="1"/>
    <col min="4" max="4" width="7.44140625" style="810" customWidth="1"/>
    <col min="5" max="5" width="5.6640625" style="810" customWidth="1"/>
    <col min="6" max="7" width="5.5546875" style="810" hidden="1" customWidth="1"/>
    <col min="8" max="8" width="5.44140625" style="810" hidden="1" customWidth="1"/>
    <col min="9" max="9" width="5.33203125" style="810" hidden="1" customWidth="1"/>
    <col min="10" max="10" width="5.109375" style="810" hidden="1" customWidth="1"/>
    <col min="11" max="11" width="0.109375" style="810" hidden="1" customWidth="1"/>
    <col min="12" max="12" width="9.88671875" style="810" customWidth="1"/>
    <col min="13" max="13" width="7.88671875" style="810" customWidth="1"/>
    <col min="14" max="14" width="8.5546875" style="810" customWidth="1"/>
    <col min="15" max="15" width="9" style="810" customWidth="1"/>
    <col min="16" max="17" width="6.6640625" style="810" customWidth="1"/>
    <col min="18" max="19" width="0" style="810" hidden="1" customWidth="1"/>
    <col min="20" max="20" width="8.6640625" style="810" hidden="1" customWidth="1"/>
    <col min="21" max="21" width="9" style="810" customWidth="1"/>
    <col min="22" max="23" width="8.33203125" style="810" customWidth="1"/>
    <col min="24" max="24" width="8" style="810" customWidth="1"/>
    <col min="25" max="25" width="9.109375" style="810"/>
    <col min="26" max="26" width="9" style="810" customWidth="1"/>
    <col min="27" max="27" width="6.88671875" style="810" customWidth="1"/>
    <col min="28" max="28" width="7.88671875" style="810" customWidth="1"/>
    <col min="29" max="29" width="7.44140625" style="810" customWidth="1"/>
    <col min="30" max="30" width="6.88671875" style="810" customWidth="1"/>
    <col min="31" max="31" width="7" style="810" hidden="1" customWidth="1"/>
    <col min="32" max="16384" width="9.109375" style="810"/>
  </cols>
  <sheetData>
    <row r="1" spans="1:31" ht="13.8" thickBot="1">
      <c r="AB1" s="1160" t="s">
        <v>411</v>
      </c>
      <c r="AC1" s="1160"/>
      <c r="AD1" s="1160"/>
      <c r="AE1" s="811"/>
    </row>
    <row r="2" spans="1:31">
      <c r="A2" s="1186" t="s">
        <v>352</v>
      </c>
      <c r="B2" s="1188" t="s">
        <v>768</v>
      </c>
      <c r="C2" s="1188" t="s">
        <v>918</v>
      </c>
      <c r="D2" s="1190" t="s">
        <v>312</v>
      </c>
      <c r="E2" s="1190"/>
      <c r="F2" s="1190"/>
      <c r="G2" s="1190"/>
      <c r="H2" s="1190"/>
      <c r="I2" s="1190"/>
      <c r="J2" s="1190"/>
      <c r="K2" s="1190"/>
      <c r="L2" s="1190"/>
      <c r="M2" s="1190"/>
      <c r="N2" s="1190"/>
      <c r="O2" s="1190"/>
      <c r="P2" s="1190"/>
      <c r="Q2" s="1190"/>
      <c r="R2" s="1190"/>
      <c r="S2" s="1190"/>
      <c r="T2" s="1190"/>
      <c r="U2" s="1192" t="s">
        <v>290</v>
      </c>
      <c r="V2" s="1190" t="s">
        <v>303</v>
      </c>
      <c r="W2" s="1190"/>
      <c r="X2" s="1190"/>
      <c r="Y2" s="1190"/>
      <c r="Z2" s="1190"/>
      <c r="AA2" s="1190"/>
      <c r="AB2" s="1190"/>
      <c r="AC2" s="856"/>
      <c r="AD2" s="1194" t="s">
        <v>770</v>
      </c>
      <c r="AE2" s="1180" t="s">
        <v>494</v>
      </c>
    </row>
    <row r="3" spans="1:31">
      <c r="A3" s="1187"/>
      <c r="B3" s="1183"/>
      <c r="C3" s="1189"/>
      <c r="D3" s="1183" t="s">
        <v>920</v>
      </c>
      <c r="E3" s="1183" t="s">
        <v>921</v>
      </c>
      <c r="F3" s="1183" t="s">
        <v>922</v>
      </c>
      <c r="G3" s="1183"/>
      <c r="H3" s="1183"/>
      <c r="I3" s="1183"/>
      <c r="J3" s="1183"/>
      <c r="K3" s="1183"/>
      <c r="L3" s="1183" t="s">
        <v>152</v>
      </c>
      <c r="M3" s="1183" t="s">
        <v>164</v>
      </c>
      <c r="N3" s="1184"/>
      <c r="O3" s="1183" t="s">
        <v>774</v>
      </c>
      <c r="P3" s="1185" t="s">
        <v>923</v>
      </c>
      <c r="Q3" s="1183" t="s">
        <v>924</v>
      </c>
      <c r="R3" s="812"/>
      <c r="S3" s="812"/>
      <c r="T3" s="812"/>
      <c r="U3" s="1193"/>
      <c r="V3" s="1183" t="s">
        <v>784</v>
      </c>
      <c r="W3" s="1183" t="s">
        <v>785</v>
      </c>
      <c r="X3" s="1183" t="s">
        <v>778</v>
      </c>
      <c r="Y3" s="1183" t="s">
        <v>925</v>
      </c>
      <c r="Z3" s="1184"/>
      <c r="AA3" s="1183" t="s">
        <v>927</v>
      </c>
      <c r="AB3" s="1184"/>
      <c r="AC3" s="1191" t="s">
        <v>958</v>
      </c>
      <c r="AD3" s="1195"/>
      <c r="AE3" s="1181"/>
    </row>
    <row r="4" spans="1:31" ht="21" thickBot="1">
      <c r="A4" s="1187"/>
      <c r="B4" s="1183"/>
      <c r="C4" s="1189"/>
      <c r="D4" s="1183"/>
      <c r="E4" s="1183"/>
      <c r="F4" s="812" t="s">
        <v>929</v>
      </c>
      <c r="G4" s="812" t="s">
        <v>930</v>
      </c>
      <c r="H4" s="812" t="s">
        <v>931</v>
      </c>
      <c r="I4" s="812" t="s">
        <v>932</v>
      </c>
      <c r="J4" s="812" t="s">
        <v>933</v>
      </c>
      <c r="K4" s="812" t="s">
        <v>934</v>
      </c>
      <c r="L4" s="1183"/>
      <c r="M4" s="855" t="s">
        <v>795</v>
      </c>
      <c r="N4" s="855" t="s">
        <v>796</v>
      </c>
      <c r="O4" s="1183"/>
      <c r="P4" s="1185"/>
      <c r="Q4" s="1183"/>
      <c r="R4" s="812"/>
      <c r="S4" s="812"/>
      <c r="T4" s="812"/>
      <c r="U4" s="1193"/>
      <c r="V4" s="1183"/>
      <c r="W4" s="1183"/>
      <c r="X4" s="1183"/>
      <c r="Y4" s="855" t="s">
        <v>935</v>
      </c>
      <c r="Z4" s="855" t="s">
        <v>936</v>
      </c>
      <c r="AA4" s="855" t="s">
        <v>935</v>
      </c>
      <c r="AB4" s="855" t="s">
        <v>936</v>
      </c>
      <c r="AC4" s="1191"/>
      <c r="AD4" s="1195"/>
      <c r="AE4" s="1182"/>
    </row>
    <row r="5" spans="1:31">
      <c r="A5" s="1187"/>
      <c r="B5" s="813" t="s">
        <v>306</v>
      </c>
      <c r="C5" s="813"/>
      <c r="D5" s="813" t="s">
        <v>307</v>
      </c>
      <c r="E5" s="813" t="s">
        <v>308</v>
      </c>
      <c r="F5" s="814"/>
      <c r="G5" s="814"/>
      <c r="H5" s="814"/>
      <c r="I5" s="814"/>
      <c r="J5" s="814"/>
      <c r="K5" s="814"/>
      <c r="L5" s="813" t="s">
        <v>309</v>
      </c>
      <c r="M5" s="813" t="s">
        <v>959</v>
      </c>
      <c r="N5" s="813" t="s">
        <v>960</v>
      </c>
      <c r="O5" s="813" t="s">
        <v>961</v>
      </c>
      <c r="P5" s="813" t="s">
        <v>962</v>
      </c>
      <c r="Q5" s="813" t="s">
        <v>963</v>
      </c>
      <c r="R5" s="814"/>
      <c r="S5" s="814"/>
      <c r="T5" s="814"/>
      <c r="U5" s="815" t="s">
        <v>964</v>
      </c>
      <c r="V5" s="813" t="s">
        <v>965</v>
      </c>
      <c r="W5" s="813" t="s">
        <v>966</v>
      </c>
      <c r="X5" s="813" t="s">
        <v>967</v>
      </c>
      <c r="Y5" s="813" t="s">
        <v>968</v>
      </c>
      <c r="Z5" s="813" t="s">
        <v>969</v>
      </c>
      <c r="AA5" s="814" t="s">
        <v>970</v>
      </c>
      <c r="AB5" s="813" t="s">
        <v>971</v>
      </c>
      <c r="AC5" s="813"/>
      <c r="AD5" s="816" t="s">
        <v>972</v>
      </c>
      <c r="AE5" s="846"/>
    </row>
    <row r="6" spans="1:31">
      <c r="A6" s="874" t="s">
        <v>311</v>
      </c>
      <c r="B6" s="875" t="s">
        <v>973</v>
      </c>
      <c r="C6" s="876"/>
      <c r="D6" s="817"/>
      <c r="E6" s="817"/>
      <c r="F6" s="817"/>
      <c r="G6" s="817"/>
      <c r="H6" s="817"/>
      <c r="I6" s="817"/>
      <c r="J6" s="817"/>
      <c r="K6" s="817"/>
      <c r="L6" s="817"/>
      <c r="M6" s="817"/>
      <c r="N6" s="817"/>
      <c r="O6" s="817"/>
      <c r="P6" s="817"/>
      <c r="Q6" s="817"/>
      <c r="R6" s="817"/>
      <c r="S6" s="817"/>
      <c r="T6" s="817"/>
      <c r="U6" s="877"/>
      <c r="V6" s="817"/>
      <c r="W6" s="817"/>
      <c r="X6" s="817">
        <v>85</v>
      </c>
      <c r="Y6" s="817"/>
      <c r="Z6" s="817"/>
      <c r="AA6" s="817"/>
      <c r="AB6" s="817"/>
      <c r="AC6" s="817"/>
      <c r="AD6" s="878">
        <f>SUM(V6:AC6)</f>
        <v>85</v>
      </c>
    </row>
    <row r="7" spans="1:31">
      <c r="A7" s="874" t="s">
        <v>421</v>
      </c>
      <c r="B7" s="875" t="s">
        <v>974</v>
      </c>
      <c r="C7" s="876"/>
      <c r="D7" s="817"/>
      <c r="E7" s="817"/>
      <c r="F7" s="817"/>
      <c r="G7" s="817"/>
      <c r="H7" s="817"/>
      <c r="I7" s="817"/>
      <c r="J7" s="817"/>
      <c r="K7" s="817"/>
      <c r="L7" s="817">
        <v>85</v>
      </c>
      <c r="M7" s="817"/>
      <c r="N7" s="817"/>
      <c r="O7" s="817"/>
      <c r="P7" s="817"/>
      <c r="Q7" s="817"/>
      <c r="R7" s="817"/>
      <c r="S7" s="817"/>
      <c r="T7" s="817"/>
      <c r="U7" s="877">
        <f t="shared" ref="U7:U24" si="0">SUM(D7:T7)</f>
        <v>85</v>
      </c>
      <c r="V7" s="817"/>
      <c r="W7" s="817"/>
      <c r="X7" s="817"/>
      <c r="Y7" s="817"/>
      <c r="Z7" s="817"/>
      <c r="AA7" s="817"/>
      <c r="AB7" s="817"/>
      <c r="AC7" s="817"/>
      <c r="AD7" s="878"/>
    </row>
    <row r="8" spans="1:31">
      <c r="A8" s="874" t="s">
        <v>481</v>
      </c>
      <c r="B8" s="875" t="s">
        <v>831</v>
      </c>
      <c r="C8" s="876"/>
      <c r="D8" s="817"/>
      <c r="E8" s="817"/>
      <c r="F8" s="817"/>
      <c r="G8" s="817"/>
      <c r="H8" s="817"/>
      <c r="I8" s="817"/>
      <c r="J8" s="817"/>
      <c r="K8" s="817"/>
      <c r="L8" s="817">
        <v>-10</v>
      </c>
      <c r="M8" s="817"/>
      <c r="N8" s="817"/>
      <c r="O8" s="817"/>
      <c r="P8" s="817"/>
      <c r="Q8" s="817"/>
      <c r="R8" s="817"/>
      <c r="S8" s="817"/>
      <c r="T8" s="817"/>
      <c r="U8" s="877">
        <f t="shared" si="0"/>
        <v>-10</v>
      </c>
      <c r="V8" s="817"/>
      <c r="W8" s="817"/>
      <c r="X8" s="817"/>
      <c r="Y8" s="817"/>
      <c r="Z8" s="817"/>
      <c r="AA8" s="817"/>
      <c r="AB8" s="817"/>
      <c r="AC8" s="817"/>
      <c r="AD8" s="878"/>
    </row>
    <row r="9" spans="1:31">
      <c r="A9" s="874" t="s">
        <v>482</v>
      </c>
      <c r="B9" s="875" t="s">
        <v>1002</v>
      </c>
      <c r="C9" s="876"/>
      <c r="D9" s="817">
        <v>10</v>
      </c>
      <c r="E9" s="817"/>
      <c r="F9" s="817"/>
      <c r="G9" s="817"/>
      <c r="H9" s="817"/>
      <c r="I9" s="817"/>
      <c r="J9" s="817"/>
      <c r="K9" s="817"/>
      <c r="L9" s="817"/>
      <c r="M9" s="817"/>
      <c r="N9" s="817"/>
      <c r="O9" s="817"/>
      <c r="P9" s="817"/>
      <c r="Q9" s="817"/>
      <c r="R9" s="817"/>
      <c r="S9" s="817"/>
      <c r="T9" s="817"/>
      <c r="U9" s="877">
        <f t="shared" si="0"/>
        <v>10</v>
      </c>
      <c r="V9" s="817"/>
      <c r="W9" s="817"/>
      <c r="X9" s="817"/>
      <c r="Y9" s="817"/>
      <c r="Z9" s="817"/>
      <c r="AA9" s="817"/>
      <c r="AB9" s="817"/>
      <c r="AC9" s="817"/>
      <c r="AD9" s="878"/>
    </row>
    <row r="10" spans="1:31">
      <c r="A10" s="874" t="s">
        <v>483</v>
      </c>
      <c r="B10" s="875" t="s">
        <v>831</v>
      </c>
      <c r="C10" s="876"/>
      <c r="D10" s="817"/>
      <c r="E10" s="817"/>
      <c r="F10" s="817"/>
      <c r="G10" s="817"/>
      <c r="H10" s="817"/>
      <c r="I10" s="817"/>
      <c r="J10" s="817"/>
      <c r="K10" s="817"/>
      <c r="L10" s="817">
        <v>-17</v>
      </c>
      <c r="M10" s="817"/>
      <c r="N10" s="817"/>
      <c r="O10" s="817"/>
      <c r="P10" s="817"/>
      <c r="Q10" s="817"/>
      <c r="R10" s="817"/>
      <c r="S10" s="817"/>
      <c r="T10" s="817"/>
      <c r="U10" s="877">
        <f t="shared" si="0"/>
        <v>-17</v>
      </c>
      <c r="V10" s="817"/>
      <c r="W10" s="817"/>
      <c r="X10" s="817"/>
      <c r="Y10" s="817"/>
      <c r="Z10" s="817"/>
      <c r="AA10" s="817"/>
      <c r="AB10" s="817"/>
      <c r="AC10" s="817"/>
      <c r="AD10" s="878"/>
    </row>
    <row r="11" spans="1:31">
      <c r="A11" s="874" t="s">
        <v>484</v>
      </c>
      <c r="B11" s="875" t="s">
        <v>975</v>
      </c>
      <c r="C11" s="876"/>
      <c r="D11" s="817"/>
      <c r="E11" s="817"/>
      <c r="F11" s="817"/>
      <c r="G11" s="817"/>
      <c r="H11" s="817"/>
      <c r="I11" s="817"/>
      <c r="J11" s="817"/>
      <c r="K11" s="817"/>
      <c r="L11" s="817"/>
      <c r="M11" s="817"/>
      <c r="N11" s="817"/>
      <c r="O11" s="817">
        <v>17</v>
      </c>
      <c r="P11" s="817"/>
      <c r="Q11" s="817"/>
      <c r="R11" s="817"/>
      <c r="S11" s="817"/>
      <c r="T11" s="817"/>
      <c r="U11" s="877">
        <f t="shared" si="0"/>
        <v>17</v>
      </c>
      <c r="V11" s="817"/>
      <c r="W11" s="817"/>
      <c r="X11" s="817"/>
      <c r="Y11" s="817"/>
      <c r="Z11" s="817"/>
      <c r="AA11" s="817"/>
      <c r="AB11" s="817"/>
      <c r="AC11" s="817"/>
      <c r="AD11" s="878"/>
    </row>
    <row r="12" spans="1:31">
      <c r="A12" s="874" t="s">
        <v>485</v>
      </c>
      <c r="B12" s="875" t="s">
        <v>976</v>
      </c>
      <c r="C12" s="876"/>
      <c r="D12" s="817">
        <v>-200</v>
      </c>
      <c r="E12" s="817"/>
      <c r="F12" s="817"/>
      <c r="G12" s="817"/>
      <c r="H12" s="817"/>
      <c r="I12" s="817"/>
      <c r="J12" s="817"/>
      <c r="K12" s="817"/>
      <c r="L12" s="817"/>
      <c r="M12" s="817"/>
      <c r="N12" s="817"/>
      <c r="O12" s="817"/>
      <c r="P12" s="817"/>
      <c r="Q12" s="817"/>
      <c r="R12" s="817"/>
      <c r="S12" s="817"/>
      <c r="T12" s="817"/>
      <c r="U12" s="877">
        <f t="shared" si="0"/>
        <v>-200</v>
      </c>
      <c r="V12" s="817"/>
      <c r="W12" s="817"/>
      <c r="X12" s="817"/>
      <c r="Y12" s="817"/>
      <c r="Z12" s="817"/>
      <c r="AA12" s="817"/>
      <c r="AB12" s="817"/>
      <c r="AC12" s="817"/>
      <c r="AD12" s="878"/>
    </row>
    <row r="13" spans="1:31" ht="14.4" customHeight="1">
      <c r="A13" s="874" t="s">
        <v>486</v>
      </c>
      <c r="B13" s="875" t="s">
        <v>977</v>
      </c>
      <c r="C13" s="876"/>
      <c r="D13" s="817"/>
      <c r="E13" s="817"/>
      <c r="F13" s="817"/>
      <c r="G13" s="817"/>
      <c r="H13" s="817"/>
      <c r="I13" s="817"/>
      <c r="J13" s="817"/>
      <c r="K13" s="817"/>
      <c r="L13" s="817">
        <v>200</v>
      </c>
      <c r="M13" s="817"/>
      <c r="N13" s="817"/>
      <c r="O13" s="817"/>
      <c r="P13" s="817"/>
      <c r="Q13" s="817"/>
      <c r="R13" s="817"/>
      <c r="S13" s="817"/>
      <c r="T13" s="817"/>
      <c r="U13" s="877">
        <f t="shared" si="0"/>
        <v>200</v>
      </c>
      <c r="V13" s="817"/>
      <c r="W13" s="817"/>
      <c r="X13" s="817"/>
      <c r="Y13" s="817"/>
      <c r="Z13" s="817"/>
      <c r="AA13" s="817"/>
      <c r="AB13" s="817"/>
      <c r="AC13" s="817"/>
      <c r="AD13" s="878"/>
    </row>
    <row r="14" spans="1:31">
      <c r="A14" s="874" t="s">
        <v>487</v>
      </c>
      <c r="B14" s="875" t="s">
        <v>978</v>
      </c>
      <c r="C14" s="876"/>
      <c r="D14" s="817"/>
      <c r="E14" s="817"/>
      <c r="F14" s="817"/>
      <c r="G14" s="817"/>
      <c r="H14" s="817"/>
      <c r="I14" s="817"/>
      <c r="J14" s="817"/>
      <c r="K14" s="817"/>
      <c r="L14" s="817"/>
      <c r="M14" s="817"/>
      <c r="N14" s="817"/>
      <c r="O14" s="817"/>
      <c r="P14" s="817"/>
      <c r="Q14" s="817"/>
      <c r="R14" s="817"/>
      <c r="S14" s="817"/>
      <c r="T14" s="817"/>
      <c r="U14" s="877">
        <f t="shared" si="0"/>
        <v>0</v>
      </c>
      <c r="V14" s="817"/>
      <c r="W14" s="817">
        <v>123</v>
      </c>
      <c r="X14" s="817"/>
      <c r="Y14" s="817"/>
      <c r="Z14" s="817"/>
      <c r="AA14" s="817"/>
      <c r="AB14" s="817"/>
      <c r="AC14" s="817"/>
      <c r="AD14" s="878">
        <f>SUM(V14:AC14)</f>
        <v>123</v>
      </c>
    </row>
    <row r="15" spans="1:31">
      <c r="A15" s="874" t="s">
        <v>488</v>
      </c>
      <c r="B15" s="875" t="s">
        <v>979</v>
      </c>
      <c r="C15" s="876"/>
      <c r="D15" s="817"/>
      <c r="E15" s="817"/>
      <c r="F15" s="817"/>
      <c r="G15" s="817"/>
      <c r="H15" s="817"/>
      <c r="I15" s="817"/>
      <c r="J15" s="817"/>
      <c r="K15" s="817"/>
      <c r="L15" s="817"/>
      <c r="M15" s="817"/>
      <c r="N15" s="817">
        <v>37</v>
      </c>
      <c r="O15" s="817"/>
      <c r="P15" s="817"/>
      <c r="Q15" s="817"/>
      <c r="R15" s="817"/>
      <c r="S15" s="817"/>
      <c r="T15" s="817"/>
      <c r="U15" s="877">
        <f t="shared" si="0"/>
        <v>37</v>
      </c>
      <c r="V15" s="817"/>
      <c r="W15" s="817"/>
      <c r="X15" s="817"/>
      <c r="Y15" s="817"/>
      <c r="Z15" s="817"/>
      <c r="AA15" s="817"/>
      <c r="AB15" s="817"/>
      <c r="AC15" s="817"/>
      <c r="AD15" s="878"/>
    </row>
    <row r="16" spans="1:31">
      <c r="A16" s="874" t="s">
        <v>489</v>
      </c>
      <c r="B16" s="875" t="s">
        <v>980</v>
      </c>
      <c r="C16" s="876"/>
      <c r="D16" s="817"/>
      <c r="E16" s="817"/>
      <c r="F16" s="817"/>
      <c r="G16" s="817"/>
      <c r="H16" s="817"/>
      <c r="I16" s="817"/>
      <c r="J16" s="817"/>
      <c r="K16" s="817"/>
      <c r="L16" s="817"/>
      <c r="M16" s="817">
        <v>37</v>
      </c>
      <c r="N16" s="817"/>
      <c r="O16" s="817"/>
      <c r="P16" s="817"/>
      <c r="Q16" s="817"/>
      <c r="R16" s="817"/>
      <c r="S16" s="817"/>
      <c r="T16" s="817"/>
      <c r="U16" s="877">
        <f t="shared" si="0"/>
        <v>37</v>
      </c>
      <c r="V16" s="817"/>
      <c r="W16" s="817"/>
      <c r="X16" s="817"/>
      <c r="Y16" s="817"/>
      <c r="Z16" s="817"/>
      <c r="AA16" s="817"/>
      <c r="AB16" s="817"/>
      <c r="AC16" s="817"/>
      <c r="AD16" s="878"/>
    </row>
    <row r="17" spans="1:31">
      <c r="A17" s="874" t="s">
        <v>490</v>
      </c>
      <c r="B17" s="875" t="s">
        <v>981</v>
      </c>
      <c r="C17" s="876"/>
      <c r="D17" s="817"/>
      <c r="E17" s="817"/>
      <c r="F17" s="817"/>
      <c r="G17" s="817"/>
      <c r="H17" s="817"/>
      <c r="I17" s="817"/>
      <c r="J17" s="817"/>
      <c r="K17" s="817"/>
      <c r="L17" s="817">
        <v>49</v>
      </c>
      <c r="M17" s="817"/>
      <c r="N17" s="817"/>
      <c r="O17" s="817"/>
      <c r="P17" s="817"/>
      <c r="Q17" s="817"/>
      <c r="R17" s="817"/>
      <c r="S17" s="817"/>
      <c r="T17" s="817"/>
      <c r="U17" s="877">
        <f t="shared" si="0"/>
        <v>49</v>
      </c>
      <c r="V17" s="817"/>
      <c r="W17" s="817"/>
      <c r="X17" s="817"/>
      <c r="Y17" s="817"/>
      <c r="Z17" s="817"/>
      <c r="AA17" s="817"/>
      <c r="AB17" s="817"/>
      <c r="AC17" s="817"/>
      <c r="AD17" s="878">
        <f>SUM(V17:AC17)</f>
        <v>0</v>
      </c>
    </row>
    <row r="18" spans="1:31">
      <c r="A18" s="874" t="s">
        <v>982</v>
      </c>
      <c r="B18" s="875" t="s">
        <v>948</v>
      </c>
      <c r="C18" s="876"/>
      <c r="D18" s="817"/>
      <c r="E18" s="817"/>
      <c r="F18" s="817"/>
      <c r="G18" s="817"/>
      <c r="H18" s="817"/>
      <c r="I18" s="817"/>
      <c r="J18" s="817"/>
      <c r="K18" s="817"/>
      <c r="L18" s="817"/>
      <c r="M18" s="817"/>
      <c r="N18" s="817"/>
      <c r="O18" s="817"/>
      <c r="P18" s="817"/>
      <c r="Q18" s="817"/>
      <c r="R18" s="817"/>
      <c r="S18" s="817"/>
      <c r="T18" s="817"/>
      <c r="U18" s="877">
        <f t="shared" si="0"/>
        <v>0</v>
      </c>
      <c r="V18" s="817"/>
      <c r="W18" s="817"/>
      <c r="X18" s="817">
        <v>316</v>
      </c>
      <c r="Y18" s="817"/>
      <c r="Z18" s="817"/>
      <c r="AA18" s="817"/>
      <c r="AB18" s="817"/>
      <c r="AC18" s="817"/>
      <c r="AD18" s="878">
        <f t="shared" ref="AD18:AD20" si="1">SUM(V18:AC18)</f>
        <v>316</v>
      </c>
    </row>
    <row r="19" spans="1:31" ht="14.4" customHeight="1">
      <c r="A19" s="874" t="s">
        <v>983</v>
      </c>
      <c r="B19" s="875" t="s">
        <v>949</v>
      </c>
      <c r="C19" s="876"/>
      <c r="D19" s="817">
        <v>249</v>
      </c>
      <c r="E19" s="817">
        <v>67</v>
      </c>
      <c r="F19" s="817"/>
      <c r="G19" s="817"/>
      <c r="H19" s="817"/>
      <c r="I19" s="817"/>
      <c r="J19" s="817"/>
      <c r="K19" s="817"/>
      <c r="L19" s="817"/>
      <c r="M19" s="817"/>
      <c r="N19" s="817"/>
      <c r="O19" s="817"/>
      <c r="P19" s="817"/>
      <c r="Q19" s="817"/>
      <c r="R19" s="817"/>
      <c r="S19" s="817"/>
      <c r="T19" s="817"/>
      <c r="U19" s="877">
        <f t="shared" si="0"/>
        <v>316</v>
      </c>
      <c r="V19" s="817"/>
      <c r="W19" s="817"/>
      <c r="X19" s="817"/>
      <c r="Y19" s="817"/>
      <c r="Z19" s="817"/>
      <c r="AA19" s="817"/>
      <c r="AB19" s="817"/>
      <c r="AC19" s="817"/>
      <c r="AD19" s="878">
        <f t="shared" si="1"/>
        <v>0</v>
      </c>
    </row>
    <row r="20" spans="1:31">
      <c r="A20" s="874" t="s">
        <v>985</v>
      </c>
      <c r="B20" s="875" t="s">
        <v>952</v>
      </c>
      <c r="C20" s="876"/>
      <c r="D20" s="817"/>
      <c r="E20" s="817"/>
      <c r="F20" s="817"/>
      <c r="G20" s="817"/>
      <c r="H20" s="817"/>
      <c r="I20" s="817"/>
      <c r="J20" s="817"/>
      <c r="K20" s="817"/>
      <c r="L20" s="817"/>
      <c r="M20" s="817"/>
      <c r="N20" s="817"/>
      <c r="O20" s="817"/>
      <c r="P20" s="817"/>
      <c r="Q20" s="817"/>
      <c r="R20" s="817"/>
      <c r="S20" s="817"/>
      <c r="T20" s="817"/>
      <c r="U20" s="877"/>
      <c r="V20" s="817"/>
      <c r="W20" s="817"/>
      <c r="X20" s="817"/>
      <c r="Y20" s="817"/>
      <c r="Z20" s="817"/>
      <c r="AA20" s="817"/>
      <c r="AB20" s="817"/>
      <c r="AC20" s="817">
        <v>58</v>
      </c>
      <c r="AD20" s="878">
        <f t="shared" si="1"/>
        <v>58</v>
      </c>
    </row>
    <row r="21" spans="1:31">
      <c r="A21" s="874" t="s">
        <v>987</v>
      </c>
      <c r="B21" s="875" t="s">
        <v>984</v>
      </c>
      <c r="C21" s="876"/>
      <c r="D21" s="817"/>
      <c r="E21" s="817"/>
      <c r="F21" s="817"/>
      <c r="G21" s="817"/>
      <c r="H21" s="817"/>
      <c r="I21" s="817"/>
      <c r="J21" s="817"/>
      <c r="K21" s="817"/>
      <c r="L21" s="817"/>
      <c r="M21" s="817">
        <v>58</v>
      </c>
      <c r="N21" s="817"/>
      <c r="O21" s="817"/>
      <c r="P21" s="817"/>
      <c r="Q21" s="817"/>
      <c r="R21" s="817"/>
      <c r="S21" s="817"/>
      <c r="T21" s="817"/>
      <c r="U21" s="877">
        <f t="shared" si="0"/>
        <v>58</v>
      </c>
      <c r="V21" s="817"/>
      <c r="W21" s="817"/>
      <c r="X21" s="817"/>
      <c r="Y21" s="817"/>
      <c r="Z21" s="817"/>
      <c r="AA21" s="817"/>
      <c r="AB21" s="817"/>
      <c r="AC21" s="817"/>
      <c r="AD21" s="878"/>
    </row>
    <row r="22" spans="1:31">
      <c r="A22" s="874" t="s">
        <v>989</v>
      </c>
      <c r="B22" s="875" t="s">
        <v>986</v>
      </c>
      <c r="C22" s="876"/>
      <c r="D22" s="817">
        <v>-1074</v>
      </c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17"/>
      <c r="S22" s="817"/>
      <c r="T22" s="817"/>
      <c r="U22" s="877">
        <f t="shared" si="0"/>
        <v>-1074</v>
      </c>
      <c r="V22" s="817"/>
      <c r="W22" s="817"/>
      <c r="X22" s="817"/>
      <c r="Y22" s="817"/>
      <c r="Z22" s="817"/>
      <c r="AA22" s="817"/>
      <c r="AB22" s="817"/>
      <c r="AC22" s="817"/>
      <c r="AD22" s="878"/>
    </row>
    <row r="23" spans="1:31">
      <c r="A23" s="874" t="s">
        <v>1003</v>
      </c>
      <c r="B23" s="875" t="s">
        <v>988</v>
      </c>
      <c r="C23" s="876"/>
      <c r="D23" s="817">
        <v>905</v>
      </c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17"/>
      <c r="S23" s="817"/>
      <c r="T23" s="817"/>
      <c r="U23" s="877">
        <f t="shared" si="0"/>
        <v>905</v>
      </c>
      <c r="V23" s="817"/>
      <c r="W23" s="817"/>
      <c r="X23" s="817"/>
      <c r="Y23" s="817"/>
      <c r="Z23" s="817"/>
      <c r="AA23" s="817"/>
      <c r="AB23" s="817"/>
      <c r="AC23" s="817"/>
      <c r="AD23" s="878"/>
    </row>
    <row r="24" spans="1:31" ht="14.4" customHeight="1">
      <c r="A24" s="874" t="s">
        <v>1004</v>
      </c>
      <c r="B24" s="875" t="s">
        <v>990</v>
      </c>
      <c r="C24" s="876"/>
      <c r="D24" s="817"/>
      <c r="E24" s="817">
        <v>169</v>
      </c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17"/>
      <c r="S24" s="817"/>
      <c r="T24" s="817"/>
      <c r="U24" s="877">
        <f t="shared" si="0"/>
        <v>169</v>
      </c>
      <c r="V24" s="817"/>
      <c r="W24" s="817"/>
      <c r="X24" s="817"/>
      <c r="Y24" s="817"/>
      <c r="Z24" s="817"/>
      <c r="AA24" s="817"/>
      <c r="AB24" s="817"/>
      <c r="AC24" s="817"/>
      <c r="AD24" s="878"/>
    </row>
    <row r="25" spans="1:31" ht="13.8" thickBot="1">
      <c r="A25" s="818"/>
      <c r="B25" s="819" t="s">
        <v>181</v>
      </c>
      <c r="C25" s="820"/>
      <c r="D25" s="821">
        <f t="shared" ref="D25:AE25" si="2">SUM(D6:D24)</f>
        <v>-110</v>
      </c>
      <c r="E25" s="821">
        <f t="shared" si="2"/>
        <v>236</v>
      </c>
      <c r="F25" s="821">
        <f t="shared" si="2"/>
        <v>0</v>
      </c>
      <c r="G25" s="821">
        <f t="shared" si="2"/>
        <v>0</v>
      </c>
      <c r="H25" s="821">
        <f t="shared" si="2"/>
        <v>0</v>
      </c>
      <c r="I25" s="821">
        <f t="shared" si="2"/>
        <v>0</v>
      </c>
      <c r="J25" s="821">
        <f t="shared" si="2"/>
        <v>0</v>
      </c>
      <c r="K25" s="821">
        <f t="shared" si="2"/>
        <v>0</v>
      </c>
      <c r="L25" s="821">
        <f t="shared" si="2"/>
        <v>307</v>
      </c>
      <c r="M25" s="821">
        <f t="shared" si="2"/>
        <v>95</v>
      </c>
      <c r="N25" s="821">
        <f t="shared" si="2"/>
        <v>37</v>
      </c>
      <c r="O25" s="821">
        <f t="shared" si="2"/>
        <v>17</v>
      </c>
      <c r="P25" s="821">
        <f t="shared" si="2"/>
        <v>0</v>
      </c>
      <c r="Q25" s="821">
        <f t="shared" si="2"/>
        <v>0</v>
      </c>
      <c r="R25" s="821">
        <f t="shared" si="2"/>
        <v>0</v>
      </c>
      <c r="S25" s="821">
        <f t="shared" si="2"/>
        <v>0</v>
      </c>
      <c r="T25" s="821">
        <f t="shared" si="2"/>
        <v>0</v>
      </c>
      <c r="U25" s="821">
        <f t="shared" si="2"/>
        <v>582</v>
      </c>
      <c r="V25" s="821">
        <f t="shared" si="2"/>
        <v>0</v>
      </c>
      <c r="W25" s="821">
        <f t="shared" si="2"/>
        <v>123</v>
      </c>
      <c r="X25" s="821">
        <f t="shared" si="2"/>
        <v>401</v>
      </c>
      <c r="Y25" s="821">
        <f t="shared" si="2"/>
        <v>0</v>
      </c>
      <c r="Z25" s="821">
        <f t="shared" si="2"/>
        <v>0</v>
      </c>
      <c r="AA25" s="821">
        <f t="shared" si="2"/>
        <v>0</v>
      </c>
      <c r="AB25" s="821">
        <f t="shared" si="2"/>
        <v>0</v>
      </c>
      <c r="AC25" s="821">
        <f t="shared" si="2"/>
        <v>58</v>
      </c>
      <c r="AD25" s="822">
        <f t="shared" si="2"/>
        <v>582</v>
      </c>
      <c r="AE25" s="823">
        <f t="shared" si="2"/>
        <v>0</v>
      </c>
    </row>
    <row r="26" spans="1:31">
      <c r="D26" s="824"/>
      <c r="E26" s="824"/>
      <c r="F26" s="824"/>
      <c r="G26" s="824"/>
      <c r="H26" s="824"/>
      <c r="I26" s="824"/>
      <c r="J26" s="824"/>
      <c r="K26" s="824"/>
      <c r="L26" s="825"/>
      <c r="M26" s="824"/>
    </row>
    <row r="27" spans="1:31">
      <c r="L27" s="825"/>
      <c r="M27" s="824"/>
    </row>
    <row r="28" spans="1:31">
      <c r="L28" s="825"/>
      <c r="M28" s="824"/>
    </row>
    <row r="29" spans="1:31">
      <c r="L29" s="825"/>
      <c r="M29" s="824"/>
    </row>
    <row r="30" spans="1:31">
      <c r="L30" s="825"/>
      <c r="M30" s="824"/>
    </row>
    <row r="31" spans="1:31">
      <c r="L31" s="825"/>
      <c r="M31" s="824"/>
    </row>
    <row r="32" spans="1:31">
      <c r="L32" s="825"/>
      <c r="M32" s="824"/>
    </row>
    <row r="33" spans="12:13">
      <c r="L33" s="825"/>
      <c r="M33" s="824"/>
    </row>
    <row r="34" spans="12:13">
      <c r="L34" s="825"/>
      <c r="M34" s="824"/>
    </row>
    <row r="35" spans="12:13">
      <c r="L35" s="825"/>
      <c r="M35" s="824"/>
    </row>
    <row r="36" spans="12:13">
      <c r="L36" s="825"/>
      <c r="M36" s="824"/>
    </row>
    <row r="37" spans="12:13">
      <c r="L37" s="825"/>
      <c r="M37" s="824"/>
    </row>
    <row r="38" spans="12:13">
      <c r="L38" s="825"/>
      <c r="M38" s="824"/>
    </row>
    <row r="39" spans="12:13">
      <c r="L39" s="825"/>
      <c r="M39" s="824"/>
    </row>
    <row r="40" spans="12:13">
      <c r="L40" s="825"/>
      <c r="M40" s="824"/>
    </row>
    <row r="41" spans="12:13">
      <c r="L41" s="825"/>
      <c r="M41" s="824"/>
    </row>
    <row r="42" spans="12:13">
      <c r="L42" s="825"/>
      <c r="M42" s="824"/>
    </row>
    <row r="43" spans="12:13">
      <c r="L43" s="825"/>
      <c r="M43" s="824"/>
    </row>
    <row r="44" spans="12:13">
      <c r="L44" s="825"/>
      <c r="M44" s="824"/>
    </row>
    <row r="45" spans="12:13">
      <c r="L45" s="825"/>
      <c r="M45" s="824"/>
    </row>
    <row r="46" spans="12:13">
      <c r="L46" s="825"/>
      <c r="M46" s="824"/>
    </row>
    <row r="47" spans="12:13">
      <c r="L47" s="825"/>
      <c r="M47" s="824"/>
    </row>
    <row r="48" spans="12:13">
      <c r="L48" s="825"/>
      <c r="M48" s="824"/>
    </row>
    <row r="49" spans="12:13">
      <c r="L49" s="825"/>
      <c r="M49" s="824"/>
    </row>
    <row r="50" spans="12:13">
      <c r="L50" s="825"/>
      <c r="M50" s="824"/>
    </row>
    <row r="51" spans="12:13">
      <c r="L51" s="825"/>
      <c r="M51" s="824"/>
    </row>
    <row r="52" spans="12:13">
      <c r="L52" s="825"/>
      <c r="M52" s="824"/>
    </row>
    <row r="53" spans="12:13">
      <c r="L53" s="825"/>
      <c r="M53" s="824"/>
    </row>
    <row r="54" spans="12:13">
      <c r="L54" s="825"/>
      <c r="M54" s="824"/>
    </row>
    <row r="55" spans="12:13">
      <c r="L55" s="825"/>
      <c r="M55" s="824"/>
    </row>
    <row r="56" spans="12:13">
      <c r="L56" s="825"/>
      <c r="M56" s="824"/>
    </row>
    <row r="57" spans="12:13">
      <c r="L57" s="825"/>
      <c r="M57" s="824"/>
    </row>
    <row r="58" spans="12:13">
      <c r="L58" s="825"/>
      <c r="M58" s="824"/>
    </row>
    <row r="59" spans="12:13">
      <c r="L59" s="825"/>
      <c r="M59" s="824"/>
    </row>
    <row r="60" spans="12:13">
      <c r="L60" s="825"/>
      <c r="M60" s="824"/>
    </row>
    <row r="61" spans="12:13">
      <c r="L61" s="825"/>
      <c r="M61" s="824"/>
    </row>
    <row r="62" spans="12:13">
      <c r="L62" s="825"/>
      <c r="M62" s="824"/>
    </row>
    <row r="63" spans="12:13">
      <c r="L63" s="825"/>
      <c r="M63" s="824"/>
    </row>
    <row r="64" spans="12:13">
      <c r="L64" s="825"/>
      <c r="M64" s="824"/>
    </row>
    <row r="65" spans="12:13">
      <c r="L65" s="825"/>
      <c r="M65" s="824"/>
    </row>
    <row r="66" spans="12:13">
      <c r="L66" s="825"/>
      <c r="M66" s="824"/>
    </row>
    <row r="67" spans="12:13">
      <c r="L67" s="825"/>
      <c r="M67" s="824"/>
    </row>
    <row r="68" spans="12:13">
      <c r="L68" s="825"/>
      <c r="M68" s="824"/>
    </row>
    <row r="69" spans="12:13">
      <c r="L69" s="825"/>
      <c r="M69" s="824"/>
    </row>
    <row r="70" spans="12:13">
      <c r="L70" s="825"/>
      <c r="M70" s="824"/>
    </row>
    <row r="71" spans="12:13">
      <c r="L71" s="825"/>
      <c r="M71" s="824"/>
    </row>
    <row r="72" spans="12:13">
      <c r="L72" s="825"/>
      <c r="M72" s="824"/>
    </row>
    <row r="73" spans="12:13">
      <c r="L73" s="825"/>
      <c r="M73" s="824"/>
    </row>
    <row r="74" spans="12:13">
      <c r="L74" s="825"/>
      <c r="M74" s="824"/>
    </row>
    <row r="75" spans="12:13">
      <c r="L75" s="825"/>
      <c r="M75" s="824"/>
    </row>
    <row r="76" spans="12:13">
      <c r="L76" s="825"/>
      <c r="M76" s="824"/>
    </row>
    <row r="77" spans="12:13">
      <c r="L77" s="825"/>
      <c r="M77" s="824"/>
    </row>
    <row r="78" spans="12:13">
      <c r="L78" s="825"/>
      <c r="M78" s="824"/>
    </row>
    <row r="79" spans="12:13">
      <c r="L79" s="825"/>
      <c r="M79" s="824"/>
    </row>
    <row r="80" spans="12:13">
      <c r="L80" s="825"/>
      <c r="M80" s="824"/>
    </row>
    <row r="81" spans="12:13">
      <c r="L81" s="825"/>
      <c r="M81" s="824"/>
    </row>
    <row r="82" spans="12:13">
      <c r="L82" s="825"/>
      <c r="M82" s="824"/>
    </row>
    <row r="83" spans="12:13">
      <c r="L83" s="825"/>
      <c r="M83" s="824"/>
    </row>
    <row r="84" spans="12:13">
      <c r="L84" s="825"/>
      <c r="M84" s="824"/>
    </row>
    <row r="85" spans="12:13">
      <c r="L85" s="825"/>
      <c r="M85" s="824"/>
    </row>
    <row r="86" spans="12:13">
      <c r="L86" s="825"/>
      <c r="M86" s="824"/>
    </row>
    <row r="87" spans="12:13">
      <c r="L87" s="825"/>
      <c r="M87" s="824"/>
    </row>
    <row r="88" spans="12:13">
      <c r="L88" s="825"/>
      <c r="M88" s="824"/>
    </row>
    <row r="89" spans="12:13">
      <c r="L89" s="825"/>
      <c r="M89" s="824"/>
    </row>
    <row r="90" spans="12:13">
      <c r="L90" s="825"/>
      <c r="M90" s="824"/>
    </row>
    <row r="91" spans="12:13">
      <c r="L91" s="825"/>
      <c r="M91" s="824"/>
    </row>
    <row r="92" spans="12:13">
      <c r="L92" s="825"/>
      <c r="M92" s="824"/>
    </row>
    <row r="93" spans="12:13">
      <c r="L93" s="825"/>
      <c r="M93" s="824"/>
    </row>
    <row r="94" spans="12:13">
      <c r="L94" s="825"/>
      <c r="M94" s="824"/>
    </row>
    <row r="95" spans="12:13">
      <c r="L95" s="825"/>
      <c r="M95" s="824"/>
    </row>
    <row r="96" spans="12:13">
      <c r="L96" s="825"/>
      <c r="M96" s="824"/>
    </row>
    <row r="97" spans="12:13">
      <c r="L97" s="825"/>
      <c r="M97" s="824"/>
    </row>
    <row r="98" spans="12:13">
      <c r="L98" s="825"/>
      <c r="M98" s="824"/>
    </row>
    <row r="99" spans="12:13">
      <c r="L99" s="825"/>
      <c r="M99" s="824"/>
    </row>
    <row r="100" spans="12:13">
      <c r="L100" s="825"/>
      <c r="M100" s="824"/>
    </row>
    <row r="101" spans="12:13">
      <c r="L101" s="825"/>
      <c r="M101" s="824"/>
    </row>
    <row r="102" spans="12:13">
      <c r="L102" s="825"/>
      <c r="M102" s="824"/>
    </row>
    <row r="103" spans="12:13">
      <c r="L103" s="825"/>
      <c r="M103" s="824"/>
    </row>
    <row r="104" spans="12:13">
      <c r="L104" s="825"/>
      <c r="M104" s="824"/>
    </row>
    <row r="105" spans="12:13">
      <c r="L105" s="825"/>
      <c r="M105" s="824"/>
    </row>
    <row r="106" spans="12:13">
      <c r="L106" s="825"/>
      <c r="M106" s="824"/>
    </row>
    <row r="107" spans="12:13">
      <c r="L107" s="825"/>
      <c r="M107" s="824"/>
    </row>
    <row r="108" spans="12:13">
      <c r="L108" s="825"/>
      <c r="M108" s="824"/>
    </row>
    <row r="109" spans="12:13">
      <c r="L109" s="825"/>
      <c r="M109" s="824"/>
    </row>
    <row r="110" spans="12:13">
      <c r="L110" s="825"/>
      <c r="M110" s="824"/>
    </row>
    <row r="111" spans="12:13">
      <c r="L111" s="825"/>
      <c r="M111" s="824"/>
    </row>
    <row r="112" spans="12:13">
      <c r="L112" s="825"/>
      <c r="M112" s="824"/>
    </row>
    <row r="113" spans="12:13">
      <c r="L113" s="825"/>
      <c r="M113" s="824"/>
    </row>
    <row r="114" spans="12:13">
      <c r="L114" s="825"/>
      <c r="M114" s="824"/>
    </row>
    <row r="115" spans="12:13">
      <c r="L115" s="825"/>
      <c r="M115" s="824"/>
    </row>
    <row r="116" spans="12:13">
      <c r="L116" s="825"/>
      <c r="M116" s="824"/>
    </row>
    <row r="117" spans="12:13">
      <c r="L117" s="825"/>
      <c r="M117" s="824"/>
    </row>
    <row r="118" spans="12:13">
      <c r="L118" s="825"/>
      <c r="M118" s="824"/>
    </row>
    <row r="119" spans="12:13">
      <c r="L119" s="825"/>
      <c r="M119" s="824"/>
    </row>
    <row r="120" spans="12:13">
      <c r="L120" s="825"/>
      <c r="M120" s="824"/>
    </row>
    <row r="121" spans="12:13">
      <c r="L121" s="825"/>
      <c r="M121" s="824"/>
    </row>
    <row r="122" spans="12:13">
      <c r="L122" s="825"/>
      <c r="M122" s="824"/>
    </row>
    <row r="123" spans="12:13">
      <c r="L123" s="825"/>
      <c r="M123" s="824"/>
    </row>
    <row r="124" spans="12:13">
      <c r="L124" s="825"/>
      <c r="M124" s="824"/>
    </row>
    <row r="125" spans="12:13">
      <c r="L125" s="825"/>
      <c r="M125" s="824"/>
    </row>
    <row r="126" spans="12:13">
      <c r="L126" s="825"/>
      <c r="M126" s="824"/>
    </row>
    <row r="127" spans="12:13">
      <c r="L127" s="825"/>
      <c r="M127" s="824"/>
    </row>
    <row r="128" spans="12:13">
      <c r="L128" s="825"/>
      <c r="M128" s="824"/>
    </row>
    <row r="129" spans="12:13">
      <c r="L129" s="825"/>
      <c r="M129" s="824"/>
    </row>
    <row r="130" spans="12:13">
      <c r="L130" s="825"/>
      <c r="M130" s="824"/>
    </row>
    <row r="131" spans="12:13">
      <c r="L131" s="825"/>
      <c r="M131" s="824"/>
    </row>
    <row r="132" spans="12:13">
      <c r="L132" s="825"/>
      <c r="M132" s="824"/>
    </row>
    <row r="133" spans="12:13">
      <c r="L133" s="825"/>
      <c r="M133" s="824"/>
    </row>
    <row r="134" spans="12:13">
      <c r="L134" s="825"/>
      <c r="M134" s="824"/>
    </row>
    <row r="135" spans="12:13">
      <c r="L135" s="825"/>
      <c r="M135" s="824"/>
    </row>
    <row r="136" spans="12:13">
      <c r="L136" s="825"/>
      <c r="M136" s="824"/>
    </row>
    <row r="137" spans="12:13">
      <c r="L137" s="825"/>
      <c r="M137" s="824"/>
    </row>
    <row r="138" spans="12:13">
      <c r="L138" s="825"/>
      <c r="M138" s="824"/>
    </row>
    <row r="139" spans="12:13">
      <c r="L139" s="825"/>
      <c r="M139" s="824"/>
    </row>
    <row r="140" spans="12:13">
      <c r="L140" s="825"/>
      <c r="M140" s="824"/>
    </row>
    <row r="141" spans="12:13">
      <c r="L141" s="825"/>
      <c r="M141" s="824"/>
    </row>
    <row r="142" spans="12:13">
      <c r="L142" s="825"/>
      <c r="M142" s="824"/>
    </row>
    <row r="143" spans="12:13">
      <c r="L143" s="825"/>
      <c r="M143" s="824"/>
    </row>
    <row r="144" spans="12:13">
      <c r="L144" s="825"/>
      <c r="M144" s="824"/>
    </row>
    <row r="145" spans="12:13">
      <c r="L145" s="825"/>
      <c r="M145" s="824"/>
    </row>
    <row r="146" spans="12:13">
      <c r="L146" s="825"/>
      <c r="M146" s="824"/>
    </row>
    <row r="147" spans="12:13">
      <c r="L147" s="825"/>
      <c r="M147" s="824"/>
    </row>
    <row r="148" spans="12:13">
      <c r="L148" s="825"/>
      <c r="M148" s="824"/>
    </row>
    <row r="149" spans="12:13">
      <c r="L149" s="825"/>
      <c r="M149" s="824"/>
    </row>
    <row r="150" spans="12:13">
      <c r="L150" s="825"/>
      <c r="M150" s="824"/>
    </row>
    <row r="151" spans="12:13">
      <c r="L151" s="825"/>
      <c r="M151" s="824"/>
    </row>
    <row r="152" spans="12:13">
      <c r="L152" s="825"/>
      <c r="M152" s="824"/>
    </row>
    <row r="153" spans="12:13">
      <c r="L153" s="825"/>
      <c r="M153" s="824"/>
    </row>
    <row r="154" spans="12:13">
      <c r="L154" s="825"/>
      <c r="M154" s="824"/>
    </row>
    <row r="155" spans="12:13">
      <c r="L155" s="825"/>
      <c r="M155" s="824"/>
    </row>
    <row r="156" spans="12:13">
      <c r="L156" s="825"/>
      <c r="M156" s="824"/>
    </row>
    <row r="157" spans="12:13">
      <c r="L157" s="825"/>
      <c r="M157" s="824"/>
    </row>
    <row r="158" spans="12:13">
      <c r="L158" s="825"/>
      <c r="M158" s="824"/>
    </row>
    <row r="159" spans="12:13">
      <c r="L159" s="825"/>
      <c r="M159" s="824"/>
    </row>
    <row r="160" spans="12:13">
      <c r="L160" s="825"/>
      <c r="M160" s="824"/>
    </row>
    <row r="161" spans="12:13">
      <c r="L161" s="825"/>
      <c r="M161" s="824"/>
    </row>
    <row r="162" spans="12:13">
      <c r="L162" s="825"/>
      <c r="M162" s="824"/>
    </row>
    <row r="163" spans="12:13">
      <c r="L163" s="825"/>
      <c r="M163" s="824"/>
    </row>
    <row r="164" spans="12:13">
      <c r="L164" s="825"/>
      <c r="M164" s="824"/>
    </row>
    <row r="165" spans="12:13">
      <c r="L165" s="825"/>
      <c r="M165" s="824"/>
    </row>
    <row r="166" spans="12:13">
      <c r="L166" s="825"/>
      <c r="M166" s="824"/>
    </row>
    <row r="167" spans="12:13">
      <c r="L167" s="825"/>
      <c r="M167" s="824"/>
    </row>
    <row r="168" spans="12:13">
      <c r="L168" s="825"/>
      <c r="M168" s="824"/>
    </row>
    <row r="169" spans="12:13">
      <c r="L169" s="825"/>
      <c r="M169" s="824"/>
    </row>
    <row r="170" spans="12:13">
      <c r="L170" s="825"/>
      <c r="M170" s="824"/>
    </row>
    <row r="171" spans="12:13">
      <c r="L171" s="825"/>
      <c r="M171" s="824"/>
    </row>
    <row r="172" spans="12:13">
      <c r="L172" s="825"/>
      <c r="M172" s="824"/>
    </row>
    <row r="173" spans="12:13">
      <c r="L173" s="825"/>
      <c r="M173" s="824"/>
    </row>
    <row r="174" spans="12:13">
      <c r="L174" s="825"/>
      <c r="M174" s="824"/>
    </row>
    <row r="175" spans="12:13">
      <c r="L175" s="825"/>
      <c r="M175" s="824"/>
    </row>
    <row r="176" spans="12:13">
      <c r="L176" s="825"/>
      <c r="M176" s="824"/>
    </row>
    <row r="177" spans="12:13">
      <c r="L177" s="825"/>
      <c r="M177" s="824"/>
    </row>
    <row r="178" spans="12:13">
      <c r="L178" s="826"/>
      <c r="M178" s="824"/>
    </row>
  </sheetData>
  <mergeCells count="23">
    <mergeCell ref="A2:A5"/>
    <mergeCell ref="B2:B4"/>
    <mergeCell ref="C2:C4"/>
    <mergeCell ref="D2:T2"/>
    <mergeCell ref="AB1:AD1"/>
    <mergeCell ref="AC3:AC4"/>
    <mergeCell ref="Q3:Q4"/>
    <mergeCell ref="V3:V4"/>
    <mergeCell ref="W3:W4"/>
    <mergeCell ref="X3:X4"/>
    <mergeCell ref="Y3:Z3"/>
    <mergeCell ref="AA3:AB3"/>
    <mergeCell ref="U2:U4"/>
    <mergeCell ref="V2:AB2"/>
    <mergeCell ref="AD2:AD4"/>
    <mergeCell ref="AE2:AE4"/>
    <mergeCell ref="D3:D4"/>
    <mergeCell ref="E3:E4"/>
    <mergeCell ref="F3:K3"/>
    <mergeCell ref="L3:L4"/>
    <mergeCell ref="M3:N3"/>
    <mergeCell ref="O3:O4"/>
    <mergeCell ref="P3:P4"/>
  </mergeCells>
  <printOptions horizontalCentered="1"/>
  <pageMargins left="0.70866141732283472" right="0.70866141732283472" top="0.59055118110236227" bottom="0.74803149606299213" header="0.31496062992125984" footer="0.31496062992125984"/>
  <pageSetup paperSize="9" scale="66" orientation="landscape" r:id="rId1"/>
  <headerFooter>
    <oddHeader>&amp;C&amp;"Times New Roman,Félkövér"&amp;14Előirányzat módosítás nyilvántartás Brunszvik Teréz Óvoda 2016. év&amp;R&amp;"Times New Roman,Normál"&amp;10 12.c. melléklet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82"/>
  <sheetViews>
    <sheetView workbookViewId="0">
      <selection activeCell="AA1" sqref="AA1:AC1"/>
    </sheetView>
  </sheetViews>
  <sheetFormatPr defaultColWidth="9.109375" defaultRowHeight="13.2"/>
  <cols>
    <col min="1" max="1" width="5.6640625" style="810" customWidth="1"/>
    <col min="2" max="2" width="51.109375" style="810" customWidth="1"/>
    <col min="3" max="3" width="7.44140625" style="810" customWidth="1"/>
    <col min="4" max="4" width="5.6640625" style="810" customWidth="1"/>
    <col min="5" max="6" width="5.5546875" style="810" hidden="1" customWidth="1"/>
    <col min="7" max="7" width="5.44140625" style="810" hidden="1" customWidth="1"/>
    <col min="8" max="8" width="5.33203125" style="810" hidden="1" customWidth="1"/>
    <col min="9" max="9" width="5.109375" style="810" hidden="1" customWidth="1"/>
    <col min="10" max="10" width="0.109375" style="810" hidden="1" customWidth="1"/>
    <col min="11" max="11" width="11.6640625" style="810" customWidth="1"/>
    <col min="12" max="12" width="7.88671875" style="810" customWidth="1"/>
    <col min="13" max="13" width="8.5546875" style="810" customWidth="1"/>
    <col min="14" max="14" width="7.33203125" style="810" customWidth="1"/>
    <col min="15" max="15" width="6" style="810" customWidth="1"/>
    <col min="16" max="16" width="6.6640625" style="810" customWidth="1"/>
    <col min="17" max="18" width="0" style="810" hidden="1" customWidth="1"/>
    <col min="19" max="19" width="8.6640625" style="810" hidden="1" customWidth="1"/>
    <col min="20" max="20" width="9" style="810" customWidth="1"/>
    <col min="21" max="22" width="8.33203125" style="810" customWidth="1"/>
    <col min="23" max="24" width="9.109375" style="810"/>
    <col min="25" max="25" width="9" style="810" customWidth="1"/>
    <col min="26" max="26" width="6.88671875" style="810" customWidth="1"/>
    <col min="27" max="28" width="7.88671875" style="810" customWidth="1"/>
    <col min="29" max="29" width="9.33203125" style="810" customWidth="1"/>
    <col min="30" max="30" width="7" style="810" hidden="1" customWidth="1"/>
    <col min="31" max="16384" width="9.109375" style="810"/>
  </cols>
  <sheetData>
    <row r="1" spans="1:30" ht="16.2" thickBot="1">
      <c r="A1" s="845"/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  <c r="P1" s="845"/>
      <c r="Q1" s="845"/>
      <c r="R1" s="845"/>
      <c r="S1" s="845"/>
      <c r="T1" s="845"/>
      <c r="U1" s="845"/>
      <c r="V1" s="845"/>
      <c r="W1" s="845"/>
      <c r="X1" s="845"/>
      <c r="Y1" s="845"/>
      <c r="Z1" s="845"/>
      <c r="AA1" s="1160" t="s">
        <v>411</v>
      </c>
      <c r="AB1" s="1160"/>
      <c r="AC1" s="1160"/>
      <c r="AD1" s="845"/>
    </row>
    <row r="2" spans="1:30" ht="12.75" customHeight="1">
      <c r="A2" s="1186" t="s">
        <v>352</v>
      </c>
      <c r="B2" s="1188" t="s">
        <v>768</v>
      </c>
      <c r="C2" s="1190" t="s">
        <v>312</v>
      </c>
      <c r="D2" s="1190"/>
      <c r="E2" s="1190"/>
      <c r="F2" s="1190"/>
      <c r="G2" s="1190"/>
      <c r="H2" s="1190"/>
      <c r="I2" s="1190"/>
      <c r="J2" s="1190"/>
      <c r="K2" s="1190"/>
      <c r="L2" s="1190"/>
      <c r="M2" s="1190"/>
      <c r="N2" s="1190"/>
      <c r="O2" s="1190"/>
      <c r="P2" s="1190"/>
      <c r="Q2" s="1190"/>
      <c r="R2" s="1190"/>
      <c r="S2" s="1190"/>
      <c r="T2" s="1192" t="s">
        <v>290</v>
      </c>
      <c r="U2" s="1190" t="s">
        <v>303</v>
      </c>
      <c r="V2" s="1190"/>
      <c r="W2" s="1190"/>
      <c r="X2" s="1190"/>
      <c r="Y2" s="1190"/>
      <c r="Z2" s="1190"/>
      <c r="AA2" s="1190"/>
      <c r="AB2" s="856"/>
      <c r="AC2" s="1194" t="s">
        <v>770</v>
      </c>
      <c r="AD2" s="1180" t="s">
        <v>494</v>
      </c>
    </row>
    <row r="3" spans="1:30">
      <c r="A3" s="1197"/>
      <c r="B3" s="1183"/>
      <c r="C3" s="1183" t="s">
        <v>920</v>
      </c>
      <c r="D3" s="1183" t="s">
        <v>921</v>
      </c>
      <c r="E3" s="1183" t="s">
        <v>922</v>
      </c>
      <c r="F3" s="1183"/>
      <c r="G3" s="1183"/>
      <c r="H3" s="1183"/>
      <c r="I3" s="1183"/>
      <c r="J3" s="1183"/>
      <c r="K3" s="1183" t="s">
        <v>152</v>
      </c>
      <c r="L3" s="1183" t="s">
        <v>164</v>
      </c>
      <c r="M3" s="1184"/>
      <c r="N3" s="1183" t="s">
        <v>774</v>
      </c>
      <c r="O3" s="1185" t="s">
        <v>923</v>
      </c>
      <c r="P3" s="1183" t="s">
        <v>924</v>
      </c>
      <c r="Q3" s="812"/>
      <c r="R3" s="812"/>
      <c r="S3" s="812"/>
      <c r="T3" s="1193"/>
      <c r="U3" s="1183" t="s">
        <v>784</v>
      </c>
      <c r="V3" s="1183" t="s">
        <v>785</v>
      </c>
      <c r="W3" s="1183" t="s">
        <v>778</v>
      </c>
      <c r="X3" s="1183" t="s">
        <v>925</v>
      </c>
      <c r="Y3" s="1184"/>
      <c r="Z3" s="1183" t="s">
        <v>927</v>
      </c>
      <c r="AA3" s="1184"/>
      <c r="AB3" s="1196" t="s">
        <v>958</v>
      </c>
      <c r="AC3" s="1195"/>
      <c r="AD3" s="1181"/>
    </row>
    <row r="4" spans="1:30" ht="21" thickBot="1">
      <c r="A4" s="1197"/>
      <c r="B4" s="1183"/>
      <c r="C4" s="1183"/>
      <c r="D4" s="1183"/>
      <c r="E4" s="812" t="s">
        <v>929</v>
      </c>
      <c r="F4" s="812" t="s">
        <v>930</v>
      </c>
      <c r="G4" s="812" t="s">
        <v>931</v>
      </c>
      <c r="H4" s="812" t="s">
        <v>932</v>
      </c>
      <c r="I4" s="812" t="s">
        <v>933</v>
      </c>
      <c r="J4" s="812" t="s">
        <v>934</v>
      </c>
      <c r="K4" s="1183"/>
      <c r="L4" s="855" t="s">
        <v>795</v>
      </c>
      <c r="M4" s="855" t="s">
        <v>796</v>
      </c>
      <c r="N4" s="1183"/>
      <c r="O4" s="1185"/>
      <c r="P4" s="1183"/>
      <c r="Q4" s="812"/>
      <c r="R4" s="812"/>
      <c r="S4" s="812"/>
      <c r="T4" s="1193"/>
      <c r="U4" s="1183"/>
      <c r="V4" s="1183"/>
      <c r="W4" s="1183"/>
      <c r="X4" s="855" t="s">
        <v>935</v>
      </c>
      <c r="Y4" s="855" t="s">
        <v>936</v>
      </c>
      <c r="Z4" s="855" t="s">
        <v>935</v>
      </c>
      <c r="AA4" s="855" t="s">
        <v>936</v>
      </c>
      <c r="AB4" s="1196"/>
      <c r="AC4" s="1195"/>
      <c r="AD4" s="1182"/>
    </row>
    <row r="5" spans="1:30">
      <c r="A5" s="1197"/>
      <c r="B5" s="813" t="s">
        <v>306</v>
      </c>
      <c r="C5" s="813" t="s">
        <v>307</v>
      </c>
      <c r="D5" s="813" t="s">
        <v>308</v>
      </c>
      <c r="E5" s="814"/>
      <c r="F5" s="814"/>
      <c r="G5" s="814"/>
      <c r="H5" s="814"/>
      <c r="I5" s="814"/>
      <c r="J5" s="814"/>
      <c r="K5" s="813" t="s">
        <v>309</v>
      </c>
      <c r="L5" s="813" t="s">
        <v>959</v>
      </c>
      <c r="M5" s="813" t="s">
        <v>960</v>
      </c>
      <c r="N5" s="813" t="s">
        <v>961</v>
      </c>
      <c r="O5" s="813" t="s">
        <v>962</v>
      </c>
      <c r="P5" s="813" t="s">
        <v>963</v>
      </c>
      <c r="Q5" s="814"/>
      <c r="R5" s="814"/>
      <c r="S5" s="814"/>
      <c r="T5" s="815" t="s">
        <v>964</v>
      </c>
      <c r="U5" s="813" t="s">
        <v>965</v>
      </c>
      <c r="V5" s="813" t="s">
        <v>966</v>
      </c>
      <c r="W5" s="813" t="s">
        <v>967</v>
      </c>
      <c r="X5" s="813" t="s">
        <v>968</v>
      </c>
      <c r="Y5" s="813" t="s">
        <v>969</v>
      </c>
      <c r="Z5" s="814" t="s">
        <v>970</v>
      </c>
      <c r="AA5" s="813" t="s">
        <v>971</v>
      </c>
      <c r="AB5" s="813"/>
      <c r="AC5" s="816" t="s">
        <v>972</v>
      </c>
      <c r="AD5" s="846"/>
    </row>
    <row r="6" spans="1:30">
      <c r="A6" s="874" t="s">
        <v>311</v>
      </c>
      <c r="B6" s="875" t="s">
        <v>778</v>
      </c>
      <c r="C6" s="817"/>
      <c r="D6" s="817"/>
      <c r="E6" s="817"/>
      <c r="F6" s="817"/>
      <c r="G6" s="817"/>
      <c r="H6" s="817"/>
      <c r="I6" s="817"/>
      <c r="J6" s="817"/>
      <c r="K6" s="817"/>
      <c r="L6" s="817"/>
      <c r="M6" s="817"/>
      <c r="N6" s="817"/>
      <c r="O6" s="817"/>
      <c r="P6" s="817"/>
      <c r="Q6" s="817"/>
      <c r="R6" s="817"/>
      <c r="S6" s="817"/>
      <c r="T6" s="879"/>
      <c r="U6" s="817"/>
      <c r="V6" s="817"/>
      <c r="W6" s="817">
        <v>316</v>
      </c>
      <c r="X6" s="817"/>
      <c r="Y6" s="817"/>
      <c r="Z6" s="817"/>
      <c r="AA6" s="817"/>
      <c r="AB6" s="817"/>
      <c r="AC6" s="878">
        <f t="shared" ref="AC6:AC11" si="0">SUM(U6:AB6)</f>
        <v>316</v>
      </c>
    </row>
    <row r="7" spans="1:30">
      <c r="A7" s="874" t="s">
        <v>421</v>
      </c>
      <c r="B7" s="875" t="s">
        <v>991</v>
      </c>
      <c r="C7" s="817"/>
      <c r="D7" s="817"/>
      <c r="E7" s="817"/>
      <c r="F7" s="817"/>
      <c r="G7" s="817"/>
      <c r="H7" s="817"/>
      <c r="I7" s="817"/>
      <c r="J7" s="817"/>
      <c r="K7" s="817">
        <v>316</v>
      </c>
      <c r="L7" s="817"/>
      <c r="M7" s="817"/>
      <c r="N7" s="817"/>
      <c r="O7" s="817"/>
      <c r="P7" s="817"/>
      <c r="Q7" s="817"/>
      <c r="R7" s="817"/>
      <c r="S7" s="817"/>
      <c r="T7" s="879">
        <f>SUM(C7:S7)</f>
        <v>316</v>
      </c>
      <c r="U7" s="817"/>
      <c r="V7" s="817"/>
      <c r="W7" s="817"/>
      <c r="X7" s="817"/>
      <c r="Y7" s="817"/>
      <c r="Z7" s="817"/>
      <c r="AA7" s="817"/>
      <c r="AB7" s="817"/>
      <c r="AC7" s="878">
        <f t="shared" si="0"/>
        <v>0</v>
      </c>
    </row>
    <row r="8" spans="1:30">
      <c r="A8" s="874" t="s">
        <v>481</v>
      </c>
      <c r="B8" s="875" t="s">
        <v>992</v>
      </c>
      <c r="C8" s="817"/>
      <c r="D8" s="817"/>
      <c r="E8" s="817"/>
      <c r="F8" s="817"/>
      <c r="G8" s="817"/>
      <c r="H8" s="817"/>
      <c r="I8" s="817"/>
      <c r="J8" s="817"/>
      <c r="K8" s="817"/>
      <c r="L8" s="817"/>
      <c r="M8" s="817"/>
      <c r="N8" s="817"/>
      <c r="O8" s="817"/>
      <c r="P8" s="817"/>
      <c r="Q8" s="817"/>
      <c r="R8" s="817"/>
      <c r="S8" s="817"/>
      <c r="T8" s="879">
        <f>SUM(C8:S8)</f>
        <v>0</v>
      </c>
      <c r="U8" s="817"/>
      <c r="V8" s="817">
        <v>51</v>
      </c>
      <c r="W8" s="817"/>
      <c r="X8" s="817"/>
      <c r="Y8" s="817"/>
      <c r="Z8" s="817"/>
      <c r="AA8" s="817"/>
      <c r="AB8" s="817"/>
      <c r="AC8" s="878">
        <f t="shared" si="0"/>
        <v>51</v>
      </c>
    </row>
    <row r="9" spans="1:30">
      <c r="A9" s="874" t="s">
        <v>482</v>
      </c>
      <c r="B9" s="875" t="s">
        <v>993</v>
      </c>
      <c r="C9" s="817"/>
      <c r="D9" s="817"/>
      <c r="E9" s="817"/>
      <c r="F9" s="817"/>
      <c r="G9" s="817"/>
      <c r="H9" s="817"/>
      <c r="I9" s="817"/>
      <c r="J9" s="817"/>
      <c r="K9" s="817">
        <v>51</v>
      </c>
      <c r="L9" s="817"/>
      <c r="M9" s="817"/>
      <c r="N9" s="817"/>
      <c r="O9" s="817"/>
      <c r="P9" s="817"/>
      <c r="Q9" s="817"/>
      <c r="R9" s="817"/>
      <c r="S9" s="817"/>
      <c r="T9" s="879">
        <f>SUM(C9:S9)</f>
        <v>51</v>
      </c>
      <c r="U9" s="817"/>
      <c r="V9" s="817"/>
      <c r="W9" s="817"/>
      <c r="X9" s="817"/>
      <c r="Y9" s="817"/>
      <c r="Z9" s="817"/>
      <c r="AA9" s="817"/>
      <c r="AB9" s="817"/>
      <c r="AC9" s="878">
        <f t="shared" si="0"/>
        <v>0</v>
      </c>
    </row>
    <row r="10" spans="1:30">
      <c r="A10" s="874" t="s">
        <v>483</v>
      </c>
      <c r="B10" s="875" t="s">
        <v>994</v>
      </c>
      <c r="C10" s="817"/>
      <c r="D10" s="817"/>
      <c r="E10" s="817"/>
      <c r="F10" s="817"/>
      <c r="G10" s="817"/>
      <c r="H10" s="817"/>
      <c r="I10" s="817"/>
      <c r="J10" s="817"/>
      <c r="K10" s="817"/>
      <c r="L10" s="817"/>
      <c r="M10" s="817"/>
      <c r="N10" s="817"/>
      <c r="O10" s="817"/>
      <c r="P10" s="817"/>
      <c r="Q10" s="817"/>
      <c r="R10" s="817"/>
      <c r="S10" s="817"/>
      <c r="T10" s="879">
        <f>SUM(C10:S10)</f>
        <v>0</v>
      </c>
      <c r="U10" s="817"/>
      <c r="V10" s="817">
        <v>13</v>
      </c>
      <c r="W10" s="817"/>
      <c r="X10" s="817"/>
      <c r="Y10" s="817"/>
      <c r="Z10" s="817"/>
      <c r="AA10" s="817"/>
      <c r="AB10" s="817"/>
      <c r="AC10" s="878">
        <f t="shared" si="0"/>
        <v>13</v>
      </c>
    </row>
    <row r="11" spans="1:30">
      <c r="A11" s="874" t="s">
        <v>484</v>
      </c>
      <c r="B11" s="875" t="s">
        <v>995</v>
      </c>
      <c r="C11" s="817"/>
      <c r="D11" s="817"/>
      <c r="E11" s="817"/>
      <c r="F11" s="817"/>
      <c r="G11" s="817"/>
      <c r="H11" s="817"/>
      <c r="I11" s="817"/>
      <c r="J11" s="817"/>
      <c r="K11" s="817"/>
      <c r="L11" s="817">
        <v>13</v>
      </c>
      <c r="M11" s="817"/>
      <c r="N11" s="817"/>
      <c r="O11" s="817"/>
      <c r="P11" s="817"/>
      <c r="Q11" s="817"/>
      <c r="R11" s="817"/>
      <c r="S11" s="817"/>
      <c r="T11" s="879">
        <f t="shared" ref="T11:T15" si="1">SUM(C11:S11)</f>
        <v>13</v>
      </c>
      <c r="U11" s="817"/>
      <c r="V11" s="817"/>
      <c r="W11" s="817"/>
      <c r="X11" s="817"/>
      <c r="Y11" s="817"/>
      <c r="Z11" s="817"/>
      <c r="AA11" s="817"/>
      <c r="AB11" s="817"/>
      <c r="AC11" s="878">
        <f t="shared" si="0"/>
        <v>0</v>
      </c>
    </row>
    <row r="12" spans="1:30">
      <c r="A12" s="874" t="s">
        <v>485</v>
      </c>
      <c r="B12" s="875" t="s">
        <v>778</v>
      </c>
      <c r="C12" s="817"/>
      <c r="D12" s="817"/>
      <c r="E12" s="817"/>
      <c r="F12" s="817"/>
      <c r="G12" s="817"/>
      <c r="H12" s="817"/>
      <c r="I12" s="817"/>
      <c r="J12" s="817"/>
      <c r="K12" s="817"/>
      <c r="L12" s="817"/>
      <c r="M12" s="817"/>
      <c r="N12" s="817"/>
      <c r="O12" s="817"/>
      <c r="P12" s="817"/>
      <c r="Q12" s="817"/>
      <c r="R12" s="817"/>
      <c r="S12" s="817"/>
      <c r="T12" s="879">
        <f t="shared" si="1"/>
        <v>0</v>
      </c>
      <c r="U12" s="817"/>
      <c r="V12" s="817"/>
      <c r="W12" s="817">
        <v>150</v>
      </c>
      <c r="X12" s="817"/>
      <c r="Y12" s="817"/>
      <c r="Z12" s="817"/>
      <c r="AA12" s="817"/>
      <c r="AB12" s="817"/>
      <c r="AC12" s="878">
        <f>SUM(U12:AB12)</f>
        <v>150</v>
      </c>
    </row>
    <row r="13" spans="1:30">
      <c r="A13" s="874" t="s">
        <v>486</v>
      </c>
      <c r="B13" s="875" t="s">
        <v>996</v>
      </c>
      <c r="C13" s="817"/>
      <c r="D13" s="817"/>
      <c r="E13" s="817"/>
      <c r="F13" s="817"/>
      <c r="G13" s="817"/>
      <c r="H13" s="817"/>
      <c r="I13" s="817"/>
      <c r="J13" s="817"/>
      <c r="K13" s="817">
        <v>150</v>
      </c>
      <c r="L13" s="817"/>
      <c r="M13" s="817"/>
      <c r="N13" s="817"/>
      <c r="O13" s="817"/>
      <c r="P13" s="817"/>
      <c r="Q13" s="817"/>
      <c r="R13" s="817"/>
      <c r="S13" s="817"/>
      <c r="T13" s="879">
        <f t="shared" si="1"/>
        <v>150</v>
      </c>
      <c r="U13" s="817"/>
      <c r="V13" s="817"/>
      <c r="W13" s="817"/>
      <c r="X13" s="817"/>
      <c r="Y13" s="817"/>
      <c r="Z13" s="817"/>
      <c r="AA13" s="817"/>
      <c r="AB13" s="817"/>
      <c r="AC13" s="878">
        <f>SUM(U13:AB13)</f>
        <v>0</v>
      </c>
    </row>
    <row r="14" spans="1:30">
      <c r="A14" s="874" t="s">
        <v>487</v>
      </c>
      <c r="B14" s="875" t="s">
        <v>997</v>
      </c>
      <c r="C14" s="817"/>
      <c r="D14" s="817"/>
      <c r="E14" s="817"/>
      <c r="F14" s="817"/>
      <c r="G14" s="817"/>
      <c r="H14" s="817"/>
      <c r="I14" s="817"/>
      <c r="J14" s="817"/>
      <c r="K14" s="817"/>
      <c r="L14" s="817"/>
      <c r="M14" s="817"/>
      <c r="N14" s="817">
        <v>-860</v>
      </c>
      <c r="O14" s="817"/>
      <c r="P14" s="817"/>
      <c r="Q14" s="817"/>
      <c r="R14" s="817"/>
      <c r="S14" s="817"/>
      <c r="T14" s="879">
        <f t="shared" si="1"/>
        <v>-860</v>
      </c>
      <c r="U14" s="817"/>
      <c r="V14" s="817"/>
      <c r="W14" s="817"/>
      <c r="X14" s="817"/>
      <c r="Y14" s="817"/>
      <c r="Z14" s="817"/>
      <c r="AA14" s="817"/>
      <c r="AB14" s="817"/>
      <c r="AC14" s="878">
        <f>SUM(U14:AB14)</f>
        <v>0</v>
      </c>
    </row>
    <row r="15" spans="1:30">
      <c r="A15" s="874" t="s">
        <v>488</v>
      </c>
      <c r="B15" s="875" t="s">
        <v>998</v>
      </c>
      <c r="C15" s="817">
        <v>2</v>
      </c>
      <c r="D15" s="817"/>
      <c r="E15" s="817"/>
      <c r="F15" s="817"/>
      <c r="G15" s="817"/>
      <c r="H15" s="817"/>
      <c r="I15" s="817"/>
      <c r="J15" s="817"/>
      <c r="K15" s="817">
        <v>858</v>
      </c>
      <c r="L15" s="817"/>
      <c r="M15" s="817"/>
      <c r="N15" s="817"/>
      <c r="O15" s="817"/>
      <c r="P15" s="817"/>
      <c r="Q15" s="817"/>
      <c r="R15" s="817"/>
      <c r="S15" s="817"/>
      <c r="T15" s="879">
        <f t="shared" si="1"/>
        <v>860</v>
      </c>
      <c r="U15" s="817"/>
      <c r="V15" s="817"/>
      <c r="W15" s="817"/>
      <c r="X15" s="817"/>
      <c r="Y15" s="817"/>
      <c r="Z15" s="817"/>
      <c r="AA15" s="817"/>
      <c r="AB15" s="817"/>
      <c r="AC15" s="878">
        <f>SUM(U15:AB15)</f>
        <v>0</v>
      </c>
    </row>
    <row r="16" spans="1:30">
      <c r="A16" s="874" t="s">
        <v>489</v>
      </c>
      <c r="B16" s="875" t="s">
        <v>999</v>
      </c>
      <c r="C16" s="817"/>
      <c r="D16" s="817"/>
      <c r="E16" s="817"/>
      <c r="F16" s="817"/>
      <c r="G16" s="817"/>
      <c r="H16" s="817"/>
      <c r="I16" s="817"/>
      <c r="J16" s="817"/>
      <c r="K16" s="817"/>
      <c r="L16" s="817"/>
      <c r="M16" s="817"/>
      <c r="N16" s="817">
        <v>-1000</v>
      </c>
      <c r="O16" s="817"/>
      <c r="P16" s="817"/>
      <c r="Q16" s="817"/>
      <c r="R16" s="817"/>
      <c r="S16" s="817"/>
      <c r="T16" s="879">
        <f>SUM(C16:S16)</f>
        <v>-1000</v>
      </c>
      <c r="U16" s="817"/>
      <c r="V16" s="817"/>
      <c r="W16" s="817"/>
      <c r="X16" s="817"/>
      <c r="Y16" s="817"/>
      <c r="Z16" s="817"/>
      <c r="AA16" s="817"/>
      <c r="AB16" s="817"/>
      <c r="AC16" s="878">
        <f t="shared" ref="AC16:AC21" si="2">SUM(U16:AB16)</f>
        <v>0</v>
      </c>
    </row>
    <row r="17" spans="1:30">
      <c r="A17" s="874" t="s">
        <v>490</v>
      </c>
      <c r="B17" s="875" t="s">
        <v>1000</v>
      </c>
      <c r="C17" s="817"/>
      <c r="D17" s="817"/>
      <c r="E17" s="817"/>
      <c r="F17" s="817"/>
      <c r="G17" s="817"/>
      <c r="H17" s="817"/>
      <c r="I17" s="817"/>
      <c r="J17" s="817"/>
      <c r="K17" s="817">
        <v>1000</v>
      </c>
      <c r="L17" s="817"/>
      <c r="M17" s="817"/>
      <c r="N17" s="817"/>
      <c r="O17" s="817"/>
      <c r="P17" s="817"/>
      <c r="Q17" s="817"/>
      <c r="R17" s="817"/>
      <c r="S17" s="817"/>
      <c r="T17" s="879">
        <f>SUM(C17:S17)</f>
        <v>1000</v>
      </c>
      <c r="U17" s="817"/>
      <c r="V17" s="817"/>
      <c r="W17" s="817"/>
      <c r="X17" s="817"/>
      <c r="Y17" s="817"/>
      <c r="Z17" s="817"/>
      <c r="AA17" s="817"/>
      <c r="AB17" s="817"/>
      <c r="AC17" s="878">
        <f t="shared" si="2"/>
        <v>0</v>
      </c>
    </row>
    <row r="18" spans="1:30">
      <c r="A18" s="874" t="s">
        <v>982</v>
      </c>
      <c r="B18" s="875" t="s">
        <v>1001</v>
      </c>
      <c r="C18" s="817"/>
      <c r="D18" s="817"/>
      <c r="E18" s="817"/>
      <c r="F18" s="817"/>
      <c r="G18" s="817"/>
      <c r="H18" s="817"/>
      <c r="I18" s="817"/>
      <c r="J18" s="817"/>
      <c r="K18" s="817">
        <v>-18</v>
      </c>
      <c r="L18" s="817"/>
      <c r="M18" s="817"/>
      <c r="N18" s="817"/>
      <c r="O18" s="817"/>
      <c r="P18" s="817"/>
      <c r="Q18" s="817"/>
      <c r="R18" s="817"/>
      <c r="S18" s="817"/>
      <c r="T18" s="879">
        <f>SUM(C18:S18)</f>
        <v>-18</v>
      </c>
      <c r="U18" s="817"/>
      <c r="V18" s="817"/>
      <c r="W18" s="817"/>
      <c r="X18" s="817"/>
      <c r="Y18" s="817"/>
      <c r="Z18" s="817"/>
      <c r="AA18" s="817"/>
      <c r="AB18" s="817"/>
      <c r="AC18" s="878">
        <f t="shared" si="2"/>
        <v>0</v>
      </c>
    </row>
    <row r="19" spans="1:30">
      <c r="A19" s="874" t="s">
        <v>983</v>
      </c>
      <c r="B19" s="875" t="s">
        <v>1002</v>
      </c>
      <c r="C19" s="817">
        <v>18</v>
      </c>
      <c r="D19" s="817"/>
      <c r="E19" s="817"/>
      <c r="F19" s="817"/>
      <c r="G19" s="817"/>
      <c r="H19" s="817"/>
      <c r="I19" s="817"/>
      <c r="J19" s="817"/>
      <c r="K19" s="817"/>
      <c r="L19" s="817"/>
      <c r="M19" s="817"/>
      <c r="N19" s="817"/>
      <c r="O19" s="817"/>
      <c r="P19" s="817"/>
      <c r="Q19" s="817"/>
      <c r="R19" s="817"/>
      <c r="S19" s="817"/>
      <c r="T19" s="879">
        <f>SUM(C19:S19)</f>
        <v>18</v>
      </c>
      <c r="U19" s="817"/>
      <c r="V19" s="817"/>
      <c r="W19" s="817"/>
      <c r="X19" s="817"/>
      <c r="Y19" s="817"/>
      <c r="Z19" s="817"/>
      <c r="AA19" s="817"/>
      <c r="AB19" s="817"/>
      <c r="AC19" s="878">
        <f t="shared" si="2"/>
        <v>0</v>
      </c>
    </row>
    <row r="20" spans="1:30">
      <c r="A20" s="874" t="s">
        <v>985</v>
      </c>
      <c r="B20" s="875" t="s">
        <v>952</v>
      </c>
      <c r="C20" s="817"/>
      <c r="D20" s="817"/>
      <c r="E20" s="817"/>
      <c r="F20" s="817"/>
      <c r="G20" s="817"/>
      <c r="H20" s="817"/>
      <c r="I20" s="817"/>
      <c r="J20" s="817"/>
      <c r="K20" s="817"/>
      <c r="L20" s="817"/>
      <c r="M20" s="817"/>
      <c r="N20" s="817"/>
      <c r="O20" s="817"/>
      <c r="P20" s="817"/>
      <c r="Q20" s="817"/>
      <c r="R20" s="817"/>
      <c r="S20" s="817"/>
      <c r="T20" s="879">
        <f>SUM(C20:S20)</f>
        <v>0</v>
      </c>
      <c r="U20" s="817"/>
      <c r="V20" s="817"/>
      <c r="W20" s="817"/>
      <c r="X20" s="817"/>
      <c r="Y20" s="817"/>
      <c r="Z20" s="817"/>
      <c r="AA20" s="817"/>
      <c r="AB20" s="817">
        <v>338</v>
      </c>
      <c r="AC20" s="878">
        <f t="shared" si="2"/>
        <v>338</v>
      </c>
    </row>
    <row r="21" spans="1:30">
      <c r="A21" s="874" t="s">
        <v>987</v>
      </c>
      <c r="B21" s="875" t="s">
        <v>984</v>
      </c>
      <c r="C21" s="817"/>
      <c r="D21" s="817"/>
      <c r="E21" s="817"/>
      <c r="F21" s="817"/>
      <c r="G21" s="817"/>
      <c r="H21" s="817"/>
      <c r="I21" s="817"/>
      <c r="J21" s="817"/>
      <c r="K21" s="817"/>
      <c r="L21" s="817">
        <v>338</v>
      </c>
      <c r="M21" s="817"/>
      <c r="N21" s="817"/>
      <c r="O21" s="817"/>
      <c r="P21" s="817"/>
      <c r="Q21" s="817"/>
      <c r="R21" s="817"/>
      <c r="S21" s="817"/>
      <c r="T21" s="879">
        <f t="shared" ref="T21:T25" si="3">SUM(C21:S21)</f>
        <v>338</v>
      </c>
      <c r="U21" s="817"/>
      <c r="V21" s="817"/>
      <c r="W21" s="817"/>
      <c r="X21" s="817"/>
      <c r="Y21" s="817"/>
      <c r="Z21" s="817"/>
      <c r="AA21" s="817"/>
      <c r="AB21" s="817"/>
      <c r="AC21" s="878">
        <f t="shared" si="2"/>
        <v>0</v>
      </c>
    </row>
    <row r="22" spans="1:30">
      <c r="A22" s="874" t="s">
        <v>989</v>
      </c>
      <c r="B22" s="875" t="s">
        <v>948</v>
      </c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17"/>
      <c r="S22" s="817"/>
      <c r="T22" s="879">
        <f t="shared" si="3"/>
        <v>0</v>
      </c>
      <c r="U22" s="817"/>
      <c r="V22" s="817"/>
      <c r="W22" s="817">
        <v>22</v>
      </c>
      <c r="X22" s="817"/>
      <c r="Y22" s="817"/>
      <c r="Z22" s="817"/>
      <c r="AA22" s="817"/>
      <c r="AB22" s="817"/>
      <c r="AC22" s="878">
        <f>SUM(U22:AB22)</f>
        <v>22</v>
      </c>
    </row>
    <row r="23" spans="1:30">
      <c r="A23" s="874" t="s">
        <v>1003</v>
      </c>
      <c r="B23" s="875" t="s">
        <v>949</v>
      </c>
      <c r="C23" s="817">
        <v>17</v>
      </c>
      <c r="D23" s="817">
        <v>5</v>
      </c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17"/>
      <c r="S23" s="817"/>
      <c r="T23" s="879">
        <f t="shared" si="3"/>
        <v>22</v>
      </c>
      <c r="U23" s="817"/>
      <c r="V23" s="817"/>
      <c r="W23" s="817"/>
      <c r="X23" s="817"/>
      <c r="Y23" s="817"/>
      <c r="Z23" s="817"/>
      <c r="AA23" s="817"/>
      <c r="AB23" s="817"/>
      <c r="AC23" s="878">
        <f>SUM(U23:AB23)</f>
        <v>0</v>
      </c>
    </row>
    <row r="24" spans="1:30">
      <c r="A24" s="874" t="s">
        <v>1004</v>
      </c>
      <c r="B24" s="875" t="s">
        <v>1005</v>
      </c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17"/>
      <c r="S24" s="817"/>
      <c r="T24" s="879">
        <f t="shared" si="3"/>
        <v>0</v>
      </c>
      <c r="U24" s="817"/>
      <c r="V24" s="817">
        <v>465</v>
      </c>
      <c r="W24" s="817"/>
      <c r="X24" s="817"/>
      <c r="Y24" s="817"/>
      <c r="Z24" s="817"/>
      <c r="AA24" s="817"/>
      <c r="AB24" s="817"/>
      <c r="AC24" s="878">
        <f>SUM(U24:AB24)</f>
        <v>465</v>
      </c>
    </row>
    <row r="25" spans="1:30">
      <c r="A25" s="874" t="s">
        <v>1006</v>
      </c>
      <c r="B25" s="875" t="s">
        <v>979</v>
      </c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>
        <v>232</v>
      </c>
      <c r="N25" s="817"/>
      <c r="O25" s="817"/>
      <c r="P25" s="817"/>
      <c r="Q25" s="817"/>
      <c r="R25" s="817"/>
      <c r="S25" s="817"/>
      <c r="T25" s="879">
        <f t="shared" si="3"/>
        <v>232</v>
      </c>
      <c r="U25" s="817"/>
      <c r="V25" s="817"/>
      <c r="W25" s="817"/>
      <c r="X25" s="817"/>
      <c r="Y25" s="817"/>
      <c r="Z25" s="817"/>
      <c r="AA25" s="817"/>
      <c r="AB25" s="817"/>
      <c r="AC25" s="878">
        <f>SUM(U25:AB25)</f>
        <v>0</v>
      </c>
    </row>
    <row r="26" spans="1:30">
      <c r="A26" s="874" t="s">
        <v>1007</v>
      </c>
      <c r="B26" s="875" t="s">
        <v>980</v>
      </c>
      <c r="C26" s="817"/>
      <c r="D26" s="817"/>
      <c r="E26" s="817"/>
      <c r="F26" s="817"/>
      <c r="G26" s="817"/>
      <c r="H26" s="817"/>
      <c r="I26" s="817"/>
      <c r="J26" s="817"/>
      <c r="K26" s="817"/>
      <c r="L26" s="817">
        <v>233</v>
      </c>
      <c r="M26" s="817"/>
      <c r="N26" s="817"/>
      <c r="O26" s="817"/>
      <c r="P26" s="817"/>
      <c r="Q26" s="817"/>
      <c r="R26" s="817"/>
      <c r="S26" s="817"/>
      <c r="T26" s="879">
        <f>SUM(C26:S26)</f>
        <v>233</v>
      </c>
      <c r="U26" s="817"/>
      <c r="V26" s="817"/>
      <c r="W26" s="817"/>
      <c r="X26" s="817"/>
      <c r="Y26" s="817"/>
      <c r="Z26" s="817"/>
      <c r="AA26" s="817"/>
      <c r="AB26" s="817"/>
      <c r="AC26" s="878">
        <f t="shared" ref="AC26:AC27" si="4">SUM(U26:AB26)</f>
        <v>0</v>
      </c>
    </row>
    <row r="27" spans="1:30">
      <c r="A27" s="874" t="s">
        <v>1008</v>
      </c>
      <c r="B27" s="875" t="s">
        <v>1009</v>
      </c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17"/>
      <c r="S27" s="817"/>
      <c r="T27" s="879">
        <f>SUM(C27:S27)</f>
        <v>0</v>
      </c>
      <c r="U27" s="817"/>
      <c r="V27" s="817">
        <v>156</v>
      </c>
      <c r="W27" s="817"/>
      <c r="X27" s="817"/>
      <c r="Y27" s="817"/>
      <c r="Z27" s="817"/>
      <c r="AA27" s="817"/>
      <c r="AB27" s="817"/>
      <c r="AC27" s="878">
        <f t="shared" si="4"/>
        <v>156</v>
      </c>
    </row>
    <row r="28" spans="1:30">
      <c r="A28" s="874" t="s">
        <v>1010</v>
      </c>
      <c r="B28" s="875" t="s">
        <v>1011</v>
      </c>
      <c r="C28" s="817"/>
      <c r="D28" s="817"/>
      <c r="E28" s="817"/>
      <c r="F28" s="817"/>
      <c r="G28" s="817"/>
      <c r="H28" s="817"/>
      <c r="I28" s="817"/>
      <c r="J28" s="817"/>
      <c r="K28" s="817">
        <v>156</v>
      </c>
      <c r="L28" s="817"/>
      <c r="M28" s="817"/>
      <c r="N28" s="817"/>
      <c r="O28" s="817"/>
      <c r="P28" s="817"/>
      <c r="Q28" s="817"/>
      <c r="R28" s="817"/>
      <c r="S28" s="817"/>
      <c r="T28" s="879">
        <f>SUM(C28:S28)</f>
        <v>156</v>
      </c>
      <c r="U28" s="817"/>
      <c r="V28" s="817"/>
      <c r="W28" s="817"/>
      <c r="X28" s="817"/>
      <c r="Y28" s="817"/>
      <c r="Z28" s="817"/>
      <c r="AA28" s="817"/>
      <c r="AB28" s="817"/>
      <c r="AC28" s="878"/>
    </row>
    <row r="29" spans="1:30" ht="13.8" thickBot="1">
      <c r="A29" s="818"/>
      <c r="B29" s="819" t="s">
        <v>181</v>
      </c>
      <c r="C29" s="821">
        <f t="shared" ref="C29:AC29" si="5">SUM(C6:C28)</f>
        <v>37</v>
      </c>
      <c r="D29" s="821">
        <f t="shared" si="5"/>
        <v>5</v>
      </c>
      <c r="E29" s="821">
        <f t="shared" si="5"/>
        <v>0</v>
      </c>
      <c r="F29" s="821">
        <f t="shared" si="5"/>
        <v>0</v>
      </c>
      <c r="G29" s="821">
        <f t="shared" si="5"/>
        <v>0</v>
      </c>
      <c r="H29" s="821">
        <f t="shared" si="5"/>
        <v>0</v>
      </c>
      <c r="I29" s="821">
        <f t="shared" si="5"/>
        <v>0</v>
      </c>
      <c r="J29" s="821">
        <f t="shared" si="5"/>
        <v>0</v>
      </c>
      <c r="K29" s="821">
        <f t="shared" si="5"/>
        <v>2513</v>
      </c>
      <c r="L29" s="821">
        <f t="shared" si="5"/>
        <v>584</v>
      </c>
      <c r="M29" s="821">
        <f t="shared" si="5"/>
        <v>232</v>
      </c>
      <c r="N29" s="821">
        <f t="shared" si="5"/>
        <v>-1860</v>
      </c>
      <c r="O29" s="821">
        <f t="shared" si="5"/>
        <v>0</v>
      </c>
      <c r="P29" s="821">
        <f t="shared" si="5"/>
        <v>0</v>
      </c>
      <c r="Q29" s="821">
        <f t="shared" si="5"/>
        <v>0</v>
      </c>
      <c r="R29" s="821">
        <f t="shared" si="5"/>
        <v>0</v>
      </c>
      <c r="S29" s="821">
        <f t="shared" si="5"/>
        <v>0</v>
      </c>
      <c r="T29" s="821">
        <f t="shared" si="5"/>
        <v>1511</v>
      </c>
      <c r="U29" s="821">
        <f t="shared" si="5"/>
        <v>0</v>
      </c>
      <c r="V29" s="821">
        <f t="shared" si="5"/>
        <v>685</v>
      </c>
      <c r="W29" s="821">
        <f t="shared" si="5"/>
        <v>488</v>
      </c>
      <c r="X29" s="821">
        <f t="shared" si="5"/>
        <v>0</v>
      </c>
      <c r="Y29" s="821">
        <f t="shared" si="5"/>
        <v>0</v>
      </c>
      <c r="Z29" s="821">
        <f t="shared" si="5"/>
        <v>0</v>
      </c>
      <c r="AA29" s="821">
        <f t="shared" si="5"/>
        <v>0</v>
      </c>
      <c r="AB29" s="821">
        <f t="shared" si="5"/>
        <v>338</v>
      </c>
      <c r="AC29" s="822">
        <f t="shared" si="5"/>
        <v>1511</v>
      </c>
      <c r="AD29" s="827">
        <f>SUM(AC29,T29)</f>
        <v>3022</v>
      </c>
    </row>
    <row r="30" spans="1:30">
      <c r="C30" s="824"/>
      <c r="D30" s="824"/>
      <c r="E30" s="824"/>
      <c r="F30" s="824"/>
      <c r="G30" s="824"/>
      <c r="H30" s="824"/>
      <c r="I30" s="824"/>
      <c r="J30" s="824"/>
      <c r="K30" s="825"/>
      <c r="L30" s="824"/>
      <c r="AC30" s="824"/>
    </row>
    <row r="31" spans="1:30">
      <c r="K31" s="825"/>
      <c r="L31" s="824"/>
    </row>
    <row r="32" spans="1:30">
      <c r="K32" s="825"/>
      <c r="L32" s="824"/>
    </row>
    <row r="33" spans="11:12">
      <c r="K33" s="825"/>
      <c r="L33" s="824"/>
    </row>
    <row r="34" spans="11:12">
      <c r="K34" s="825"/>
      <c r="L34" s="824"/>
    </row>
    <row r="35" spans="11:12">
      <c r="K35" s="825"/>
      <c r="L35" s="824"/>
    </row>
    <row r="36" spans="11:12">
      <c r="K36" s="825"/>
      <c r="L36" s="824"/>
    </row>
    <row r="37" spans="11:12">
      <c r="K37" s="825"/>
      <c r="L37" s="824"/>
    </row>
    <row r="38" spans="11:12">
      <c r="K38" s="825"/>
      <c r="L38" s="824"/>
    </row>
    <row r="39" spans="11:12">
      <c r="K39" s="825"/>
      <c r="L39" s="824"/>
    </row>
    <row r="40" spans="11:12">
      <c r="K40" s="825"/>
      <c r="L40" s="824"/>
    </row>
    <row r="41" spans="11:12">
      <c r="K41" s="825"/>
      <c r="L41" s="824"/>
    </row>
    <row r="42" spans="11:12">
      <c r="K42" s="825"/>
      <c r="L42" s="824"/>
    </row>
    <row r="43" spans="11:12">
      <c r="K43" s="825"/>
      <c r="L43" s="824"/>
    </row>
    <row r="44" spans="11:12">
      <c r="K44" s="825"/>
      <c r="L44" s="824"/>
    </row>
    <row r="45" spans="11:12">
      <c r="K45" s="825"/>
      <c r="L45" s="824"/>
    </row>
    <row r="46" spans="11:12">
      <c r="K46" s="825"/>
      <c r="L46" s="824"/>
    </row>
    <row r="47" spans="11:12">
      <c r="K47" s="825"/>
      <c r="L47" s="824"/>
    </row>
    <row r="48" spans="11:12">
      <c r="K48" s="825"/>
      <c r="L48" s="824"/>
    </row>
    <row r="49" spans="11:12">
      <c r="K49" s="825"/>
      <c r="L49" s="824"/>
    </row>
    <row r="50" spans="11:12">
      <c r="K50" s="825"/>
      <c r="L50" s="824"/>
    </row>
    <row r="51" spans="11:12">
      <c r="K51" s="825"/>
      <c r="L51" s="824"/>
    </row>
    <row r="52" spans="11:12">
      <c r="K52" s="825"/>
      <c r="L52" s="824"/>
    </row>
    <row r="53" spans="11:12">
      <c r="K53" s="825"/>
      <c r="L53" s="824"/>
    </row>
    <row r="54" spans="11:12">
      <c r="K54" s="825"/>
      <c r="L54" s="824"/>
    </row>
    <row r="55" spans="11:12">
      <c r="K55" s="825"/>
      <c r="L55" s="824"/>
    </row>
    <row r="56" spans="11:12">
      <c r="K56" s="825"/>
      <c r="L56" s="824"/>
    </row>
    <row r="57" spans="11:12">
      <c r="K57" s="825"/>
      <c r="L57" s="824"/>
    </row>
    <row r="58" spans="11:12">
      <c r="K58" s="825"/>
      <c r="L58" s="824"/>
    </row>
    <row r="59" spans="11:12">
      <c r="K59" s="825"/>
      <c r="L59" s="824"/>
    </row>
    <row r="60" spans="11:12">
      <c r="K60" s="825"/>
      <c r="L60" s="824"/>
    </row>
    <row r="61" spans="11:12">
      <c r="K61" s="825"/>
      <c r="L61" s="824"/>
    </row>
    <row r="62" spans="11:12">
      <c r="K62" s="825"/>
      <c r="L62" s="824"/>
    </row>
    <row r="63" spans="11:12">
      <c r="K63" s="825"/>
      <c r="L63" s="824"/>
    </row>
    <row r="64" spans="11:12">
      <c r="K64" s="825"/>
      <c r="L64" s="824"/>
    </row>
    <row r="65" spans="11:12">
      <c r="K65" s="825"/>
      <c r="L65" s="824"/>
    </row>
    <row r="66" spans="11:12">
      <c r="K66" s="825"/>
      <c r="L66" s="824"/>
    </row>
    <row r="67" spans="11:12">
      <c r="K67" s="825"/>
      <c r="L67" s="824"/>
    </row>
    <row r="68" spans="11:12">
      <c r="K68" s="825"/>
      <c r="L68" s="824"/>
    </row>
    <row r="69" spans="11:12">
      <c r="K69" s="825"/>
      <c r="L69" s="824"/>
    </row>
    <row r="70" spans="11:12">
      <c r="K70" s="825"/>
      <c r="L70" s="824"/>
    </row>
    <row r="71" spans="11:12">
      <c r="K71" s="825"/>
      <c r="L71" s="824"/>
    </row>
    <row r="72" spans="11:12">
      <c r="K72" s="825"/>
      <c r="L72" s="824"/>
    </row>
    <row r="73" spans="11:12">
      <c r="K73" s="825"/>
      <c r="L73" s="824"/>
    </row>
    <row r="74" spans="11:12">
      <c r="K74" s="825"/>
      <c r="L74" s="824"/>
    </row>
    <row r="75" spans="11:12">
      <c r="K75" s="825"/>
      <c r="L75" s="824"/>
    </row>
    <row r="76" spans="11:12">
      <c r="K76" s="825"/>
      <c r="L76" s="824"/>
    </row>
    <row r="77" spans="11:12">
      <c r="K77" s="825"/>
      <c r="L77" s="824"/>
    </row>
    <row r="78" spans="11:12">
      <c r="K78" s="825"/>
      <c r="L78" s="824"/>
    </row>
    <row r="79" spans="11:12">
      <c r="K79" s="825"/>
      <c r="L79" s="824"/>
    </row>
    <row r="80" spans="11:12">
      <c r="K80" s="825"/>
      <c r="L80" s="824"/>
    </row>
    <row r="81" spans="11:12">
      <c r="K81" s="825"/>
      <c r="L81" s="824"/>
    </row>
    <row r="82" spans="11:12">
      <c r="K82" s="825"/>
      <c r="L82" s="824"/>
    </row>
    <row r="83" spans="11:12">
      <c r="K83" s="825"/>
      <c r="L83" s="824"/>
    </row>
    <row r="84" spans="11:12">
      <c r="K84" s="825"/>
      <c r="L84" s="824"/>
    </row>
    <row r="85" spans="11:12">
      <c r="K85" s="825"/>
      <c r="L85" s="824"/>
    </row>
    <row r="86" spans="11:12">
      <c r="K86" s="825"/>
      <c r="L86" s="824"/>
    </row>
    <row r="87" spans="11:12">
      <c r="K87" s="825"/>
      <c r="L87" s="824"/>
    </row>
    <row r="88" spans="11:12">
      <c r="K88" s="825"/>
      <c r="L88" s="824"/>
    </row>
    <row r="89" spans="11:12">
      <c r="K89" s="825"/>
      <c r="L89" s="824"/>
    </row>
    <row r="90" spans="11:12">
      <c r="K90" s="825"/>
      <c r="L90" s="824"/>
    </row>
    <row r="91" spans="11:12">
      <c r="K91" s="825"/>
      <c r="L91" s="824"/>
    </row>
    <row r="92" spans="11:12">
      <c r="K92" s="825"/>
      <c r="L92" s="824"/>
    </row>
    <row r="93" spans="11:12">
      <c r="K93" s="825"/>
      <c r="L93" s="824"/>
    </row>
    <row r="94" spans="11:12">
      <c r="K94" s="825"/>
      <c r="L94" s="824"/>
    </row>
    <row r="95" spans="11:12">
      <c r="K95" s="825"/>
      <c r="L95" s="824"/>
    </row>
    <row r="96" spans="11:12">
      <c r="K96" s="825"/>
      <c r="L96" s="824"/>
    </row>
    <row r="97" spans="11:12">
      <c r="K97" s="825"/>
      <c r="L97" s="824"/>
    </row>
    <row r="98" spans="11:12">
      <c r="K98" s="825"/>
      <c r="L98" s="824"/>
    </row>
    <row r="99" spans="11:12">
      <c r="K99" s="825"/>
      <c r="L99" s="824"/>
    </row>
    <row r="100" spans="11:12">
      <c r="K100" s="825"/>
      <c r="L100" s="824"/>
    </row>
    <row r="101" spans="11:12">
      <c r="K101" s="825"/>
      <c r="L101" s="824"/>
    </row>
    <row r="102" spans="11:12">
      <c r="K102" s="825"/>
      <c r="L102" s="824"/>
    </row>
    <row r="103" spans="11:12">
      <c r="K103" s="825"/>
      <c r="L103" s="824"/>
    </row>
    <row r="104" spans="11:12">
      <c r="K104" s="825"/>
      <c r="L104" s="824"/>
    </row>
    <row r="105" spans="11:12">
      <c r="K105" s="825"/>
      <c r="L105" s="824"/>
    </row>
    <row r="106" spans="11:12">
      <c r="K106" s="825"/>
      <c r="L106" s="824"/>
    </row>
    <row r="107" spans="11:12">
      <c r="K107" s="825"/>
      <c r="L107" s="824"/>
    </row>
    <row r="108" spans="11:12">
      <c r="K108" s="825"/>
      <c r="L108" s="824"/>
    </row>
    <row r="109" spans="11:12">
      <c r="K109" s="825"/>
      <c r="L109" s="824"/>
    </row>
    <row r="110" spans="11:12">
      <c r="K110" s="825"/>
      <c r="L110" s="824"/>
    </row>
    <row r="111" spans="11:12">
      <c r="K111" s="825"/>
      <c r="L111" s="824"/>
    </row>
    <row r="112" spans="11:12">
      <c r="K112" s="825"/>
      <c r="L112" s="824"/>
    </row>
    <row r="113" spans="11:12">
      <c r="K113" s="825"/>
      <c r="L113" s="824"/>
    </row>
    <row r="114" spans="11:12">
      <c r="K114" s="825"/>
      <c r="L114" s="824"/>
    </row>
    <row r="115" spans="11:12">
      <c r="K115" s="825"/>
      <c r="L115" s="824"/>
    </row>
    <row r="116" spans="11:12">
      <c r="K116" s="825"/>
      <c r="L116" s="824"/>
    </row>
    <row r="117" spans="11:12">
      <c r="K117" s="825"/>
      <c r="L117" s="824"/>
    </row>
    <row r="118" spans="11:12">
      <c r="K118" s="825"/>
      <c r="L118" s="824"/>
    </row>
    <row r="119" spans="11:12">
      <c r="K119" s="825"/>
      <c r="L119" s="824"/>
    </row>
    <row r="120" spans="11:12">
      <c r="K120" s="825"/>
      <c r="L120" s="824"/>
    </row>
    <row r="121" spans="11:12">
      <c r="K121" s="825"/>
      <c r="L121" s="824"/>
    </row>
    <row r="122" spans="11:12">
      <c r="K122" s="825"/>
      <c r="L122" s="824"/>
    </row>
    <row r="123" spans="11:12">
      <c r="K123" s="825"/>
      <c r="L123" s="824"/>
    </row>
    <row r="124" spans="11:12">
      <c r="K124" s="825"/>
      <c r="L124" s="824"/>
    </row>
    <row r="125" spans="11:12">
      <c r="K125" s="825"/>
      <c r="L125" s="824"/>
    </row>
    <row r="126" spans="11:12">
      <c r="K126" s="825"/>
      <c r="L126" s="824"/>
    </row>
    <row r="127" spans="11:12">
      <c r="K127" s="825"/>
      <c r="L127" s="824"/>
    </row>
    <row r="128" spans="11:12">
      <c r="K128" s="825"/>
      <c r="L128" s="824"/>
    </row>
    <row r="129" spans="11:12">
      <c r="K129" s="825"/>
      <c r="L129" s="824"/>
    </row>
    <row r="130" spans="11:12">
      <c r="K130" s="825"/>
      <c r="L130" s="824"/>
    </row>
    <row r="131" spans="11:12">
      <c r="K131" s="825"/>
      <c r="L131" s="824"/>
    </row>
    <row r="132" spans="11:12">
      <c r="K132" s="825"/>
      <c r="L132" s="824"/>
    </row>
    <row r="133" spans="11:12">
      <c r="K133" s="825"/>
      <c r="L133" s="824"/>
    </row>
    <row r="134" spans="11:12">
      <c r="K134" s="825"/>
      <c r="L134" s="824"/>
    </row>
    <row r="135" spans="11:12">
      <c r="K135" s="825"/>
      <c r="L135" s="824"/>
    </row>
    <row r="136" spans="11:12">
      <c r="K136" s="825"/>
      <c r="L136" s="824"/>
    </row>
    <row r="137" spans="11:12">
      <c r="K137" s="825"/>
      <c r="L137" s="824"/>
    </row>
    <row r="138" spans="11:12">
      <c r="K138" s="825"/>
      <c r="L138" s="824"/>
    </row>
    <row r="139" spans="11:12">
      <c r="K139" s="825"/>
      <c r="L139" s="824"/>
    </row>
    <row r="140" spans="11:12">
      <c r="K140" s="825"/>
      <c r="L140" s="824"/>
    </row>
    <row r="141" spans="11:12">
      <c r="K141" s="825"/>
      <c r="L141" s="824"/>
    </row>
    <row r="142" spans="11:12">
      <c r="K142" s="825"/>
      <c r="L142" s="824"/>
    </row>
    <row r="143" spans="11:12">
      <c r="K143" s="825"/>
      <c r="L143" s="824"/>
    </row>
    <row r="144" spans="11:12">
      <c r="K144" s="825"/>
      <c r="L144" s="824"/>
    </row>
    <row r="145" spans="11:12">
      <c r="K145" s="825"/>
      <c r="L145" s="824"/>
    </row>
    <row r="146" spans="11:12">
      <c r="K146" s="825"/>
      <c r="L146" s="824"/>
    </row>
    <row r="147" spans="11:12">
      <c r="K147" s="825"/>
      <c r="L147" s="824"/>
    </row>
    <row r="148" spans="11:12">
      <c r="K148" s="825"/>
      <c r="L148" s="824"/>
    </row>
    <row r="149" spans="11:12">
      <c r="K149" s="825"/>
      <c r="L149" s="824"/>
    </row>
    <row r="150" spans="11:12">
      <c r="K150" s="825"/>
      <c r="L150" s="824"/>
    </row>
    <row r="151" spans="11:12">
      <c r="K151" s="825"/>
      <c r="L151" s="824"/>
    </row>
    <row r="152" spans="11:12">
      <c r="K152" s="825"/>
      <c r="L152" s="824"/>
    </row>
    <row r="153" spans="11:12">
      <c r="K153" s="825"/>
      <c r="L153" s="824"/>
    </row>
    <row r="154" spans="11:12">
      <c r="K154" s="825"/>
      <c r="L154" s="824"/>
    </row>
    <row r="155" spans="11:12">
      <c r="K155" s="825"/>
      <c r="L155" s="824"/>
    </row>
    <row r="156" spans="11:12">
      <c r="K156" s="825"/>
      <c r="L156" s="824"/>
    </row>
    <row r="157" spans="11:12">
      <c r="K157" s="825"/>
      <c r="L157" s="824"/>
    </row>
    <row r="158" spans="11:12">
      <c r="K158" s="825"/>
      <c r="L158" s="824"/>
    </row>
    <row r="159" spans="11:12">
      <c r="K159" s="825"/>
      <c r="L159" s="824"/>
    </row>
    <row r="160" spans="11:12">
      <c r="K160" s="825"/>
      <c r="L160" s="824"/>
    </row>
    <row r="161" spans="11:12">
      <c r="K161" s="825"/>
      <c r="L161" s="824"/>
    </row>
    <row r="162" spans="11:12">
      <c r="K162" s="825"/>
      <c r="L162" s="824"/>
    </row>
    <row r="163" spans="11:12">
      <c r="K163" s="825"/>
      <c r="L163" s="824"/>
    </row>
    <row r="164" spans="11:12">
      <c r="K164" s="825"/>
      <c r="L164" s="824"/>
    </row>
    <row r="165" spans="11:12">
      <c r="K165" s="825"/>
      <c r="L165" s="824"/>
    </row>
    <row r="166" spans="11:12">
      <c r="K166" s="825"/>
      <c r="L166" s="824"/>
    </row>
    <row r="167" spans="11:12">
      <c r="K167" s="825"/>
      <c r="L167" s="824"/>
    </row>
    <row r="168" spans="11:12">
      <c r="K168" s="825"/>
      <c r="L168" s="824"/>
    </row>
    <row r="169" spans="11:12">
      <c r="K169" s="825"/>
      <c r="L169" s="824"/>
    </row>
    <row r="170" spans="11:12">
      <c r="K170" s="825"/>
      <c r="L170" s="824"/>
    </row>
    <row r="171" spans="11:12">
      <c r="K171" s="825"/>
      <c r="L171" s="824"/>
    </row>
    <row r="172" spans="11:12">
      <c r="K172" s="825"/>
      <c r="L172" s="824"/>
    </row>
    <row r="173" spans="11:12">
      <c r="K173" s="825"/>
      <c r="L173" s="824"/>
    </row>
    <row r="174" spans="11:12">
      <c r="K174" s="825"/>
      <c r="L174" s="824"/>
    </row>
    <row r="175" spans="11:12">
      <c r="K175" s="825"/>
      <c r="L175" s="824"/>
    </row>
    <row r="176" spans="11:12">
      <c r="K176" s="825"/>
      <c r="L176" s="824"/>
    </row>
    <row r="177" spans="11:12">
      <c r="K177" s="825"/>
      <c r="L177" s="824"/>
    </row>
    <row r="178" spans="11:12">
      <c r="K178" s="825"/>
      <c r="L178" s="824"/>
    </row>
    <row r="179" spans="11:12">
      <c r="K179" s="825"/>
      <c r="L179" s="824"/>
    </row>
    <row r="180" spans="11:12">
      <c r="K180" s="825"/>
      <c r="L180" s="824"/>
    </row>
    <row r="181" spans="11:12">
      <c r="K181" s="825"/>
      <c r="L181" s="824"/>
    </row>
    <row r="182" spans="11:12">
      <c r="K182" s="826"/>
      <c r="L182" s="824"/>
    </row>
  </sheetData>
  <mergeCells count="22">
    <mergeCell ref="AA1:AC1"/>
    <mergeCell ref="Z3:AA3"/>
    <mergeCell ref="P3:P4"/>
    <mergeCell ref="U3:U4"/>
    <mergeCell ref="V3:V4"/>
    <mergeCell ref="W3:W4"/>
    <mergeCell ref="X3:Y3"/>
    <mergeCell ref="AC2:AC4"/>
    <mergeCell ref="A2:A5"/>
    <mergeCell ref="B2:B4"/>
    <mergeCell ref="C2:S2"/>
    <mergeCell ref="T2:T4"/>
    <mergeCell ref="U2:AA2"/>
    <mergeCell ref="AD2:AD4"/>
    <mergeCell ref="C3:C4"/>
    <mergeCell ref="D3:D4"/>
    <mergeCell ref="AB3:AB4"/>
    <mergeCell ref="E3:J3"/>
    <mergeCell ref="K3:K4"/>
    <mergeCell ref="L3:M3"/>
    <mergeCell ref="N3:N4"/>
    <mergeCell ref="O3:O4"/>
  </mergeCells>
  <printOptions horizontalCentered="1"/>
  <pageMargins left="0.70866141732283472" right="0.70866141732283472" top="0.71" bottom="0.74803149606299213" header="0.31496062992125984" footer="0.31496062992125984"/>
  <pageSetup paperSize="9" scale="64" fitToHeight="2" orientation="landscape" r:id="rId1"/>
  <headerFooter>
    <oddHeader>&amp;C&amp;"Times New Roman,Félkövér"&amp;14Előirányzat módosítás nyilvántartás Brunszvik Beethoven Kulturális Központ 2016. év&amp;R&amp;"Times New Roman,Normál"&amp;10 12.d.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workbookViewId="0">
      <selection activeCell="F11" sqref="F11"/>
    </sheetView>
  </sheetViews>
  <sheetFormatPr defaultColWidth="8.6640625" defaultRowHeight="12.75" customHeight="1"/>
  <cols>
    <col min="1" max="1" width="35.109375" style="308" customWidth="1"/>
    <col min="2" max="2" width="12.44140625" style="308" customWidth="1"/>
    <col min="3" max="4" width="11.6640625" style="308" customWidth="1"/>
    <col min="5" max="5" width="33.6640625" style="308" customWidth="1"/>
    <col min="6" max="6" width="12.88671875" style="308" customWidth="1"/>
    <col min="7" max="8" width="12.44140625" style="308" customWidth="1"/>
    <col min="9" max="10" width="8.6640625" style="308"/>
    <col min="11" max="16384" width="8.6640625" style="271"/>
  </cols>
  <sheetData>
    <row r="1" spans="1:10" ht="16.5" customHeight="1" thickBot="1">
      <c r="A1" s="309"/>
      <c r="B1" s="309"/>
      <c r="C1" s="309"/>
      <c r="D1" s="309"/>
      <c r="E1" s="309"/>
      <c r="F1" s="309"/>
      <c r="G1" s="309"/>
      <c r="H1" s="310" t="s">
        <v>408</v>
      </c>
      <c r="I1" s="270"/>
      <c r="J1" s="270"/>
    </row>
    <row r="2" spans="1:10" ht="26.25" customHeight="1" thickBot="1">
      <c r="A2" s="311" t="s">
        <v>341</v>
      </c>
      <c r="B2" s="343" t="s">
        <v>178</v>
      </c>
      <c r="C2" s="343" t="s">
        <v>750</v>
      </c>
      <c r="D2" s="312" t="s">
        <v>752</v>
      </c>
      <c r="E2" s="311" t="s">
        <v>342</v>
      </c>
      <c r="F2" s="343" t="s">
        <v>178</v>
      </c>
      <c r="G2" s="343" t="s">
        <v>750</v>
      </c>
      <c r="H2" s="312" t="s">
        <v>752</v>
      </c>
      <c r="I2" s="313"/>
      <c r="J2" s="270"/>
    </row>
    <row r="3" spans="1:10" ht="13.5" customHeight="1" thickBot="1">
      <c r="A3" s="314" t="s">
        <v>343</v>
      </c>
      <c r="B3" s="674">
        <f>SUM(B4:B8)</f>
        <v>961770</v>
      </c>
      <c r="C3" s="674">
        <f t="shared" ref="C3:D3" si="0">SUM(C4:C8)</f>
        <v>11306</v>
      </c>
      <c r="D3" s="674">
        <f t="shared" si="0"/>
        <v>973076</v>
      </c>
      <c r="E3" s="622" t="s">
        <v>463</v>
      </c>
      <c r="F3" s="682">
        <f>+F4+F5+F6+F8+F9+F10</f>
        <v>1328509</v>
      </c>
      <c r="G3" s="682">
        <f t="shared" ref="G3:H3" si="1">+G4+G5+G6+G8+G9+G10</f>
        <v>-49349</v>
      </c>
      <c r="H3" s="682">
        <f t="shared" si="1"/>
        <v>1279160</v>
      </c>
      <c r="I3" s="313"/>
      <c r="J3" s="270"/>
    </row>
    <row r="4" spans="1:10" ht="15" customHeight="1">
      <c r="A4" s="316" t="s">
        <v>438</v>
      </c>
      <c r="B4" s="677">
        <f>+'3.mell. Bevétel'!C23+'6. mell. Int.összesen'!D15</f>
        <v>626637</v>
      </c>
      <c r="C4" s="677">
        <f>+'3.mell. Bevétel'!D23+'6. mell. Int.összesen'!E15</f>
        <v>10266</v>
      </c>
      <c r="D4" s="677">
        <f>+'3.mell. Bevétel'!E23+'6. mell. Int.összesen'!F15</f>
        <v>636903</v>
      </c>
      <c r="E4" s="624" t="s">
        <v>344</v>
      </c>
      <c r="F4" s="683">
        <f>+'5. mell. Önk.össz kiadás'!D5+'6. mell. Int.összesen'!D55</f>
        <v>264063</v>
      </c>
      <c r="G4" s="683">
        <f>+'5. mell. Önk.össz kiadás'!E5+'6. mell. Int.összesen'!E55</f>
        <v>-383</v>
      </c>
      <c r="H4" s="683">
        <f>+'5. mell. Önk.össz kiadás'!F5+'6. mell. Int.összesen'!F55</f>
        <v>263680</v>
      </c>
      <c r="I4" s="313"/>
      <c r="J4" s="270"/>
    </row>
    <row r="5" spans="1:10" ht="15" customHeight="1">
      <c r="A5" s="316" t="s">
        <v>464</v>
      </c>
      <c r="B5" s="678">
        <f>+'3.mell. Bevétel'!C54+'6. mell. Int.összesen'!D28</f>
        <v>284500</v>
      </c>
      <c r="C5" s="678">
        <f>+'3.mell. Bevétel'!D54+'6. mell. Int.összesen'!E28</f>
        <v>0</v>
      </c>
      <c r="D5" s="678">
        <f>+'3.mell. Bevétel'!E54+'6. mell. Int.összesen'!F28</f>
        <v>284500</v>
      </c>
      <c r="E5" s="345" t="s">
        <v>345</v>
      </c>
      <c r="F5" s="684">
        <f>+'5. mell. Önk.össz kiadás'!D7+'6. mell. Int.összesen'!D56</f>
        <v>73680</v>
      </c>
      <c r="G5" s="684">
        <f>+'5. mell. Önk.össz kiadás'!E7+'6. mell. Int.összesen'!E56</f>
        <v>153</v>
      </c>
      <c r="H5" s="684">
        <f>+'5. mell. Önk.össz kiadás'!F7+'6. mell. Int.összesen'!F56</f>
        <v>73833</v>
      </c>
      <c r="I5" s="313"/>
      <c r="J5" s="270"/>
    </row>
    <row r="6" spans="1:10" ht="15" customHeight="1">
      <c r="A6" s="316" t="s">
        <v>343</v>
      </c>
      <c r="B6" s="678">
        <f>+'3.mell. Bevétel'!C65+'6. mell. Int.összesen'!D36</f>
        <v>35591</v>
      </c>
      <c r="C6" s="678">
        <f>+'3.mell. Bevétel'!D65+'6. mell. Int.összesen'!E36</f>
        <v>1040</v>
      </c>
      <c r="D6" s="678">
        <f>+'3.mell. Bevétel'!E65+'6. mell. Int.összesen'!F36</f>
        <v>36631</v>
      </c>
      <c r="E6" s="345" t="s">
        <v>346</v>
      </c>
      <c r="F6" s="677">
        <f>+'5. mell. Önk.össz kiadás'!D14+'6. mell. Int.összesen'!D63</f>
        <v>127677</v>
      </c>
      <c r="G6" s="677">
        <f>+'5. mell. Önk.össz kiadás'!E14+'6. mell. Int.összesen'!E63</f>
        <v>28507</v>
      </c>
      <c r="H6" s="677">
        <f>+'5. mell. Önk.össz kiadás'!F14+'6. mell. Int.összesen'!F63</f>
        <v>156184</v>
      </c>
      <c r="I6" s="313"/>
      <c r="J6" s="270"/>
    </row>
    <row r="7" spans="1:10" ht="15" customHeight="1">
      <c r="A7" s="341" t="s">
        <v>439</v>
      </c>
      <c r="B7" s="678">
        <f>+'3.mell. Bevétel'!C69+'6. mell. Int.összesen'!D39</f>
        <v>15042</v>
      </c>
      <c r="C7" s="678">
        <f>+'3.mell. Bevétel'!D69+'6. mell. Int.összesen'!E39</f>
        <v>0</v>
      </c>
      <c r="D7" s="678">
        <f>+'3.mell. Bevétel'!E69+'6. mell. Int.összesen'!F39</f>
        <v>15042</v>
      </c>
      <c r="E7" s="618" t="s">
        <v>611</v>
      </c>
      <c r="F7" s="677">
        <f>+'5.b. mell. VF saját forrásból'!D30</f>
        <v>0</v>
      </c>
      <c r="G7" s="677">
        <f>+'5.b. mell. VF saját forrásból'!E30</f>
        <v>0</v>
      </c>
      <c r="H7" s="677">
        <f>+'5.b. mell. VF saját forrásból'!F30</f>
        <v>0</v>
      </c>
      <c r="I7" s="313"/>
      <c r="J7" s="270"/>
    </row>
    <row r="8" spans="1:10" ht="15" customHeight="1">
      <c r="A8" s="316"/>
      <c r="B8" s="678"/>
      <c r="C8" s="678"/>
      <c r="D8" s="678"/>
      <c r="E8" s="345" t="s">
        <v>347</v>
      </c>
      <c r="F8" s="677">
        <f>+'5. mell. Önk.össz kiadás'!D16</f>
        <v>22778</v>
      </c>
      <c r="G8" s="677">
        <f>+'5. mell. Önk.össz kiadás'!E16</f>
        <v>-1158</v>
      </c>
      <c r="H8" s="677">
        <f>+'5. mell. Önk.össz kiadás'!F16</f>
        <v>21620</v>
      </c>
      <c r="I8" s="313"/>
      <c r="J8" s="270"/>
    </row>
    <row r="9" spans="1:10" ht="15" customHeight="1">
      <c r="A9" s="316"/>
      <c r="B9" s="677"/>
      <c r="C9" s="677"/>
      <c r="D9" s="677"/>
      <c r="E9" s="345" t="s">
        <v>395</v>
      </c>
      <c r="F9" s="677">
        <f>+'5. mell. Önk.össz kiadás'!D18+'6. mell. Int.összesen'!D67-F10</f>
        <v>388694</v>
      </c>
      <c r="G9" s="677">
        <f>+'5. mell. Önk.össz kiadás'!E18+'6. mell. Int.összesen'!E67-G10</f>
        <v>25483</v>
      </c>
      <c r="H9" s="677">
        <f>+'5. mell. Önk.össz kiadás'!F18+'6. mell. Int.összesen'!F67-H10</f>
        <v>414177</v>
      </c>
      <c r="I9" s="313"/>
      <c r="J9" s="270"/>
    </row>
    <row r="10" spans="1:10" ht="15" customHeight="1">
      <c r="A10" s="317" t="s">
        <v>288</v>
      </c>
      <c r="B10" s="318">
        <f>+B11</f>
        <v>8286</v>
      </c>
      <c r="C10" s="318">
        <f t="shared" ref="C10:D10" si="2">+C11</f>
        <v>48554</v>
      </c>
      <c r="D10" s="318">
        <f t="shared" si="2"/>
        <v>56840</v>
      </c>
      <c r="E10" s="345" t="s">
        <v>604</v>
      </c>
      <c r="F10" s="677">
        <f>+'5. mell. Önk.össz kiadás'!D19</f>
        <v>451617</v>
      </c>
      <c r="G10" s="677">
        <f>+'5. mell. Önk.össz kiadás'!E19</f>
        <v>-101951</v>
      </c>
      <c r="H10" s="677">
        <f>+'5. mell. Önk.össz kiadás'!F19</f>
        <v>349666</v>
      </c>
      <c r="I10" s="313"/>
      <c r="J10" s="270"/>
    </row>
    <row r="11" spans="1:10" ht="15" customHeight="1">
      <c r="A11" s="316" t="s">
        <v>402</v>
      </c>
      <c r="B11" s="677">
        <f>+'3.mell. Bevétel'!C76+'6. mell. Int.összesen'!D44</f>
        <v>8286</v>
      </c>
      <c r="C11" s="677">
        <f>+'3.mell. Bevétel'!D76+'6. mell. Int.összesen'!E44</f>
        <v>48554</v>
      </c>
      <c r="D11" s="677">
        <f>+'3.mell. Bevétel'!E76+'6. mell. Int.összesen'!F44</f>
        <v>56840</v>
      </c>
      <c r="E11" s="619" t="s">
        <v>725</v>
      </c>
      <c r="F11" s="679">
        <f>+'5.g. mell. Egyéb tev.'!D69</f>
        <v>20490</v>
      </c>
      <c r="G11" s="679">
        <f>+'5.g. mell. Egyéb tev.'!E69</f>
        <v>-2506</v>
      </c>
      <c r="H11" s="679">
        <f>+'5.g. mell. Egyéb tev.'!F69</f>
        <v>17984</v>
      </c>
      <c r="I11" s="313"/>
      <c r="J11" s="270"/>
    </row>
    <row r="12" spans="1:10" ht="15" customHeight="1">
      <c r="A12" s="342" t="s">
        <v>477</v>
      </c>
      <c r="B12" s="679">
        <v>0</v>
      </c>
      <c r="C12" s="679">
        <v>0</v>
      </c>
      <c r="D12" s="679">
        <v>0</v>
      </c>
      <c r="E12" s="345"/>
      <c r="F12" s="677"/>
      <c r="G12" s="677"/>
      <c r="H12" s="677"/>
      <c r="I12" s="313"/>
      <c r="J12" s="270"/>
    </row>
    <row r="13" spans="1:10" ht="15" customHeight="1">
      <c r="A13" s="316"/>
      <c r="B13" s="677"/>
      <c r="C13" s="677"/>
      <c r="D13" s="677"/>
      <c r="E13" s="620" t="s">
        <v>278</v>
      </c>
      <c r="F13" s="332">
        <f>+SUM(F14:F15)</f>
        <v>6673</v>
      </c>
      <c r="G13" s="332">
        <f t="shared" ref="G13:H13" si="3">+SUM(G14:G15)</f>
        <v>19584</v>
      </c>
      <c r="H13" s="332">
        <f t="shared" si="3"/>
        <v>26257</v>
      </c>
      <c r="I13" s="313"/>
      <c r="J13" s="270"/>
    </row>
    <row r="14" spans="1:10" s="321" customFormat="1" ht="15" customHeight="1">
      <c r="A14" s="316"/>
      <c r="B14" s="677"/>
      <c r="C14" s="677"/>
      <c r="D14" s="677"/>
      <c r="E14" s="623" t="s">
        <v>348</v>
      </c>
      <c r="F14" s="685">
        <f>+'5.g. mell. Egyéb tev.'!D96</f>
        <v>6673</v>
      </c>
      <c r="G14" s="685">
        <f>+'5.g. mell. Egyéb tev.'!E96</f>
        <v>0</v>
      </c>
      <c r="H14" s="685">
        <f>+'5.g. mell. Egyéb tev.'!F96</f>
        <v>6673</v>
      </c>
      <c r="I14" s="313"/>
      <c r="J14" s="270"/>
    </row>
    <row r="15" spans="1:10" s="323" customFormat="1" ht="15" thickBot="1">
      <c r="A15" s="320"/>
      <c r="B15" s="680"/>
      <c r="C15" s="680"/>
      <c r="D15" s="680"/>
      <c r="E15" s="895" t="s">
        <v>767</v>
      </c>
      <c r="F15" s="896">
        <f>+'5.g. mell. Egyéb tev.'!D100</f>
        <v>0</v>
      </c>
      <c r="G15" s="896">
        <f>+'5.g. mell. Egyéb tev.'!E100</f>
        <v>19584</v>
      </c>
      <c r="H15" s="896">
        <f>+'5.g. mell. Egyéb tev.'!F100</f>
        <v>19584</v>
      </c>
      <c r="I15" s="313"/>
      <c r="J15" s="270"/>
    </row>
    <row r="16" spans="1:10" ht="15" thickBot="1">
      <c r="A16" s="322" t="s">
        <v>349</v>
      </c>
      <c r="B16" s="681">
        <f>+B10+B3</f>
        <v>970056</v>
      </c>
      <c r="C16" s="681">
        <f t="shared" ref="C16:D16" si="4">+C10+C3</f>
        <v>59860</v>
      </c>
      <c r="D16" s="681">
        <f t="shared" si="4"/>
        <v>1029916</v>
      </c>
      <c r="E16" s="621" t="s">
        <v>349</v>
      </c>
      <c r="F16" s="681">
        <f>+F13+F3</f>
        <v>1335182</v>
      </c>
      <c r="G16" s="681">
        <f>+G13+G3</f>
        <v>-29765</v>
      </c>
      <c r="H16" s="681">
        <f>+H13+H3</f>
        <v>1305417</v>
      </c>
      <c r="I16" s="270"/>
      <c r="J16" s="270"/>
    </row>
    <row r="17" spans="1:10" ht="13.5" customHeight="1">
      <c r="A17" s="324"/>
      <c r="B17" s="324"/>
      <c r="C17" s="324"/>
      <c r="D17" s="325"/>
      <c r="E17" s="326"/>
      <c r="F17" s="610"/>
      <c r="G17" s="326"/>
      <c r="H17" s="325"/>
      <c r="I17" s="270"/>
      <c r="J17" s="270"/>
    </row>
    <row r="18" spans="1:10" s="308" customFormat="1" ht="25.5" customHeight="1" thickBot="1">
      <c r="A18" s="327"/>
      <c r="B18" s="328"/>
      <c r="C18" s="328"/>
      <c r="D18" s="329"/>
      <c r="E18" s="327"/>
      <c r="F18" s="327"/>
      <c r="G18" s="327"/>
      <c r="H18" s="329"/>
      <c r="I18" s="347"/>
      <c r="J18" s="270"/>
    </row>
    <row r="19" spans="1:10" s="308" customFormat="1" ht="24" customHeight="1">
      <c r="A19" s="613" t="s">
        <v>341</v>
      </c>
      <c r="B19" s="611" t="s">
        <v>178</v>
      </c>
      <c r="C19" s="614" t="s">
        <v>750</v>
      </c>
      <c r="D19" s="315" t="s">
        <v>752</v>
      </c>
      <c r="E19" s="330" t="s">
        <v>342</v>
      </c>
      <c r="F19" s="611" t="s">
        <v>178</v>
      </c>
      <c r="G19" s="614" t="s">
        <v>750</v>
      </c>
      <c r="H19" s="315" t="s">
        <v>752</v>
      </c>
      <c r="I19" s="313"/>
      <c r="J19" s="270"/>
    </row>
    <row r="20" spans="1:10" s="308" customFormat="1" ht="14.4">
      <c r="A20" s="344" t="s">
        <v>478</v>
      </c>
      <c r="B20" s="675">
        <f>+B21+B22</f>
        <v>21000</v>
      </c>
      <c r="C20" s="675">
        <f t="shared" ref="C20:D20" si="5">+C21+C22</f>
        <v>0</v>
      </c>
      <c r="D20" s="675">
        <f t="shared" si="5"/>
        <v>21000</v>
      </c>
      <c r="E20" s="346" t="s">
        <v>433</v>
      </c>
      <c r="F20" s="318">
        <f>(+F21+F22)+F23</f>
        <v>11680</v>
      </c>
      <c r="G20" s="318">
        <f t="shared" ref="G20:H20" si="6">(+G21+G22)+G23</f>
        <v>89625</v>
      </c>
      <c r="H20" s="318">
        <f t="shared" si="6"/>
        <v>101305</v>
      </c>
      <c r="I20" s="313"/>
      <c r="J20" s="331"/>
    </row>
    <row r="21" spans="1:10" s="308" customFormat="1" ht="14.4">
      <c r="A21" s="345" t="s">
        <v>440</v>
      </c>
      <c r="B21" s="892">
        <f>+'3.mell. Bevétel'!C66+'6. mell. Int.összesen'!D37</f>
        <v>21000</v>
      </c>
      <c r="C21" s="892">
        <f>+'3.mell. Bevétel'!D66+'6. mell. Int.összesen'!E37</f>
        <v>0</v>
      </c>
      <c r="D21" s="678">
        <f>+B21+C21</f>
        <v>21000</v>
      </c>
      <c r="E21" s="316" t="s">
        <v>162</v>
      </c>
      <c r="F21" s="677">
        <f>+'5. mell. Önk.össz kiadás'!D21+'6. mell. Int.összesen'!D69</f>
        <v>7380</v>
      </c>
      <c r="G21" s="677">
        <f>+'5. mell. Önk.össz kiadás'!E21+'6. mell. Int.összesen'!E69</f>
        <v>75645</v>
      </c>
      <c r="H21" s="677">
        <f>+'5. mell. Önk.össz kiadás'!F21+'6. mell. Int.összesen'!F69</f>
        <v>83025</v>
      </c>
      <c r="I21" s="313"/>
      <c r="J21" s="270"/>
    </row>
    <row r="22" spans="1:10" s="308" customFormat="1" ht="14.4">
      <c r="A22" s="345" t="s">
        <v>350</v>
      </c>
      <c r="B22" s="678">
        <f>+'3.mell. Bevétel'!C70</f>
        <v>0</v>
      </c>
      <c r="C22" s="678">
        <f>+'3.mell. Bevétel'!D70</f>
        <v>0</v>
      </c>
      <c r="D22" s="678">
        <f>+'3.mell. Bevétel'!E70</f>
        <v>0</v>
      </c>
      <c r="E22" s="316" t="s">
        <v>317</v>
      </c>
      <c r="F22" s="677">
        <f>+'5. mell. Önk.össz kiadás'!D23+'6. mell. Int.összesen'!D71</f>
        <v>0</v>
      </c>
      <c r="G22" s="677">
        <f>+'5. mell. Önk.össz kiadás'!E23+'6. mell. Int.összesen'!E71</f>
        <v>5663</v>
      </c>
      <c r="H22" s="677">
        <f>+'5. mell. Önk.össz kiadás'!F23+'6. mell. Int.összesen'!F71</f>
        <v>5663</v>
      </c>
      <c r="I22" s="313"/>
      <c r="J22" s="270"/>
    </row>
    <row r="23" spans="1:10" s="308" customFormat="1" ht="14.4">
      <c r="A23" s="345"/>
      <c r="B23" s="677"/>
      <c r="C23" s="677"/>
      <c r="D23" s="677"/>
      <c r="E23" s="316" t="s">
        <v>441</v>
      </c>
      <c r="F23" s="677">
        <f>+'5. mell. Önk.össz kiadás'!D25+'6. mell. Int.összesen'!D73</f>
        <v>4300</v>
      </c>
      <c r="G23" s="677">
        <f>+'5. mell. Önk.össz kiadás'!E25+'6. mell. Int.összesen'!E73</f>
        <v>8317</v>
      </c>
      <c r="H23" s="677">
        <f>+'5. mell. Önk.össz kiadás'!F25+'6. mell. Int.összesen'!F73</f>
        <v>12617</v>
      </c>
      <c r="I23" s="313"/>
      <c r="J23" s="270"/>
    </row>
    <row r="24" spans="1:10" s="308" customFormat="1" ht="14.4">
      <c r="A24" s="344" t="s">
        <v>288</v>
      </c>
      <c r="B24" s="675">
        <f>+B25+B26</f>
        <v>355806</v>
      </c>
      <c r="C24" s="675">
        <f t="shared" ref="C24:D24" si="7">+C25+C26</f>
        <v>0</v>
      </c>
      <c r="D24" s="675">
        <f t="shared" si="7"/>
        <v>355806</v>
      </c>
      <c r="E24" s="316"/>
      <c r="F24" s="677"/>
      <c r="G24" s="677"/>
      <c r="H24" s="677"/>
      <c r="I24" s="313"/>
      <c r="J24" s="270"/>
    </row>
    <row r="25" spans="1:10" s="308" customFormat="1" ht="14.4">
      <c r="A25" s="345" t="s">
        <v>403</v>
      </c>
      <c r="B25" s="677">
        <f>+'3.mell. Bevétel'!C77</f>
        <v>355806</v>
      </c>
      <c r="C25" s="677">
        <f>+'3.mell. Bevétel'!D77</f>
        <v>0</v>
      </c>
      <c r="D25" s="677">
        <f>+'3.mell. Bevétel'!E77</f>
        <v>355806</v>
      </c>
      <c r="E25" s="319" t="s">
        <v>278</v>
      </c>
      <c r="F25" s="332">
        <f>+F26</f>
        <v>0</v>
      </c>
      <c r="G25" s="332">
        <f t="shared" ref="G25:H25" si="8">+G26</f>
        <v>0</v>
      </c>
      <c r="H25" s="332">
        <f t="shared" si="8"/>
        <v>0</v>
      </c>
      <c r="I25" s="313"/>
      <c r="J25" s="270"/>
    </row>
    <row r="26" spans="1:10" s="323" customFormat="1" ht="18.75" customHeight="1">
      <c r="A26" s="345" t="s">
        <v>609</v>
      </c>
      <c r="B26" s="677">
        <f>+'3.mell. Bevétel'!C74</f>
        <v>0</v>
      </c>
      <c r="C26" s="677">
        <f>+'3.mell. Bevétel'!D74</f>
        <v>0</v>
      </c>
      <c r="D26" s="677">
        <f>+'3.mell. Bevétel'!E74</f>
        <v>0</v>
      </c>
      <c r="E26" s="316"/>
      <c r="F26" s="677"/>
      <c r="G26" s="677"/>
      <c r="H26" s="677"/>
      <c r="I26" s="313"/>
      <c r="J26" s="270"/>
    </row>
    <row r="27" spans="1:10" s="323" customFormat="1" ht="29.25" customHeight="1" thickBot="1">
      <c r="A27" s="615" t="s">
        <v>351</v>
      </c>
      <c r="B27" s="676">
        <f>+B20+B24</f>
        <v>376806</v>
      </c>
      <c r="C27" s="676">
        <f t="shared" ref="C27:D27" si="9">+C20+C24</f>
        <v>0</v>
      </c>
      <c r="D27" s="676">
        <f t="shared" si="9"/>
        <v>376806</v>
      </c>
      <c r="E27" s="893" t="s">
        <v>351</v>
      </c>
      <c r="F27" s="894">
        <f>+F25+F20</f>
        <v>11680</v>
      </c>
      <c r="G27" s="894">
        <f t="shared" ref="G27:H27" si="10">+G25+G20</f>
        <v>89625</v>
      </c>
      <c r="H27" s="894">
        <f t="shared" si="10"/>
        <v>101305</v>
      </c>
      <c r="I27" s="313"/>
      <c r="J27" s="270"/>
    </row>
    <row r="28" spans="1:10" ht="15" thickBot="1">
      <c r="A28" s="616" t="s">
        <v>282</v>
      </c>
      <c r="B28" s="617">
        <f>B16+B27</f>
        <v>1346862</v>
      </c>
      <c r="C28" s="617">
        <f t="shared" ref="C28:D28" si="11">C16+C27</f>
        <v>59860</v>
      </c>
      <c r="D28" s="617">
        <f t="shared" si="11"/>
        <v>1406722</v>
      </c>
      <c r="E28" s="617" t="s">
        <v>282</v>
      </c>
      <c r="F28" s="617">
        <f>F16+F27</f>
        <v>1346862</v>
      </c>
      <c r="G28" s="617">
        <f t="shared" ref="G28:H28" si="12">G16+G27</f>
        <v>59860</v>
      </c>
      <c r="H28" s="617">
        <f t="shared" si="12"/>
        <v>1406722</v>
      </c>
      <c r="I28" s="270"/>
      <c r="J28" s="270"/>
    </row>
    <row r="29" spans="1:10" ht="14.4">
      <c r="A29" s="333"/>
      <c r="B29" s="612"/>
      <c r="C29" s="334"/>
      <c r="D29" s="334"/>
      <c r="E29" s="333"/>
      <c r="F29" s="333"/>
      <c r="G29" s="333"/>
      <c r="H29" s="333"/>
      <c r="I29" s="270"/>
      <c r="J29" s="270"/>
    </row>
    <row r="30" spans="1:10" ht="14.4">
      <c r="A30" s="340"/>
      <c r="B30" s="335"/>
      <c r="C30" s="335"/>
      <c r="D30" s="335"/>
      <c r="E30" s="335"/>
      <c r="F30" s="335"/>
      <c r="G30" s="335"/>
      <c r="H30" s="335"/>
      <c r="I30" s="270"/>
      <c r="J30" s="270"/>
    </row>
    <row r="31" spans="1:10" ht="14.4">
      <c r="A31" s="270"/>
      <c r="B31" s="335"/>
      <c r="C31" s="335"/>
      <c r="D31" s="335"/>
      <c r="E31" s="335"/>
      <c r="F31" s="335"/>
      <c r="G31" s="335"/>
      <c r="H31" s="270"/>
      <c r="I31" s="270"/>
      <c r="J31" s="270"/>
    </row>
    <row r="32" spans="1:10" ht="14.4">
      <c r="A32" s="270"/>
      <c r="B32" s="270"/>
      <c r="C32" s="270"/>
      <c r="D32" s="270"/>
      <c r="E32" s="270"/>
      <c r="F32" s="270"/>
      <c r="G32" s="270"/>
      <c r="H32" s="270"/>
      <c r="I32" s="270"/>
      <c r="J32" s="270"/>
    </row>
    <row r="33" spans="1:8" ht="12.75" customHeight="1">
      <c r="A33" s="270"/>
      <c r="B33" s="335"/>
      <c r="C33" s="335"/>
      <c r="D33" s="335"/>
      <c r="E33" s="270"/>
      <c r="F33" s="270"/>
      <c r="G33" s="270"/>
      <c r="H33" s="335"/>
    </row>
  </sheetData>
  <printOptions horizontalCentered="1"/>
  <pageMargins left="0.70866141732283472" right="0.70866141732283472" top="0.85" bottom="0.74803149606299213" header="0.31496062992125984" footer="0.31496062992125984"/>
  <pageSetup paperSize="9" scale="92" orientation="landscape" r:id="rId1"/>
  <headerFooter>
    <oddHeader>&amp;C&amp;"Times New Roman,Félkövér"&amp;14Martonvásár Város Önkormányzata 
2016. évi költségvetésének pénzügyi mérlege&amp;R&amp;"Times New Roman,Normál"&amp;12 2. melléklet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K12"/>
  <sheetViews>
    <sheetView workbookViewId="0">
      <selection activeCell="E12" sqref="E12"/>
    </sheetView>
  </sheetViews>
  <sheetFormatPr defaultColWidth="9.109375" defaultRowHeight="13.2"/>
  <cols>
    <col min="1" max="1" width="5.6640625" style="767" customWidth="1"/>
    <col min="2" max="2" width="24.33203125" style="767" customWidth="1"/>
    <col min="3" max="3" width="7.44140625" style="767" customWidth="1"/>
    <col min="4" max="4" width="7.5546875" style="767" customWidth="1"/>
    <col min="5" max="5" width="7.33203125" style="767" customWidth="1"/>
    <col min="6" max="6" width="7.44140625" style="767" customWidth="1"/>
    <col min="7" max="7" width="6.6640625" style="767" customWidth="1"/>
    <col min="8" max="8" width="7.88671875" style="767" customWidth="1"/>
    <col min="9" max="9" width="8" style="767" bestFit="1" customWidth="1"/>
    <col min="10" max="10" width="6.44140625" style="767" bestFit="1" customWidth="1"/>
    <col min="11" max="11" width="8" style="767" customWidth="1"/>
    <col min="12" max="12" width="8.88671875" style="767" customWidth="1"/>
    <col min="13" max="13" width="8.109375" style="767" customWidth="1"/>
    <col min="14" max="14" width="7.109375" style="767" customWidth="1"/>
    <col min="15" max="15" width="7.88671875" style="767" customWidth="1"/>
    <col min="16" max="18" width="8.109375" style="767" customWidth="1"/>
    <col min="19" max="19" width="8.88671875" style="767" customWidth="1"/>
    <col min="20" max="20" width="9" style="767" customWidth="1"/>
    <col min="21" max="21" width="9.44140625" style="767" customWidth="1"/>
    <col min="22" max="22" width="7.109375" style="767" customWidth="1"/>
    <col min="23" max="24" width="8.109375" style="767" customWidth="1"/>
    <col min="25" max="25" width="7.33203125" style="767" customWidth="1"/>
    <col min="26" max="27" width="7.88671875" style="767" customWidth="1"/>
    <col min="28" max="28" width="8.5546875" style="767" customWidth="1"/>
    <col min="29" max="29" width="7.6640625" style="767" customWidth="1"/>
    <col min="30" max="30" width="7.5546875" style="767" customWidth="1"/>
    <col min="31" max="31" width="8.6640625" style="767" customWidth="1"/>
    <col min="32" max="32" width="9.33203125" style="767" customWidth="1"/>
    <col min="33" max="16384" width="9.109375" style="767"/>
  </cols>
  <sheetData>
    <row r="1" spans="1:37" ht="13.8" thickBot="1">
      <c r="AD1" s="1160" t="s">
        <v>411</v>
      </c>
      <c r="AE1" s="1160"/>
      <c r="AF1" s="1160"/>
    </row>
    <row r="2" spans="1:37" ht="31.5" customHeight="1">
      <c r="A2" s="1161" t="s">
        <v>352</v>
      </c>
      <c r="B2" s="1163" t="s">
        <v>768</v>
      </c>
      <c r="C2" s="1165" t="s">
        <v>312</v>
      </c>
      <c r="D2" s="1165"/>
      <c r="E2" s="1165"/>
      <c r="F2" s="1165"/>
      <c r="G2" s="1165"/>
      <c r="H2" s="1165"/>
      <c r="I2" s="1165"/>
      <c r="J2" s="1165"/>
      <c r="K2" s="1165"/>
      <c r="L2" s="1165"/>
      <c r="M2" s="1165"/>
      <c r="N2" s="1165"/>
      <c r="O2" s="1165"/>
      <c r="P2" s="1165"/>
      <c r="Q2" s="1165"/>
      <c r="R2" s="1165"/>
      <c r="S2" s="1165"/>
      <c r="T2" s="1198" t="s">
        <v>290</v>
      </c>
      <c r="U2" s="1165" t="s">
        <v>303</v>
      </c>
      <c r="V2" s="1200"/>
      <c r="W2" s="1200"/>
      <c r="X2" s="1200"/>
      <c r="Y2" s="1200"/>
      <c r="Z2" s="1200"/>
      <c r="AA2" s="1200"/>
      <c r="AB2" s="1200"/>
      <c r="AC2" s="1200"/>
      <c r="AD2" s="1200"/>
      <c r="AE2" s="1200"/>
      <c r="AF2" s="1201" t="s">
        <v>770</v>
      </c>
      <c r="AK2" s="769"/>
    </row>
    <row r="3" spans="1:37" ht="25.5" customHeight="1">
      <c r="A3" s="1162"/>
      <c r="B3" s="1159"/>
      <c r="C3" s="1159" t="s">
        <v>920</v>
      </c>
      <c r="D3" s="1159" t="s">
        <v>921</v>
      </c>
      <c r="E3" s="1159" t="s">
        <v>152</v>
      </c>
      <c r="F3" s="1159" t="s">
        <v>1012</v>
      </c>
      <c r="G3" s="1159" t="s">
        <v>164</v>
      </c>
      <c r="H3" s="1173"/>
      <c r="I3" s="1159" t="s">
        <v>774</v>
      </c>
      <c r="J3" s="1159" t="s">
        <v>923</v>
      </c>
      <c r="K3" s="1159" t="s">
        <v>1013</v>
      </c>
      <c r="L3" s="1159" t="s">
        <v>1014</v>
      </c>
      <c r="M3" s="1159" t="s">
        <v>778</v>
      </c>
      <c r="N3" s="1159" t="s">
        <v>779</v>
      </c>
      <c r="O3" s="1159" t="s">
        <v>714</v>
      </c>
      <c r="P3" s="1159" t="s">
        <v>1015</v>
      </c>
      <c r="Q3" s="1159" t="s">
        <v>1016</v>
      </c>
      <c r="R3" s="1159" t="s">
        <v>782</v>
      </c>
      <c r="S3" s="1159" t="s">
        <v>712</v>
      </c>
      <c r="T3" s="1199"/>
      <c r="U3" s="1203" t="s">
        <v>784</v>
      </c>
      <c r="V3" s="1159" t="s">
        <v>785</v>
      </c>
      <c r="W3" s="1159" t="s">
        <v>778</v>
      </c>
      <c r="X3" s="1159" t="s">
        <v>1017</v>
      </c>
      <c r="Y3" s="1159" t="s">
        <v>925</v>
      </c>
      <c r="Z3" s="1171"/>
      <c r="AA3" s="1177" t="s">
        <v>926</v>
      </c>
      <c r="AB3" s="1159" t="s">
        <v>1018</v>
      </c>
      <c r="AC3" s="1159" t="s">
        <v>1019</v>
      </c>
      <c r="AD3" s="1171"/>
      <c r="AE3" s="1159" t="s">
        <v>794</v>
      </c>
      <c r="AF3" s="1202"/>
    </row>
    <row r="4" spans="1:37" ht="27" customHeight="1">
      <c r="A4" s="1162"/>
      <c r="B4" s="1159"/>
      <c r="C4" s="1159"/>
      <c r="D4" s="1159"/>
      <c r="E4" s="1159"/>
      <c r="F4" s="1159"/>
      <c r="G4" s="854" t="s">
        <v>795</v>
      </c>
      <c r="H4" s="854" t="s">
        <v>796</v>
      </c>
      <c r="I4" s="1159"/>
      <c r="J4" s="1159"/>
      <c r="K4" s="1159"/>
      <c r="L4" s="1159"/>
      <c r="M4" s="1159"/>
      <c r="N4" s="1159"/>
      <c r="O4" s="1159"/>
      <c r="P4" s="1159"/>
      <c r="Q4" s="1159"/>
      <c r="R4" s="1159"/>
      <c r="S4" s="1159"/>
      <c r="T4" s="1199"/>
      <c r="U4" s="1203"/>
      <c r="V4" s="1159"/>
      <c r="W4" s="1159"/>
      <c r="X4" s="1171"/>
      <c r="Y4" s="854" t="s">
        <v>935</v>
      </c>
      <c r="Z4" s="854" t="s">
        <v>936</v>
      </c>
      <c r="AA4" s="1177"/>
      <c r="AB4" s="1171"/>
      <c r="AC4" s="854" t="s">
        <v>935</v>
      </c>
      <c r="AD4" s="854" t="s">
        <v>936</v>
      </c>
      <c r="AE4" s="1159"/>
      <c r="AF4" s="1202"/>
    </row>
    <row r="5" spans="1:37">
      <c r="A5" s="804">
        <v>1</v>
      </c>
      <c r="B5" s="828" t="s">
        <v>1020</v>
      </c>
      <c r="C5" s="829">
        <f>+'12.a Tételes mód ÖNK'!D190</f>
        <v>19</v>
      </c>
      <c r="D5" s="829">
        <f>+'12.a Tételes mód ÖNK'!E190</f>
        <v>0</v>
      </c>
      <c r="E5" s="829">
        <f>+'12.a Tételes mód ÖNK'!F190</f>
        <v>23939</v>
      </c>
      <c r="F5" s="829">
        <f>+'12.a Tételes mód ÖNK'!G190</f>
        <v>-1158</v>
      </c>
      <c r="G5" s="829">
        <f>+'12.a Tételes mód ÖNK'!H190</f>
        <v>14522</v>
      </c>
      <c r="H5" s="829">
        <f>+'12.a Tételes mód ÖNK'!I190</f>
        <v>9508</v>
      </c>
      <c r="I5" s="829">
        <f>+'12.a Tételes mód ÖNK'!J190</f>
        <v>76289</v>
      </c>
      <c r="J5" s="829">
        <f>+'12.a Tételes mód ÖNK'!K190</f>
        <v>5663</v>
      </c>
      <c r="K5" s="829">
        <f>+'12.a Tételes mód ÖNK'!L190</f>
        <v>8317</v>
      </c>
      <c r="L5" s="829">
        <f>+'12.a Tételes mód ÖNK'!M190</f>
        <v>19584</v>
      </c>
      <c r="M5" s="829">
        <f>+'12.a Tételes mód ÖNK'!N190</f>
        <v>3200</v>
      </c>
      <c r="N5" s="829">
        <f>+'12.a Tételes mód ÖNK'!O190</f>
        <v>0</v>
      </c>
      <c r="O5" s="829">
        <f>+'12.a Tételes mód ÖNK'!P190</f>
        <v>-2506</v>
      </c>
      <c r="P5" s="829">
        <f>+'12.a Tételes mód ÖNK'!Q190</f>
        <v>0</v>
      </c>
      <c r="Q5" s="829">
        <f>+'12.a Tételes mód ÖNK'!R190</f>
        <v>-93753</v>
      </c>
      <c r="R5" s="829">
        <f>+'12.a Tételes mód ÖNK'!S190</f>
        <v>-5418</v>
      </c>
      <c r="S5" s="829">
        <f>+'12.a Tételes mód ÖNK'!T190</f>
        <v>-274</v>
      </c>
      <c r="T5" s="830">
        <f>SUM(C5:S5)</f>
        <v>57932</v>
      </c>
      <c r="U5" s="830">
        <f>+'12.a Tételes mód ÖNK'!V190</f>
        <v>0</v>
      </c>
      <c r="V5" s="830">
        <f>+'12.a Tételes mód ÖNK'!W190</f>
        <v>0</v>
      </c>
      <c r="W5" s="830"/>
      <c r="X5" s="830">
        <f>+'12.a Tételes mód ÖNK'!X190</f>
        <v>8310</v>
      </c>
      <c r="Y5" s="830">
        <f>+'12.a Tételes mód ÖNK'!Y190</f>
        <v>1956</v>
      </c>
      <c r="Z5" s="830">
        <f>+'12.a Tételes mód ÖNK'!Z190</f>
        <v>0</v>
      </c>
      <c r="AA5" s="830">
        <f>+'12.a Tételes mód ÖNK'!AA190</f>
        <v>0</v>
      </c>
      <c r="AB5" s="830">
        <f>+'12.a Tételes mód ÖNK'!AB190</f>
        <v>0</v>
      </c>
      <c r="AC5" s="830">
        <f>+'12.a Tételes mód ÖNK'!AC190</f>
        <v>0</v>
      </c>
      <c r="AD5" s="830">
        <f>+'12.a Tételes mód ÖNK'!AD190</f>
        <v>0</v>
      </c>
      <c r="AE5" s="830">
        <f>+'12.a Tételes mód ÖNK'!AF190</f>
        <v>47666</v>
      </c>
      <c r="AF5" s="831">
        <f>SUM(U5:AE5)</f>
        <v>57932</v>
      </c>
    </row>
    <row r="6" spans="1:37">
      <c r="A6" s="804">
        <v>2</v>
      </c>
      <c r="B6" s="805"/>
      <c r="C6" s="805"/>
      <c r="D6" s="805"/>
      <c r="E6" s="805"/>
      <c r="F6" s="805"/>
      <c r="G6" s="805"/>
      <c r="H6" s="805"/>
      <c r="I6" s="805"/>
      <c r="J6" s="805"/>
      <c r="K6" s="805"/>
      <c r="L6" s="805"/>
      <c r="M6" s="805"/>
      <c r="N6" s="805"/>
      <c r="O6" s="805"/>
      <c r="P6" s="805"/>
      <c r="Q6" s="805"/>
      <c r="R6" s="805"/>
      <c r="S6" s="805"/>
      <c r="T6" s="805"/>
      <c r="U6" s="805"/>
      <c r="V6" s="805"/>
      <c r="W6" s="805"/>
      <c r="X6" s="805"/>
      <c r="Y6" s="805"/>
      <c r="Z6" s="805"/>
      <c r="AA6" s="805"/>
      <c r="AB6" s="805"/>
      <c r="AC6" s="805"/>
      <c r="AD6" s="805"/>
      <c r="AE6" s="805"/>
      <c r="AF6" s="832"/>
    </row>
    <row r="7" spans="1:37">
      <c r="A7" s="804">
        <v>3</v>
      </c>
      <c r="B7" s="805" t="s">
        <v>293</v>
      </c>
      <c r="C7" s="806">
        <f>+'12.b Tételes mód PH'!D26</f>
        <v>-329</v>
      </c>
      <c r="D7" s="806">
        <f>+'12.b Tételes mód PH'!E26</f>
        <v>-88</v>
      </c>
      <c r="E7" s="806">
        <f>+'12.b Tételes mód PH'!L26</f>
        <v>1748</v>
      </c>
      <c r="F7" s="806"/>
      <c r="G7" s="806">
        <f>+'12.b Tételes mód PH'!M26</f>
        <v>499</v>
      </c>
      <c r="H7" s="806">
        <f>+'12.b Tételes mód PH'!N26</f>
        <v>6</v>
      </c>
      <c r="I7" s="806">
        <f>+'12.b Tételes mód PH'!O26</f>
        <v>1199</v>
      </c>
      <c r="J7" s="806">
        <f>+'12.b Tételes mód PH'!P26</f>
        <v>0</v>
      </c>
      <c r="K7" s="806"/>
      <c r="L7" s="806"/>
      <c r="M7" s="806"/>
      <c r="N7" s="805"/>
      <c r="O7" s="805"/>
      <c r="P7" s="805"/>
      <c r="Q7" s="805"/>
      <c r="R7" s="805"/>
      <c r="S7" s="805"/>
      <c r="T7" s="829">
        <f>SUM(C7:S7)</f>
        <v>3035</v>
      </c>
      <c r="U7" s="806">
        <f>+'12.b Tételes mód PH'!S26</f>
        <v>0</v>
      </c>
      <c r="V7" s="806">
        <f>+'12.b Tételes mód PH'!T26</f>
        <v>232</v>
      </c>
      <c r="W7" s="806">
        <f>+'12.b Tételes mód PH'!U26</f>
        <v>2311</v>
      </c>
      <c r="X7" s="806"/>
      <c r="Y7" s="806">
        <f>+'12.b Tételes mód PH'!V26</f>
        <v>0</v>
      </c>
      <c r="Z7" s="806">
        <f>+'12.b Tételes mód PH'!W26</f>
        <v>0</v>
      </c>
      <c r="AA7" s="806">
        <f>+'12.b Tételes mód PH'!X26</f>
        <v>0</v>
      </c>
      <c r="AB7" s="805"/>
      <c r="AC7" s="806">
        <f>+'12.b Tételes mód PH'!Y26</f>
        <v>0</v>
      </c>
      <c r="AD7" s="806">
        <f>+'12.b Tételes mód PH'!Z26</f>
        <v>0</v>
      </c>
      <c r="AE7" s="806">
        <f>+'12.b Tételes mód PH'!AA26</f>
        <v>492</v>
      </c>
      <c r="AF7" s="833">
        <f>SUM(U7:AE7)</f>
        <v>3035</v>
      </c>
    </row>
    <row r="8" spans="1:37">
      <c r="A8" s="804">
        <v>4</v>
      </c>
      <c r="B8" s="805" t="s">
        <v>294</v>
      </c>
      <c r="C8" s="806">
        <f>+'12.c Tételes mód. Óvoda '!D25</f>
        <v>-110</v>
      </c>
      <c r="D8" s="806">
        <f>+'12.c Tételes mód. Óvoda '!E25</f>
        <v>236</v>
      </c>
      <c r="E8" s="806">
        <f>+'12.c Tételes mód. Óvoda '!L25</f>
        <v>307</v>
      </c>
      <c r="F8" s="806"/>
      <c r="G8" s="806">
        <f>+'12.c Tételes mód. Óvoda '!M25</f>
        <v>95</v>
      </c>
      <c r="H8" s="806">
        <f>+'12.c Tételes mód. Óvoda '!N25</f>
        <v>37</v>
      </c>
      <c r="I8" s="806">
        <f>+'12.c Tételes mód. Óvoda '!O25</f>
        <v>17</v>
      </c>
      <c r="J8" s="806">
        <f>+'12.c Tételes mód. Óvoda '!P25</f>
        <v>0</v>
      </c>
      <c r="K8" s="806"/>
      <c r="L8" s="805"/>
      <c r="M8" s="805"/>
      <c r="N8" s="805"/>
      <c r="O8" s="805"/>
      <c r="P8" s="805"/>
      <c r="Q8" s="805"/>
      <c r="R8" s="805"/>
      <c r="S8" s="805"/>
      <c r="T8" s="829">
        <f>SUM(C8:S8)</f>
        <v>582</v>
      </c>
      <c r="U8" s="806">
        <f>+'12.c Tételes mód. Óvoda '!V25</f>
        <v>0</v>
      </c>
      <c r="V8" s="806">
        <f>+'12.c Tételes mód. Óvoda '!W25</f>
        <v>123</v>
      </c>
      <c r="W8" s="806">
        <f>+'12.c Tételes mód. Óvoda '!X25</f>
        <v>401</v>
      </c>
      <c r="X8" s="806"/>
      <c r="Y8" s="806">
        <f>+'12.c Tételes mód. Óvoda '!Y25</f>
        <v>0</v>
      </c>
      <c r="Z8" s="806">
        <f>+'12.c Tételes mód. Óvoda '!Z25</f>
        <v>0</v>
      </c>
      <c r="AA8" s="806"/>
      <c r="AB8" s="806"/>
      <c r="AC8" s="806">
        <f>+'12.c Tételes mód. Óvoda '!AA25</f>
        <v>0</v>
      </c>
      <c r="AD8" s="806">
        <f>+'12.c Tételes mód. Óvoda '!AB25</f>
        <v>0</v>
      </c>
      <c r="AE8" s="806">
        <f>+'12.c Tételes mód. Óvoda '!AC25</f>
        <v>58</v>
      </c>
      <c r="AF8" s="833">
        <f>SUM(U8:AE8)</f>
        <v>582</v>
      </c>
    </row>
    <row r="9" spans="1:37">
      <c r="A9" s="804">
        <v>5</v>
      </c>
      <c r="B9" s="805" t="s">
        <v>380</v>
      </c>
      <c r="C9" s="806">
        <f>+'12.d Tételes mód. BBK'!C29</f>
        <v>37</v>
      </c>
      <c r="D9" s="806">
        <f>+'12.d Tételes mód. BBK'!D29</f>
        <v>5</v>
      </c>
      <c r="E9" s="806">
        <f>+'12.d Tételes mód. BBK'!K29</f>
        <v>2513</v>
      </c>
      <c r="F9" s="806"/>
      <c r="G9" s="806">
        <f>+'12.d Tételes mód. BBK'!L29</f>
        <v>584</v>
      </c>
      <c r="H9" s="806">
        <f>+'12.d Tételes mód. BBK'!M29</f>
        <v>232</v>
      </c>
      <c r="I9" s="806">
        <f>+'12.d Tételes mód. BBK'!N29</f>
        <v>-1860</v>
      </c>
      <c r="J9" s="806">
        <f>+'12.d Tételes mód. BBK'!O29</f>
        <v>0</v>
      </c>
      <c r="K9" s="806"/>
      <c r="L9" s="806"/>
      <c r="M9" s="806"/>
      <c r="N9" s="806"/>
      <c r="O9" s="806"/>
      <c r="P9" s="806">
        <v>0</v>
      </c>
      <c r="Q9" s="806">
        <v>0</v>
      </c>
      <c r="R9" s="806"/>
      <c r="S9" s="805"/>
      <c r="T9" s="829">
        <f>SUM(C9:S9)</f>
        <v>1511</v>
      </c>
      <c r="U9" s="806">
        <v>0</v>
      </c>
      <c r="V9" s="806">
        <f>+'12.d Tételes mód. BBK'!V29</f>
        <v>685</v>
      </c>
      <c r="W9" s="806">
        <f>+'12.d Tételes mód. BBK'!W29</f>
        <v>488</v>
      </c>
      <c r="X9" s="806"/>
      <c r="Y9" s="806">
        <v>0</v>
      </c>
      <c r="Z9" s="806">
        <v>0</v>
      </c>
      <c r="AA9" s="806"/>
      <c r="AB9" s="806"/>
      <c r="AC9" s="806">
        <v>0</v>
      </c>
      <c r="AD9" s="806">
        <v>0</v>
      </c>
      <c r="AE9" s="806">
        <f>+'12.d Tételes mód. BBK'!AB29</f>
        <v>338</v>
      </c>
      <c r="AF9" s="834">
        <f>SUM(V9:AE9)</f>
        <v>1511</v>
      </c>
    </row>
    <row r="10" spans="1:37">
      <c r="A10" s="804">
        <v>6</v>
      </c>
      <c r="B10" s="828" t="s">
        <v>301</v>
      </c>
      <c r="C10" s="828">
        <f t="shared" ref="C10:K10" si="0">SUM(C7:C9)</f>
        <v>-402</v>
      </c>
      <c r="D10" s="828">
        <f t="shared" si="0"/>
        <v>153</v>
      </c>
      <c r="E10" s="828">
        <f t="shared" si="0"/>
        <v>4568</v>
      </c>
      <c r="F10" s="828">
        <f t="shared" si="0"/>
        <v>0</v>
      </c>
      <c r="G10" s="828">
        <f t="shared" si="0"/>
        <v>1178</v>
      </c>
      <c r="H10" s="829">
        <f t="shared" si="0"/>
        <v>275</v>
      </c>
      <c r="I10" s="829">
        <f t="shared" si="0"/>
        <v>-644</v>
      </c>
      <c r="J10" s="828">
        <f t="shared" si="0"/>
        <v>0</v>
      </c>
      <c r="K10" s="828">
        <f t="shared" si="0"/>
        <v>0</v>
      </c>
      <c r="L10" s="828"/>
      <c r="M10" s="828">
        <f>SUM(M7:M9)</f>
        <v>0</v>
      </c>
      <c r="N10" s="828">
        <f>SUM(N7:N9)</f>
        <v>0</v>
      </c>
      <c r="O10" s="828">
        <f>SUM(O7:O9)</f>
        <v>0</v>
      </c>
      <c r="P10" s="828"/>
      <c r="Q10" s="828">
        <f t="shared" ref="Q10:AA10" si="1">SUM(Q7:Q9)</f>
        <v>0</v>
      </c>
      <c r="R10" s="828"/>
      <c r="S10" s="828">
        <f t="shared" si="1"/>
        <v>0</v>
      </c>
      <c r="T10" s="828">
        <f t="shared" si="1"/>
        <v>5128</v>
      </c>
      <c r="U10" s="829">
        <f t="shared" si="1"/>
        <v>0</v>
      </c>
      <c r="V10" s="829">
        <f>SUM(V7:V9)</f>
        <v>1040</v>
      </c>
      <c r="W10" s="828">
        <f t="shared" si="1"/>
        <v>3200</v>
      </c>
      <c r="X10" s="828">
        <f t="shared" si="1"/>
        <v>0</v>
      </c>
      <c r="Y10" s="828">
        <f t="shared" si="1"/>
        <v>0</v>
      </c>
      <c r="Z10" s="828">
        <f t="shared" si="1"/>
        <v>0</v>
      </c>
      <c r="AA10" s="828">
        <f t="shared" si="1"/>
        <v>0</v>
      </c>
      <c r="AB10" s="828"/>
      <c r="AC10" s="828">
        <f>SUM(AC7:AC9)</f>
        <v>0</v>
      </c>
      <c r="AD10" s="828">
        <f>SUM(AD7:AD9)</f>
        <v>0</v>
      </c>
      <c r="AE10" s="828">
        <f>SUM(AE7:AE9)</f>
        <v>888</v>
      </c>
      <c r="AF10" s="834">
        <f>SUM(AF7:AF9)</f>
        <v>5128</v>
      </c>
    </row>
    <row r="11" spans="1:37">
      <c r="A11" s="804">
        <v>7</v>
      </c>
      <c r="B11" s="805"/>
      <c r="C11" s="805"/>
      <c r="D11" s="805"/>
      <c r="E11" s="805"/>
      <c r="F11" s="805"/>
      <c r="G11" s="805"/>
      <c r="H11" s="805"/>
      <c r="I11" s="805"/>
      <c r="J11" s="805"/>
      <c r="K11" s="805"/>
      <c r="L11" s="805"/>
      <c r="M11" s="805"/>
      <c r="N11" s="805"/>
      <c r="O11" s="805"/>
      <c r="P11" s="805"/>
      <c r="Q11" s="805"/>
      <c r="R11" s="805"/>
      <c r="S11" s="805"/>
      <c r="T11" s="805">
        <f>SUM(C11:S11)</f>
        <v>0</v>
      </c>
      <c r="U11" s="805"/>
      <c r="V11" s="805"/>
      <c r="W11" s="805"/>
      <c r="X11" s="805"/>
      <c r="Y11" s="805"/>
      <c r="Z11" s="805"/>
      <c r="AA11" s="805"/>
      <c r="AB11" s="805"/>
      <c r="AC11" s="805"/>
      <c r="AD11" s="805"/>
      <c r="AE11" s="805"/>
      <c r="AF11" s="834">
        <f>SUM(V11:AE11)</f>
        <v>0</v>
      </c>
    </row>
    <row r="12" spans="1:37" ht="13.8" thickBot="1">
      <c r="A12" s="835">
        <v>8</v>
      </c>
      <c r="B12" s="880" t="s">
        <v>282</v>
      </c>
      <c r="C12" s="836">
        <f t="shared" ref="C12:L12" si="2">C5+C10</f>
        <v>-383</v>
      </c>
      <c r="D12" s="836">
        <f t="shared" si="2"/>
        <v>153</v>
      </c>
      <c r="E12" s="836">
        <f t="shared" si="2"/>
        <v>28507</v>
      </c>
      <c r="F12" s="836">
        <f t="shared" si="2"/>
        <v>-1158</v>
      </c>
      <c r="G12" s="836">
        <f t="shared" si="2"/>
        <v>15700</v>
      </c>
      <c r="H12" s="836">
        <f t="shared" si="2"/>
        <v>9783</v>
      </c>
      <c r="I12" s="836">
        <f t="shared" si="2"/>
        <v>75645</v>
      </c>
      <c r="J12" s="836">
        <f t="shared" si="2"/>
        <v>5663</v>
      </c>
      <c r="K12" s="836">
        <f t="shared" si="2"/>
        <v>8317</v>
      </c>
      <c r="L12" s="836">
        <f t="shared" si="2"/>
        <v>19584</v>
      </c>
      <c r="M12" s="836"/>
      <c r="N12" s="836">
        <f t="shared" ref="N12:S12" si="3">N5+N10</f>
        <v>0</v>
      </c>
      <c r="O12" s="836">
        <f t="shared" si="3"/>
        <v>-2506</v>
      </c>
      <c r="P12" s="836">
        <f t="shared" si="3"/>
        <v>0</v>
      </c>
      <c r="Q12" s="836">
        <f t="shared" si="3"/>
        <v>-93753</v>
      </c>
      <c r="R12" s="836">
        <f t="shared" si="3"/>
        <v>-5418</v>
      </c>
      <c r="S12" s="836">
        <f t="shared" si="3"/>
        <v>-274</v>
      </c>
      <c r="T12" s="836">
        <f>SUM(C12:S12)</f>
        <v>59860</v>
      </c>
      <c r="U12" s="836">
        <f>U5+U10</f>
        <v>0</v>
      </c>
      <c r="V12" s="836">
        <f>V5+V10</f>
        <v>1040</v>
      </c>
      <c r="W12" s="836"/>
      <c r="X12" s="836">
        <f t="shared" ref="X12:AE12" si="4">X5+X10</f>
        <v>8310</v>
      </c>
      <c r="Y12" s="836">
        <f t="shared" si="4"/>
        <v>1956</v>
      </c>
      <c r="Z12" s="836">
        <f t="shared" si="4"/>
        <v>0</v>
      </c>
      <c r="AA12" s="836">
        <f t="shared" si="4"/>
        <v>0</v>
      </c>
      <c r="AB12" s="836">
        <f t="shared" si="4"/>
        <v>0</v>
      </c>
      <c r="AC12" s="836">
        <f t="shared" si="4"/>
        <v>0</v>
      </c>
      <c r="AD12" s="836">
        <f t="shared" si="4"/>
        <v>0</v>
      </c>
      <c r="AE12" s="836">
        <f t="shared" si="4"/>
        <v>48554</v>
      </c>
      <c r="AF12" s="853">
        <f>SUM(U12:AE12)</f>
        <v>59860</v>
      </c>
    </row>
  </sheetData>
  <mergeCells count="32">
    <mergeCell ref="Q3:Q4"/>
    <mergeCell ref="AA3:AA4"/>
    <mergeCell ref="AB3:AB4"/>
    <mergeCell ref="AC3:AD3"/>
    <mergeCell ref="AE3:AE4"/>
    <mergeCell ref="S3:S4"/>
    <mergeCell ref="U3:U4"/>
    <mergeCell ref="V3:V4"/>
    <mergeCell ref="W3:W4"/>
    <mergeCell ref="X3:X4"/>
    <mergeCell ref="Y3:Z3"/>
    <mergeCell ref="L3:L4"/>
    <mergeCell ref="M3:M4"/>
    <mergeCell ref="N3:N4"/>
    <mergeCell ref="O3:O4"/>
    <mergeCell ref="P3:P4"/>
    <mergeCell ref="AD1:AF1"/>
    <mergeCell ref="A2:A4"/>
    <mergeCell ref="B2:B4"/>
    <mergeCell ref="C2:S2"/>
    <mergeCell ref="T2:T4"/>
    <mergeCell ref="U2:AE2"/>
    <mergeCell ref="AF2:AF4"/>
    <mergeCell ref="C3:C4"/>
    <mergeCell ref="D3:D4"/>
    <mergeCell ref="E3:E4"/>
    <mergeCell ref="R3:R4"/>
    <mergeCell ref="F3:F4"/>
    <mergeCell ref="G3:H3"/>
    <mergeCell ref="I3:I4"/>
    <mergeCell ref="J3:J4"/>
    <mergeCell ref="K3:K4"/>
  </mergeCells>
  <printOptions horizontalCentered="1"/>
  <pageMargins left="0.39370078740157483" right="0.35433070866141736" top="0.9055118110236221" bottom="0.74803149606299213" header="0.31496062992125984" footer="0.31496062992125984"/>
  <pageSetup paperSize="9" scale="51" orientation="landscape" r:id="rId1"/>
  <headerFooter>
    <oddHeader>&amp;C&amp;"Times New Roman CE,Félkövér"&amp;14Konszolidált előirányzat módosítás 
Martonvásár Város Önkormányzata és intézményei 2016. év&amp;R&amp;"Times New Roman CE,Normál"&amp;10
12.e melléklet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9"/>
  <sheetViews>
    <sheetView topLeftCell="A46" workbookViewId="0">
      <selection activeCell="C68" sqref="C68"/>
    </sheetView>
  </sheetViews>
  <sheetFormatPr defaultColWidth="9.109375" defaultRowHeight="13.2"/>
  <cols>
    <col min="1" max="1" width="6.33203125" style="97" customWidth="1"/>
    <col min="2" max="2" width="57" style="94" customWidth="1"/>
    <col min="3" max="5" width="10.88671875" style="94" customWidth="1"/>
    <col min="6" max="16384" width="9.109375" style="94"/>
  </cols>
  <sheetData>
    <row r="1" spans="1:7" ht="15.6">
      <c r="A1" s="949"/>
      <c r="B1" s="949"/>
      <c r="C1" s="949"/>
      <c r="D1" s="949"/>
      <c r="E1" s="949"/>
      <c r="G1" s="567"/>
    </row>
    <row r="2" spans="1:7" ht="11.25" customHeight="1">
      <c r="B2" s="461"/>
      <c r="C2" s="952" t="s">
        <v>408</v>
      </c>
      <c r="D2" s="952"/>
      <c r="E2" s="952"/>
    </row>
    <row r="3" spans="1:7" s="90" customFormat="1" ht="15" customHeight="1">
      <c r="A3" s="950" t="s">
        <v>0</v>
      </c>
      <c r="B3" s="950" t="s">
        <v>183</v>
      </c>
      <c r="C3" s="951" t="s">
        <v>628</v>
      </c>
      <c r="D3" s="951"/>
      <c r="E3" s="951"/>
    </row>
    <row r="4" spans="1:7" s="91" customFormat="1">
      <c r="A4" s="950"/>
      <c r="B4" s="950"/>
      <c r="C4" s="3" t="s">
        <v>178</v>
      </c>
      <c r="D4" s="673" t="s">
        <v>750</v>
      </c>
      <c r="E4" s="673" t="s">
        <v>752</v>
      </c>
    </row>
    <row r="5" spans="1:7" s="93" customFormat="1" ht="12.75" customHeight="1">
      <c r="A5" s="75" t="s">
        <v>196</v>
      </c>
      <c r="B5" s="15" t="s">
        <v>195</v>
      </c>
      <c r="C5" s="686">
        <v>121218</v>
      </c>
      <c r="D5" s="686">
        <v>413</v>
      </c>
      <c r="E5" s="686">
        <f>+C5+D5</f>
        <v>121631</v>
      </c>
    </row>
    <row r="6" spans="1:7" s="93" customFormat="1" ht="12.75" customHeight="1">
      <c r="A6" s="75" t="s">
        <v>198</v>
      </c>
      <c r="B6" s="67" t="s">
        <v>197</v>
      </c>
      <c r="C6" s="686">
        <f>365306-69148+5668</f>
        <v>301826</v>
      </c>
      <c r="D6" s="686"/>
      <c r="E6" s="686">
        <f t="shared" ref="E6:E10" si="0">+C6+D6</f>
        <v>301826</v>
      </c>
    </row>
    <row r="7" spans="1:7" s="93" customFormat="1" ht="12.75" customHeight="1">
      <c r="A7" s="75" t="s">
        <v>200</v>
      </c>
      <c r="B7" s="67" t="s">
        <v>199</v>
      </c>
      <c r="C7" s="686">
        <f>60582+66+30966+69148</f>
        <v>160762</v>
      </c>
      <c r="D7" s="686">
        <v>5721</v>
      </c>
      <c r="E7" s="686">
        <f t="shared" si="0"/>
        <v>166483</v>
      </c>
    </row>
    <row r="8" spans="1:7" ht="12.75" customHeight="1">
      <c r="A8" s="75" t="s">
        <v>202</v>
      </c>
      <c r="B8" s="67" t="s">
        <v>201</v>
      </c>
      <c r="C8" s="686">
        <f>6424</f>
        <v>6424</v>
      </c>
      <c r="D8" s="686"/>
      <c r="E8" s="686">
        <f t="shared" si="0"/>
        <v>6424</v>
      </c>
    </row>
    <row r="9" spans="1:7" s="95" customFormat="1" ht="12.75" customHeight="1">
      <c r="A9" s="75" t="s">
        <v>203</v>
      </c>
      <c r="B9" s="67" t="s">
        <v>719</v>
      </c>
      <c r="C9" s="687"/>
      <c r="D9" s="687">
        <v>2176</v>
      </c>
      <c r="E9" s="686">
        <f t="shared" si="0"/>
        <v>2176</v>
      </c>
    </row>
    <row r="10" spans="1:7" s="95" customFormat="1" ht="12.75" customHeight="1">
      <c r="A10" s="75" t="s">
        <v>204</v>
      </c>
      <c r="B10" s="67" t="s">
        <v>720</v>
      </c>
      <c r="C10" s="687">
        <v>0</v>
      </c>
      <c r="D10" s="687"/>
      <c r="E10" s="686">
        <f t="shared" si="0"/>
        <v>0</v>
      </c>
    </row>
    <row r="11" spans="1:7" ht="12.75" customHeight="1">
      <c r="A11" s="86" t="s">
        <v>205</v>
      </c>
      <c r="B11" s="68" t="s">
        <v>334</v>
      </c>
      <c r="C11" s="688">
        <f>SUM(C5:C10)</f>
        <v>590230</v>
      </c>
      <c r="D11" s="688">
        <f t="shared" ref="D11:E11" si="1">SUM(D5:D10)</f>
        <v>8310</v>
      </c>
      <c r="E11" s="688">
        <f t="shared" si="1"/>
        <v>598540</v>
      </c>
    </row>
    <row r="12" spans="1:7" ht="12.75" customHeight="1">
      <c r="A12" s="607" t="s">
        <v>207</v>
      </c>
      <c r="B12" s="68" t="s">
        <v>206</v>
      </c>
      <c r="C12" s="688">
        <f>SUM(C13:C22)</f>
        <v>36407</v>
      </c>
      <c r="D12" s="688">
        <f t="shared" ref="D12:E12" si="2">SUM(D13:D22)</f>
        <v>1956</v>
      </c>
      <c r="E12" s="688">
        <f t="shared" si="2"/>
        <v>38363</v>
      </c>
    </row>
    <row r="13" spans="1:7" s="110" customFormat="1" ht="12.75" customHeight="1">
      <c r="A13" s="107"/>
      <c r="B13" s="108" t="s">
        <v>335</v>
      </c>
      <c r="C13" s="689">
        <v>4177</v>
      </c>
      <c r="D13" s="689">
        <v>600</v>
      </c>
      <c r="E13" s="689">
        <f>+C13+D13</f>
        <v>4777</v>
      </c>
    </row>
    <row r="14" spans="1:7" s="110" customFormat="1" ht="12.75" customHeight="1">
      <c r="A14" s="107"/>
      <c r="B14" s="108" t="s">
        <v>325</v>
      </c>
      <c r="C14" s="689"/>
      <c r="D14" s="689"/>
      <c r="E14" s="689">
        <f t="shared" ref="E14:E22" si="3">+C14+D14</f>
        <v>0</v>
      </c>
    </row>
    <row r="15" spans="1:7" s="110" customFormat="1" ht="12.75" customHeight="1">
      <c r="A15" s="107"/>
      <c r="B15" s="108" t="s">
        <v>326</v>
      </c>
      <c r="C15" s="689"/>
      <c r="D15" s="689"/>
      <c r="E15" s="689">
        <f t="shared" si="3"/>
        <v>0</v>
      </c>
    </row>
    <row r="16" spans="1:7" s="110" customFormat="1" ht="12.75" customHeight="1">
      <c r="A16" s="107"/>
      <c r="B16" s="108" t="s">
        <v>327</v>
      </c>
      <c r="C16" s="689">
        <f>1080+250+12000+800</f>
        <v>14130</v>
      </c>
      <c r="D16" s="689"/>
      <c r="E16" s="689">
        <f t="shared" si="3"/>
        <v>14130</v>
      </c>
    </row>
    <row r="17" spans="1:5" s="110" customFormat="1" ht="12.75" customHeight="1">
      <c r="A17" s="107"/>
      <c r="B17" s="108" t="s">
        <v>328</v>
      </c>
      <c r="C17" s="689">
        <v>13100</v>
      </c>
      <c r="D17" s="689"/>
      <c r="E17" s="689">
        <f t="shared" si="3"/>
        <v>13100</v>
      </c>
    </row>
    <row r="18" spans="1:5" s="110" customFormat="1" ht="12.75" customHeight="1">
      <c r="A18" s="107"/>
      <c r="B18" s="108" t="s">
        <v>329</v>
      </c>
      <c r="C18" s="689"/>
      <c r="D18" s="689"/>
      <c r="E18" s="689">
        <f t="shared" si="3"/>
        <v>0</v>
      </c>
    </row>
    <row r="19" spans="1:5" s="110" customFormat="1" ht="12.75" customHeight="1">
      <c r="A19" s="107"/>
      <c r="B19" s="108" t="s">
        <v>100</v>
      </c>
      <c r="C19" s="689"/>
      <c r="D19" s="689">
        <f>492+58+338+289</f>
        <v>1177</v>
      </c>
      <c r="E19" s="689">
        <f t="shared" si="3"/>
        <v>1177</v>
      </c>
    </row>
    <row r="20" spans="1:5" s="110" customFormat="1" ht="12.75" customHeight="1">
      <c r="A20" s="107"/>
      <c r="B20" s="108" t="s">
        <v>101</v>
      </c>
      <c r="C20" s="689">
        <v>5000</v>
      </c>
      <c r="D20" s="689">
        <v>179</v>
      </c>
      <c r="E20" s="689">
        <f t="shared" si="3"/>
        <v>5179</v>
      </c>
    </row>
    <row r="21" spans="1:5" s="110" customFormat="1" ht="12.75" customHeight="1">
      <c r="A21" s="107"/>
      <c r="B21" s="108" t="s">
        <v>330</v>
      </c>
      <c r="C21" s="689"/>
      <c r="D21" s="689"/>
      <c r="E21" s="689">
        <f t="shared" si="3"/>
        <v>0</v>
      </c>
    </row>
    <row r="22" spans="1:5" s="110" customFormat="1" ht="12.75" customHeight="1">
      <c r="A22" s="107"/>
      <c r="B22" s="108" t="s">
        <v>331</v>
      </c>
      <c r="C22" s="689"/>
      <c r="D22" s="689"/>
      <c r="E22" s="689">
        <f t="shared" si="3"/>
        <v>0</v>
      </c>
    </row>
    <row r="23" spans="1:5" ht="12.75" customHeight="1">
      <c r="A23" s="86" t="s">
        <v>208</v>
      </c>
      <c r="B23" s="68" t="s">
        <v>332</v>
      </c>
      <c r="C23" s="688">
        <f>+C11+C12</f>
        <v>626637</v>
      </c>
      <c r="D23" s="688">
        <f t="shared" ref="D23:E23" si="4">+D11+D12</f>
        <v>10266</v>
      </c>
      <c r="E23" s="688">
        <f t="shared" si="4"/>
        <v>636903</v>
      </c>
    </row>
    <row r="24" spans="1:5" ht="12.75" customHeight="1">
      <c r="A24" s="75" t="s">
        <v>409</v>
      </c>
      <c r="B24" s="67" t="s">
        <v>410</v>
      </c>
      <c r="C24" s="686">
        <v>0</v>
      </c>
      <c r="D24" s="686"/>
      <c r="E24" s="686">
        <f>+C24+D24</f>
        <v>0</v>
      </c>
    </row>
    <row r="25" spans="1:5" ht="12.75" customHeight="1">
      <c r="A25" s="75" t="s">
        <v>398</v>
      </c>
      <c r="B25" s="67" t="s">
        <v>399</v>
      </c>
      <c r="C25" s="686">
        <v>0</v>
      </c>
      <c r="D25" s="686"/>
      <c r="E25" s="686">
        <f t="shared" ref="E25:E36" si="5">+C25+D25</f>
        <v>0</v>
      </c>
    </row>
    <row r="26" spans="1:5" ht="12.75" customHeight="1">
      <c r="A26" s="75" t="s">
        <v>210</v>
      </c>
      <c r="B26" s="67" t="s">
        <v>209</v>
      </c>
      <c r="C26" s="686"/>
      <c r="D26" s="686"/>
      <c r="E26" s="686">
        <f t="shared" si="5"/>
        <v>0</v>
      </c>
    </row>
    <row r="27" spans="1:5" s="110" customFormat="1" ht="12.75" customHeight="1">
      <c r="A27" s="107"/>
      <c r="B27" s="108" t="s">
        <v>324</v>
      </c>
      <c r="C27" s="689"/>
      <c r="D27" s="689"/>
      <c r="E27" s="686">
        <f t="shared" si="5"/>
        <v>0</v>
      </c>
    </row>
    <row r="28" spans="1:5" s="110" customFormat="1" ht="12.75" customHeight="1">
      <c r="A28" s="107"/>
      <c r="B28" s="108" t="s">
        <v>325</v>
      </c>
      <c r="C28" s="689"/>
      <c r="D28" s="689"/>
      <c r="E28" s="686">
        <f t="shared" si="5"/>
        <v>0</v>
      </c>
    </row>
    <row r="29" spans="1:5" s="110" customFormat="1" ht="30.75" customHeight="1">
      <c r="A29" s="107"/>
      <c r="B29" s="108" t="s">
        <v>326</v>
      </c>
      <c r="C29" s="689"/>
      <c r="D29" s="689"/>
      <c r="E29" s="686">
        <f t="shared" si="5"/>
        <v>0</v>
      </c>
    </row>
    <row r="30" spans="1:5" s="110" customFormat="1" ht="12.75" customHeight="1">
      <c r="A30" s="107"/>
      <c r="B30" s="108" t="s">
        <v>327</v>
      </c>
      <c r="C30" s="689"/>
      <c r="D30" s="689"/>
      <c r="E30" s="686">
        <f t="shared" si="5"/>
        <v>0</v>
      </c>
    </row>
    <row r="31" spans="1:5" s="110" customFormat="1" ht="12.75" customHeight="1">
      <c r="A31" s="107"/>
      <c r="B31" s="108" t="s">
        <v>328</v>
      </c>
      <c r="C31" s="689"/>
      <c r="D31" s="689"/>
      <c r="E31" s="686">
        <f t="shared" si="5"/>
        <v>0</v>
      </c>
    </row>
    <row r="32" spans="1:5" s="110" customFormat="1" ht="12.75" customHeight="1">
      <c r="A32" s="107"/>
      <c r="B32" s="108" t="s">
        <v>329</v>
      </c>
      <c r="C32" s="689"/>
      <c r="D32" s="689"/>
      <c r="E32" s="686">
        <f t="shared" si="5"/>
        <v>0</v>
      </c>
    </row>
    <row r="33" spans="1:5" s="110" customFormat="1" ht="12.75" customHeight="1">
      <c r="A33" s="107"/>
      <c r="B33" s="108" t="s">
        <v>100</v>
      </c>
      <c r="C33" s="689"/>
      <c r="D33" s="689"/>
      <c r="E33" s="686">
        <f t="shared" si="5"/>
        <v>0</v>
      </c>
    </row>
    <row r="34" spans="1:5" s="110" customFormat="1" ht="12.75" customHeight="1">
      <c r="A34" s="107"/>
      <c r="B34" s="108" t="s">
        <v>101</v>
      </c>
      <c r="C34" s="689"/>
      <c r="D34" s="689"/>
      <c r="E34" s="686">
        <f t="shared" si="5"/>
        <v>0</v>
      </c>
    </row>
    <row r="35" spans="1:5" s="110" customFormat="1" ht="12.75" customHeight="1">
      <c r="A35" s="107"/>
      <c r="B35" s="108" t="s">
        <v>330</v>
      </c>
      <c r="C35" s="689"/>
      <c r="D35" s="689"/>
      <c r="E35" s="686">
        <f t="shared" si="5"/>
        <v>0</v>
      </c>
    </row>
    <row r="36" spans="1:5" s="110" customFormat="1" ht="12.75" customHeight="1">
      <c r="A36" s="107"/>
      <c r="B36" s="108" t="s">
        <v>331</v>
      </c>
      <c r="C36" s="689"/>
      <c r="D36" s="689"/>
      <c r="E36" s="686">
        <f t="shared" si="5"/>
        <v>0</v>
      </c>
    </row>
    <row r="37" spans="1:5" ht="12.75" customHeight="1">
      <c r="A37" s="86" t="s">
        <v>211</v>
      </c>
      <c r="B37" s="68" t="s">
        <v>333</v>
      </c>
      <c r="C37" s="688">
        <f>+C26+C25+C24</f>
        <v>0</v>
      </c>
      <c r="D37" s="688">
        <f t="shared" ref="D37:E37" si="6">+D26+D25+D24</f>
        <v>0</v>
      </c>
      <c r="E37" s="688">
        <f t="shared" si="6"/>
        <v>0</v>
      </c>
    </row>
    <row r="38" spans="1:5" ht="12.75" customHeight="1">
      <c r="A38" s="75" t="s">
        <v>213</v>
      </c>
      <c r="B38" s="67" t="s">
        <v>212</v>
      </c>
      <c r="C38" s="686"/>
      <c r="D38" s="686"/>
      <c r="E38" s="686"/>
    </row>
    <row r="39" spans="1:5" ht="12.75" customHeight="1">
      <c r="A39" s="75" t="s">
        <v>215</v>
      </c>
      <c r="B39" s="67" t="s">
        <v>214</v>
      </c>
      <c r="C39" s="686"/>
      <c r="D39" s="686"/>
      <c r="E39" s="686"/>
    </row>
    <row r="40" spans="1:5" s="97" customFormat="1" ht="12.75" customHeight="1">
      <c r="A40" s="86" t="s">
        <v>216</v>
      </c>
      <c r="B40" s="68" t="s">
        <v>336</v>
      </c>
      <c r="C40" s="688">
        <f>SUM(C38:C39)</f>
        <v>0</v>
      </c>
      <c r="D40" s="688">
        <f t="shared" ref="D40:E40" si="7">SUM(D38:D39)</f>
        <v>0</v>
      </c>
      <c r="E40" s="688">
        <f t="shared" si="7"/>
        <v>0</v>
      </c>
    </row>
    <row r="41" spans="1:5" ht="12.75" customHeight="1">
      <c r="A41" s="75" t="s">
        <v>218</v>
      </c>
      <c r="B41" s="67" t="s">
        <v>217</v>
      </c>
      <c r="C41" s="686"/>
      <c r="D41" s="686"/>
      <c r="E41" s="686"/>
    </row>
    <row r="42" spans="1:5" ht="12.75" customHeight="1">
      <c r="A42" s="75" t="s">
        <v>220</v>
      </c>
      <c r="B42" s="67" t="s">
        <v>219</v>
      </c>
      <c r="C42" s="686"/>
      <c r="D42" s="686"/>
      <c r="E42" s="686"/>
    </row>
    <row r="43" spans="1:5" ht="12.75" customHeight="1">
      <c r="A43" s="86" t="s">
        <v>222</v>
      </c>
      <c r="B43" s="68" t="s">
        <v>221</v>
      </c>
      <c r="C43" s="688">
        <f>+C44+C45+C46</f>
        <v>147800</v>
      </c>
      <c r="D43" s="688">
        <f t="shared" ref="D43:E43" si="8">+D44+D45+D46</f>
        <v>0</v>
      </c>
      <c r="E43" s="688">
        <f t="shared" si="8"/>
        <v>147800</v>
      </c>
    </row>
    <row r="44" spans="1:5" ht="12.75" customHeight="1">
      <c r="A44" s="75"/>
      <c r="B44" s="108" t="s">
        <v>386</v>
      </c>
      <c r="C44" s="689">
        <v>19000</v>
      </c>
      <c r="D44" s="686"/>
      <c r="E44" s="686">
        <f>+C44+D44</f>
        <v>19000</v>
      </c>
    </row>
    <row r="45" spans="1:5" ht="12.75" customHeight="1">
      <c r="A45" s="75"/>
      <c r="B45" s="108" t="s">
        <v>387</v>
      </c>
      <c r="C45" s="689">
        <v>76900</v>
      </c>
      <c r="D45" s="686"/>
      <c r="E45" s="686">
        <f t="shared" ref="E45:E51" si="9">+C45+D45</f>
        <v>76900</v>
      </c>
    </row>
    <row r="46" spans="1:5" ht="12.75" customHeight="1">
      <c r="A46" s="75"/>
      <c r="B46" s="108" t="s">
        <v>388</v>
      </c>
      <c r="C46" s="689">
        <v>51900</v>
      </c>
      <c r="D46" s="686"/>
      <c r="E46" s="686">
        <f t="shared" si="9"/>
        <v>51900</v>
      </c>
    </row>
    <row r="47" spans="1:5" s="93" customFormat="1" ht="12.75" customHeight="1">
      <c r="A47" s="660" t="s">
        <v>224</v>
      </c>
      <c r="B47" s="68" t="s">
        <v>223</v>
      </c>
      <c r="C47" s="688">
        <v>115000</v>
      </c>
      <c r="D47" s="688"/>
      <c r="E47" s="686">
        <f t="shared" si="9"/>
        <v>115000</v>
      </c>
    </row>
    <row r="48" spans="1:5" ht="12.75" customHeight="1">
      <c r="A48" s="75" t="s">
        <v>226</v>
      </c>
      <c r="B48" s="67" t="s">
        <v>225</v>
      </c>
      <c r="C48" s="686"/>
      <c r="D48" s="686"/>
      <c r="E48" s="686">
        <f t="shared" si="9"/>
        <v>0</v>
      </c>
    </row>
    <row r="49" spans="1:5" ht="12.75" customHeight="1">
      <c r="A49" s="75" t="s">
        <v>228</v>
      </c>
      <c r="B49" s="67" t="s">
        <v>227</v>
      </c>
      <c r="C49" s="686"/>
      <c r="D49" s="686"/>
      <c r="E49" s="686">
        <f t="shared" si="9"/>
        <v>0</v>
      </c>
    </row>
    <row r="50" spans="1:5" ht="12.75" customHeight="1">
      <c r="A50" s="75" t="s">
        <v>230</v>
      </c>
      <c r="B50" s="67" t="s">
        <v>229</v>
      </c>
      <c r="C50" s="686">
        <v>18000</v>
      </c>
      <c r="D50" s="686"/>
      <c r="E50" s="686">
        <f t="shared" si="9"/>
        <v>18000</v>
      </c>
    </row>
    <row r="51" spans="1:5" ht="12.75" customHeight="1">
      <c r="A51" s="75" t="s">
        <v>232</v>
      </c>
      <c r="B51" s="67" t="s">
        <v>231</v>
      </c>
      <c r="C51" s="686">
        <v>2000</v>
      </c>
      <c r="D51" s="686"/>
      <c r="E51" s="686">
        <f t="shared" si="9"/>
        <v>2000</v>
      </c>
    </row>
    <row r="52" spans="1:5" ht="12.75" customHeight="1">
      <c r="A52" s="86" t="s">
        <v>233</v>
      </c>
      <c r="B52" s="68" t="s">
        <v>337</v>
      </c>
      <c r="C52" s="688">
        <f>+C51+C50+C49+C48+C47</f>
        <v>135000</v>
      </c>
      <c r="D52" s="688">
        <f t="shared" ref="D52:E52" si="10">+D51+D50+D49+D48+D47</f>
        <v>0</v>
      </c>
      <c r="E52" s="688">
        <f t="shared" si="10"/>
        <v>135000</v>
      </c>
    </row>
    <row r="53" spans="1:5" ht="12.75" customHeight="1">
      <c r="A53" s="86" t="s">
        <v>235</v>
      </c>
      <c r="B53" s="68" t="s">
        <v>234</v>
      </c>
      <c r="C53" s="688">
        <v>1700</v>
      </c>
      <c r="D53" s="686"/>
      <c r="E53" s="686">
        <f>+C53+D53</f>
        <v>1700</v>
      </c>
    </row>
    <row r="54" spans="1:5" ht="12.75" customHeight="1">
      <c r="A54" s="86" t="s">
        <v>236</v>
      </c>
      <c r="B54" s="68" t="s">
        <v>338</v>
      </c>
      <c r="C54" s="688">
        <f>+C53+C52+C40+C41+C42+C43</f>
        <v>284500</v>
      </c>
      <c r="D54" s="688">
        <f t="shared" ref="D54:E54" si="11">+D53+D52+D40+D41+D42+D43</f>
        <v>0</v>
      </c>
      <c r="E54" s="688">
        <f t="shared" si="11"/>
        <v>284500</v>
      </c>
    </row>
    <row r="55" spans="1:5" ht="12.75" customHeight="1">
      <c r="A55" s="75" t="s">
        <v>238</v>
      </c>
      <c r="B55" s="67" t="s">
        <v>237</v>
      </c>
      <c r="C55" s="686"/>
      <c r="D55" s="686"/>
      <c r="E55" s="686">
        <f>+C55+D55</f>
        <v>0</v>
      </c>
    </row>
    <row r="56" spans="1:5" ht="12.75" customHeight="1">
      <c r="A56" s="75" t="s">
        <v>240</v>
      </c>
      <c r="B56" s="67" t="s">
        <v>239</v>
      </c>
      <c r="C56" s="686">
        <v>2495</v>
      </c>
      <c r="D56" s="686"/>
      <c r="E56" s="686">
        <f t="shared" ref="E56:E64" si="12">+C56+D56</f>
        <v>2495</v>
      </c>
    </row>
    <row r="57" spans="1:5" ht="12.75" customHeight="1">
      <c r="A57" s="75" t="s">
        <v>242</v>
      </c>
      <c r="B57" s="67" t="s">
        <v>241</v>
      </c>
      <c r="C57" s="686">
        <v>2800</v>
      </c>
      <c r="D57" s="686"/>
      <c r="E57" s="686">
        <f t="shared" si="12"/>
        <v>2800</v>
      </c>
    </row>
    <row r="58" spans="1:5" ht="12.75" customHeight="1">
      <c r="A58" s="75" t="s">
        <v>244</v>
      </c>
      <c r="B58" s="67" t="s">
        <v>243</v>
      </c>
      <c r="C58" s="686">
        <f>15000+150+960+30+408+795</f>
        <v>17343</v>
      </c>
      <c r="D58" s="686"/>
      <c r="E58" s="686">
        <f t="shared" si="12"/>
        <v>17343</v>
      </c>
    </row>
    <row r="59" spans="1:5" ht="12.75" customHeight="1">
      <c r="A59" s="75" t="s">
        <v>246</v>
      </c>
      <c r="B59" s="67" t="s">
        <v>245</v>
      </c>
      <c r="C59" s="686"/>
      <c r="D59" s="686"/>
      <c r="E59" s="686">
        <f t="shared" si="12"/>
        <v>0</v>
      </c>
    </row>
    <row r="60" spans="1:5" ht="12.75" customHeight="1">
      <c r="A60" s="75" t="s">
        <v>248</v>
      </c>
      <c r="B60" s="67" t="s">
        <v>247</v>
      </c>
      <c r="C60" s="686">
        <v>5631</v>
      </c>
      <c r="D60" s="686"/>
      <c r="E60" s="686">
        <f t="shared" si="12"/>
        <v>5631</v>
      </c>
    </row>
    <row r="61" spans="1:5" ht="12.75" customHeight="1">
      <c r="A61" s="75" t="s">
        <v>250</v>
      </c>
      <c r="B61" s="67" t="s">
        <v>249</v>
      </c>
      <c r="C61" s="686">
        <f>4090+756</f>
        <v>4846</v>
      </c>
      <c r="D61" s="686"/>
      <c r="E61" s="686">
        <f t="shared" si="12"/>
        <v>4846</v>
      </c>
    </row>
    <row r="62" spans="1:5" ht="12.75" customHeight="1">
      <c r="A62" s="75" t="s">
        <v>252</v>
      </c>
      <c r="B62" s="67" t="s">
        <v>251</v>
      </c>
      <c r="C62" s="686">
        <v>0</v>
      </c>
      <c r="D62" s="686"/>
      <c r="E62" s="686">
        <f t="shared" si="12"/>
        <v>0</v>
      </c>
    </row>
    <row r="63" spans="1:5" ht="12.75" customHeight="1">
      <c r="A63" s="75" t="s">
        <v>254</v>
      </c>
      <c r="B63" s="67" t="s">
        <v>253</v>
      </c>
      <c r="C63" s="686"/>
      <c r="D63" s="686"/>
      <c r="E63" s="686">
        <f t="shared" si="12"/>
        <v>0</v>
      </c>
    </row>
    <row r="64" spans="1:5" ht="12.75" customHeight="1">
      <c r="A64" s="75" t="s">
        <v>718</v>
      </c>
      <c r="B64" s="67" t="s">
        <v>255</v>
      </c>
      <c r="C64" s="686"/>
      <c r="D64" s="686"/>
      <c r="E64" s="686">
        <f t="shared" si="12"/>
        <v>0</v>
      </c>
    </row>
    <row r="65" spans="1:5" ht="12.75" customHeight="1">
      <c r="A65" s="86" t="s">
        <v>256</v>
      </c>
      <c r="B65" s="68" t="s">
        <v>281</v>
      </c>
      <c r="C65" s="688">
        <f>SUM(C55:C64)</f>
        <v>33115</v>
      </c>
      <c r="D65" s="688">
        <f t="shared" ref="D65:E65" si="13">SUM(D55:D64)</f>
        <v>0</v>
      </c>
      <c r="E65" s="688">
        <f t="shared" si="13"/>
        <v>33115</v>
      </c>
    </row>
    <row r="66" spans="1:5" ht="12.75" customHeight="1">
      <c r="A66" s="86" t="s">
        <v>257</v>
      </c>
      <c r="B66" s="68" t="s">
        <v>280</v>
      </c>
      <c r="C66" s="688">
        <v>21000</v>
      </c>
      <c r="D66" s="686"/>
      <c r="E66" s="688">
        <f>+C66+D66</f>
        <v>21000</v>
      </c>
    </row>
    <row r="67" spans="1:5" ht="12.75" customHeight="1">
      <c r="A67" s="75" t="s">
        <v>722</v>
      </c>
      <c r="B67" s="67" t="s">
        <v>538</v>
      </c>
      <c r="C67" s="686">
        <f>15000</f>
        <v>15000</v>
      </c>
      <c r="D67" s="686"/>
      <c r="E67" s="686">
        <f>+C67+D67</f>
        <v>15000</v>
      </c>
    </row>
    <row r="68" spans="1:5" ht="12.75" customHeight="1">
      <c r="A68" s="75" t="s">
        <v>721</v>
      </c>
      <c r="B68" s="67" t="s">
        <v>258</v>
      </c>
      <c r="C68" s="686">
        <v>42</v>
      </c>
      <c r="D68" s="686"/>
      <c r="E68" s="686">
        <f>+C68+D68</f>
        <v>42</v>
      </c>
    </row>
    <row r="69" spans="1:5" ht="12.75" customHeight="1">
      <c r="A69" s="86" t="s">
        <v>260</v>
      </c>
      <c r="B69" s="68" t="s">
        <v>279</v>
      </c>
      <c r="C69" s="688">
        <f>+C68+C67</f>
        <v>15042</v>
      </c>
      <c r="D69" s="688">
        <f t="shared" ref="D69:E69" si="14">+D68+D67</f>
        <v>0</v>
      </c>
      <c r="E69" s="688">
        <f t="shared" si="14"/>
        <v>15042</v>
      </c>
    </row>
    <row r="70" spans="1:5" ht="12.75" customHeight="1">
      <c r="A70" s="75" t="s">
        <v>723</v>
      </c>
      <c r="B70" s="67" t="s">
        <v>261</v>
      </c>
      <c r="C70" s="686"/>
      <c r="D70" s="686"/>
      <c r="E70" s="686"/>
    </row>
    <row r="71" spans="1:5" ht="12.75" customHeight="1">
      <c r="A71" s="86" t="s">
        <v>263</v>
      </c>
      <c r="B71" s="68" t="s">
        <v>285</v>
      </c>
      <c r="C71" s="688">
        <f>+C70</f>
        <v>0</v>
      </c>
      <c r="D71" s="688">
        <f t="shared" ref="D71:E71" si="15">+D70</f>
        <v>0</v>
      </c>
      <c r="E71" s="688">
        <f t="shared" si="15"/>
        <v>0</v>
      </c>
    </row>
    <row r="72" spans="1:5" ht="12.75" customHeight="1">
      <c r="A72" s="86" t="s">
        <v>264</v>
      </c>
      <c r="B72" s="68" t="s">
        <v>277</v>
      </c>
      <c r="C72" s="688">
        <f>+C71+C69+C66+C65+C54+C37+C23</f>
        <v>980294</v>
      </c>
      <c r="D72" s="688">
        <f t="shared" ref="D72:E72" si="16">+D71+D69+D66+D65+D54+D37+D23</f>
        <v>10266</v>
      </c>
      <c r="E72" s="688">
        <f t="shared" si="16"/>
        <v>990560</v>
      </c>
    </row>
    <row r="73" spans="1:5" ht="12.75" customHeight="1">
      <c r="A73" s="532" t="s">
        <v>605</v>
      </c>
      <c r="B73" s="67" t="s">
        <v>606</v>
      </c>
      <c r="C73" s="686"/>
      <c r="D73" s="686"/>
      <c r="E73" s="686"/>
    </row>
    <row r="74" spans="1:5" s="93" customFormat="1" ht="12.75" customHeight="1">
      <c r="A74" s="71" t="s">
        <v>608</v>
      </c>
      <c r="B74" s="68" t="s">
        <v>607</v>
      </c>
      <c r="C74" s="688">
        <f t="shared" ref="C74:E74" si="17">+C73</f>
        <v>0</v>
      </c>
      <c r="D74" s="688">
        <f t="shared" si="17"/>
        <v>0</v>
      </c>
      <c r="E74" s="688">
        <f t="shared" si="17"/>
        <v>0</v>
      </c>
    </row>
    <row r="75" spans="1:5">
      <c r="A75" s="84" t="s">
        <v>274</v>
      </c>
      <c r="B75" s="67" t="s">
        <v>273</v>
      </c>
      <c r="C75" s="690">
        <f>+C76+C77</f>
        <v>364092</v>
      </c>
      <c r="D75" s="690">
        <f t="shared" ref="D75:E75" si="18">+D76+D77</f>
        <v>47666</v>
      </c>
      <c r="E75" s="690">
        <f t="shared" si="18"/>
        <v>411758</v>
      </c>
    </row>
    <row r="76" spans="1:5" s="110" customFormat="1">
      <c r="A76" s="238"/>
      <c r="B76" s="216" t="s">
        <v>415</v>
      </c>
      <c r="C76" s="689">
        <f>4084+2452+1000+750</f>
        <v>8286</v>
      </c>
      <c r="D76" s="689">
        <v>47666</v>
      </c>
      <c r="E76" s="689">
        <f>+C76+D76</f>
        <v>55952</v>
      </c>
    </row>
    <row r="77" spans="1:5" s="110" customFormat="1">
      <c r="A77" s="238"/>
      <c r="B77" s="216" t="s">
        <v>416</v>
      </c>
      <c r="C77" s="689">
        <f>260486+40360+18000+9800+27160</f>
        <v>355806</v>
      </c>
      <c r="D77" s="689"/>
      <c r="E77" s="689">
        <f>+C77+D77</f>
        <v>355806</v>
      </c>
    </row>
    <row r="78" spans="1:5">
      <c r="A78" s="85" t="s">
        <v>275</v>
      </c>
      <c r="B78" s="85" t="s">
        <v>339</v>
      </c>
      <c r="C78" s="688">
        <f>+C75</f>
        <v>364092</v>
      </c>
      <c r="D78" s="688">
        <f t="shared" ref="D78:E78" si="19">+D75</f>
        <v>47666</v>
      </c>
      <c r="E78" s="688">
        <f t="shared" si="19"/>
        <v>411758</v>
      </c>
    </row>
    <row r="79" spans="1:5">
      <c r="A79" s="85" t="s">
        <v>276</v>
      </c>
      <c r="B79" s="71" t="s">
        <v>340</v>
      </c>
      <c r="C79" s="688">
        <f>+C78+C74</f>
        <v>364092</v>
      </c>
      <c r="D79" s="688">
        <f t="shared" ref="D79:E79" si="20">+D78+D74</f>
        <v>47666</v>
      </c>
      <c r="E79" s="688">
        <f t="shared" si="20"/>
        <v>411758</v>
      </c>
    </row>
  </sheetData>
  <mergeCells count="5">
    <mergeCell ref="A1:E1"/>
    <mergeCell ref="A3:A4"/>
    <mergeCell ref="B3:B4"/>
    <mergeCell ref="C3:E3"/>
    <mergeCell ref="C2:E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cellComments="asDisplayed" errors="blank" r:id="rId1"/>
  <headerFooter>
    <oddHeader>&amp;C&amp;"Times New Roman,Félkövér"&amp;14Martonvásár Város Önkormányzatának bevételei 2016.&amp;12
&amp;"Times New Roman,Dőlt"(intézmények nélkül)&amp;R&amp;"Times New Roman,Normál"3.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9"/>
  <sheetViews>
    <sheetView workbookViewId="0">
      <selection activeCell="B24" sqref="B24:C24"/>
    </sheetView>
  </sheetViews>
  <sheetFormatPr defaultColWidth="9.109375" defaultRowHeight="13.8"/>
  <cols>
    <col min="1" max="1" width="43.44140625" style="691" customWidth="1"/>
    <col min="2" max="2" width="15.44140625" style="691" customWidth="1"/>
    <col min="3" max="3" width="13" style="691" customWidth="1"/>
    <col min="4" max="4" width="14.44140625" style="691" customWidth="1"/>
    <col min="5" max="16384" width="9.109375" style="691"/>
  </cols>
  <sheetData>
    <row r="1" spans="1:4" ht="14.4" thickBot="1">
      <c r="D1" s="725" t="s">
        <v>727</v>
      </c>
    </row>
    <row r="2" spans="1:4">
      <c r="A2" s="953" t="s">
        <v>557</v>
      </c>
      <c r="B2" s="954"/>
      <c r="C2" s="955"/>
      <c r="D2" s="956"/>
    </row>
    <row r="3" spans="1:4">
      <c r="A3" s="692"/>
      <c r="B3" s="693"/>
      <c r="C3" s="694"/>
      <c r="D3" s="695"/>
    </row>
    <row r="4" spans="1:4" s="700" customFormat="1" ht="27.75" customHeight="1">
      <c r="A4" s="696" t="s">
        <v>284</v>
      </c>
      <c r="B4" s="697" t="s">
        <v>753</v>
      </c>
      <c r="C4" s="698" t="s">
        <v>754</v>
      </c>
      <c r="D4" s="699" t="s">
        <v>755</v>
      </c>
    </row>
    <row r="5" spans="1:4">
      <c r="A5" s="701" t="s">
        <v>738</v>
      </c>
      <c r="B5" s="702">
        <v>15000000</v>
      </c>
      <c r="C5" s="703"/>
      <c r="D5" s="707">
        <f>+B5+C5</f>
        <v>15000000</v>
      </c>
    </row>
    <row r="6" spans="1:4">
      <c r="A6" s="705"/>
      <c r="B6" s="706"/>
      <c r="C6" s="703"/>
      <c r="D6" s="707">
        <f>+B6+C6</f>
        <v>0</v>
      </c>
    </row>
    <row r="7" spans="1:4">
      <c r="A7" s="701"/>
      <c r="B7" s="702"/>
      <c r="C7" s="703"/>
      <c r="D7" s="707"/>
    </row>
    <row r="8" spans="1:4">
      <c r="A8" s="701"/>
      <c r="B8" s="702"/>
      <c r="C8" s="703"/>
      <c r="D8" s="707"/>
    </row>
    <row r="9" spans="1:4">
      <c r="A9" s="701"/>
      <c r="B9" s="702"/>
      <c r="C9" s="703"/>
      <c r="D9" s="707"/>
    </row>
    <row r="10" spans="1:4" ht="14.4" thickBot="1">
      <c r="A10" s="708" t="s">
        <v>181</v>
      </c>
      <c r="B10" s="709">
        <f>SUM(B5:B9)</f>
        <v>15000000</v>
      </c>
      <c r="C10" s="709">
        <f>SUM(C5:C9)</f>
        <v>0</v>
      </c>
      <c r="D10" s="726">
        <f>SUM(D5:D9)</f>
        <v>15000000</v>
      </c>
    </row>
    <row r="11" spans="1:4">
      <c r="A11" s="710"/>
      <c r="B11" s="710"/>
      <c r="C11" s="711"/>
      <c r="D11" s="711"/>
    </row>
    <row r="12" spans="1:4" ht="14.4" thickBot="1">
      <c r="A12" s="712"/>
      <c r="B12" s="712"/>
      <c r="C12" s="712"/>
      <c r="D12" s="713"/>
    </row>
    <row r="13" spans="1:4">
      <c r="A13" s="953" t="s">
        <v>558</v>
      </c>
      <c r="B13" s="954"/>
      <c r="C13" s="955"/>
      <c r="D13" s="956"/>
    </row>
    <row r="14" spans="1:4">
      <c r="A14" s="692"/>
      <c r="B14" s="693"/>
      <c r="C14" s="694"/>
      <c r="D14" s="695"/>
    </row>
    <row r="15" spans="1:4" ht="26.4">
      <c r="A15" s="696" t="s">
        <v>284</v>
      </c>
      <c r="B15" s="697" t="s">
        <v>753</v>
      </c>
      <c r="C15" s="698" t="s">
        <v>754</v>
      </c>
      <c r="D15" s="699" t="s">
        <v>755</v>
      </c>
    </row>
    <row r="16" spans="1:4" s="700" customFormat="1" ht="27.75" customHeight="1">
      <c r="A16" s="692"/>
      <c r="B16" s="714"/>
      <c r="C16" s="715"/>
      <c r="D16" s="704"/>
    </row>
    <row r="17" spans="1:4">
      <c r="A17" s="692"/>
      <c r="B17" s="714"/>
      <c r="C17" s="715"/>
      <c r="D17" s="704"/>
    </row>
    <row r="18" spans="1:4">
      <c r="A18" s="692"/>
      <c r="B18" s="714"/>
      <c r="C18" s="715"/>
      <c r="D18" s="704"/>
    </row>
    <row r="19" spans="1:4">
      <c r="A19" s="692"/>
      <c r="B19" s="714"/>
      <c r="C19" s="715"/>
      <c r="D19" s="704"/>
    </row>
    <row r="20" spans="1:4" ht="14.4" thickBot="1">
      <c r="A20" s="708" t="s">
        <v>181</v>
      </c>
      <c r="B20" s="709">
        <f>SUM(B16:B19)</f>
        <v>0</v>
      </c>
      <c r="C20" s="709">
        <f>SUM(C16:C19)</f>
        <v>0</v>
      </c>
      <c r="D20" s="726">
        <f>SUM(D16:D19)</f>
        <v>0</v>
      </c>
    </row>
    <row r="21" spans="1:4">
      <c r="A21" s="716"/>
      <c r="B21" s="716"/>
      <c r="C21" s="717"/>
      <c r="D21" s="717"/>
    </row>
    <row r="22" spans="1:4" ht="14.4" thickBot="1">
      <c r="A22" s="712"/>
      <c r="B22" s="712"/>
      <c r="C22" s="712"/>
      <c r="D22" s="713"/>
    </row>
    <row r="23" spans="1:4">
      <c r="A23" s="957" t="s">
        <v>559</v>
      </c>
      <c r="B23" s="958"/>
      <c r="C23" s="958"/>
      <c r="D23" s="959"/>
    </row>
    <row r="24" spans="1:4">
      <c r="A24" s="718"/>
      <c r="B24" s="719"/>
      <c r="C24" s="719"/>
      <c r="D24" s="720"/>
    </row>
    <row r="25" spans="1:4" ht="26.4">
      <c r="A25" s="696" t="s">
        <v>284</v>
      </c>
      <c r="B25" s="697" t="s">
        <v>753</v>
      </c>
      <c r="C25" s="698" t="s">
        <v>754</v>
      </c>
      <c r="D25" s="699" t="s">
        <v>755</v>
      </c>
    </row>
    <row r="26" spans="1:4" s="700" customFormat="1" ht="27.75" customHeight="1">
      <c r="A26" s="692" t="s">
        <v>539</v>
      </c>
      <c r="B26" s="721">
        <v>42500</v>
      </c>
      <c r="C26" s="722"/>
      <c r="D26" s="727">
        <f>+B26+C26</f>
        <v>42500</v>
      </c>
    </row>
    <row r="27" spans="1:4">
      <c r="A27" s="692"/>
      <c r="B27" s="721"/>
      <c r="C27" s="722"/>
      <c r="D27" s="727"/>
    </row>
    <row r="28" spans="1:4" ht="14.4" thickBot="1">
      <c r="A28" s="708" t="s">
        <v>181</v>
      </c>
      <c r="B28" s="723">
        <f>SUM(B26:B27)</f>
        <v>42500</v>
      </c>
      <c r="C28" s="723">
        <f>SUM(C26:C27)</f>
        <v>0</v>
      </c>
      <c r="D28" s="728">
        <f>SUM(D26:D27)</f>
        <v>42500</v>
      </c>
    </row>
    <row r="29" spans="1:4" ht="14.4" thickBot="1">
      <c r="A29" s="712"/>
      <c r="B29" s="712"/>
      <c r="C29" s="712"/>
      <c r="D29" s="712"/>
    </row>
    <row r="30" spans="1:4">
      <c r="A30" s="957" t="s">
        <v>560</v>
      </c>
      <c r="B30" s="958"/>
      <c r="C30" s="958"/>
      <c r="D30" s="959"/>
    </row>
    <row r="31" spans="1:4">
      <c r="A31" s="718"/>
      <c r="B31" s="719"/>
      <c r="C31" s="719"/>
      <c r="D31" s="720"/>
    </row>
    <row r="32" spans="1:4" ht="26.4">
      <c r="A32" s="696" t="s">
        <v>284</v>
      </c>
      <c r="B32" s="697" t="s">
        <v>753</v>
      </c>
      <c r="C32" s="698" t="s">
        <v>754</v>
      </c>
      <c r="D32" s="699" t="s">
        <v>755</v>
      </c>
    </row>
    <row r="33" spans="1:4" s="700" customFormat="1" ht="27.75" customHeight="1">
      <c r="A33" s="724"/>
      <c r="B33" s="721"/>
      <c r="C33" s="722"/>
      <c r="D33" s="727"/>
    </row>
    <row r="34" spans="1:4">
      <c r="A34" s="692"/>
      <c r="B34" s="721"/>
      <c r="C34" s="722"/>
      <c r="D34" s="727"/>
    </row>
    <row r="35" spans="1:4">
      <c r="A35" s="692"/>
      <c r="B35" s="721"/>
      <c r="C35" s="722"/>
      <c r="D35" s="727"/>
    </row>
    <row r="36" spans="1:4">
      <c r="A36" s="692"/>
      <c r="B36" s="721"/>
      <c r="C36" s="722"/>
      <c r="D36" s="727"/>
    </row>
    <row r="37" spans="1:4" ht="14.4" thickBot="1">
      <c r="A37" s="708" t="s">
        <v>181</v>
      </c>
      <c r="B37" s="723">
        <f>SUM(B33:B36)</f>
        <v>0</v>
      </c>
      <c r="C37" s="723">
        <f t="shared" ref="C37:D37" si="0">SUM(C33:C36)</f>
        <v>0</v>
      </c>
      <c r="D37" s="728">
        <f t="shared" si="0"/>
        <v>0</v>
      </c>
    </row>
    <row r="38" spans="1:4">
      <c r="A38" s="712"/>
      <c r="B38" s="712"/>
      <c r="C38" s="712"/>
      <c r="D38" s="712"/>
    </row>
    <row r="39" spans="1:4">
      <c r="A39" s="712"/>
      <c r="B39" s="712"/>
      <c r="C39" s="712"/>
      <c r="D39" s="712"/>
    </row>
  </sheetData>
  <mergeCells count="4">
    <mergeCell ref="A2:D2"/>
    <mergeCell ref="A13:D13"/>
    <mergeCell ref="A23:D23"/>
    <mergeCell ref="A30:D3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>
    <oddHeader>&amp;C&amp;"Times New Roman,Félkövér"&amp;12Martonvásár Város Önkormányzat véglegesen átvett pénzeszközeinek részletezése    &amp;R&amp;"Times New Roman,Félkövér"&amp;12
 3/a.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8"/>
  <sheetViews>
    <sheetView workbookViewId="0">
      <selection activeCell="B24" sqref="B24:C24"/>
    </sheetView>
  </sheetViews>
  <sheetFormatPr defaultColWidth="9.109375" defaultRowHeight="13.2"/>
  <cols>
    <col min="1" max="1" width="39.88671875" style="730" customWidth="1"/>
    <col min="2" max="2" width="13.109375" style="730" customWidth="1"/>
    <col min="3" max="3" width="14.6640625" style="730" customWidth="1"/>
    <col min="4" max="4" width="13.109375" style="730" customWidth="1"/>
    <col min="5" max="16384" width="9.109375" style="730"/>
  </cols>
  <sheetData>
    <row r="1" spans="1:4" ht="13.5" customHeight="1" thickBot="1">
      <c r="A1" s="729"/>
      <c r="B1" s="729"/>
      <c r="C1" s="960" t="s">
        <v>727</v>
      </c>
      <c r="D1" s="960"/>
    </row>
    <row r="2" spans="1:4" s="733" customFormat="1" ht="26.4">
      <c r="A2" s="569" t="s">
        <v>284</v>
      </c>
      <c r="B2" s="731" t="s">
        <v>753</v>
      </c>
      <c r="C2" s="732" t="s">
        <v>756</v>
      </c>
      <c r="D2" s="743" t="s">
        <v>757</v>
      </c>
    </row>
    <row r="3" spans="1:4">
      <c r="A3" s="705" t="s">
        <v>561</v>
      </c>
      <c r="B3" s="706">
        <v>1495300</v>
      </c>
      <c r="C3" s="734"/>
      <c r="D3" s="744">
        <f>+B3+C3</f>
        <v>1495300</v>
      </c>
    </row>
    <row r="4" spans="1:4">
      <c r="A4" s="705" t="s">
        <v>629</v>
      </c>
      <c r="B4" s="706">
        <v>1000000</v>
      </c>
      <c r="C4" s="734"/>
      <c r="D4" s="744">
        <f t="shared" ref="D4:D22" si="0">+B4+C4</f>
        <v>1000000</v>
      </c>
    </row>
    <row r="5" spans="1:4">
      <c r="A5" s="705" t="s">
        <v>562</v>
      </c>
      <c r="B5" s="706">
        <v>15150000</v>
      </c>
      <c r="C5" s="734"/>
      <c r="D5" s="744">
        <f t="shared" si="0"/>
        <v>15150000</v>
      </c>
    </row>
    <row r="6" spans="1:4">
      <c r="A6" s="705" t="s">
        <v>622</v>
      </c>
      <c r="B6" s="706">
        <v>4847000</v>
      </c>
      <c r="C6" s="734"/>
      <c r="D6" s="744">
        <f t="shared" si="0"/>
        <v>4847000</v>
      </c>
    </row>
    <row r="7" spans="1:4" ht="15" customHeight="1">
      <c r="A7" s="705" t="s">
        <v>540</v>
      </c>
      <c r="B7" s="706">
        <v>2800000</v>
      </c>
      <c r="C7" s="734"/>
      <c r="D7" s="744">
        <f t="shared" si="0"/>
        <v>2800000</v>
      </c>
    </row>
    <row r="8" spans="1:4">
      <c r="A8" s="705" t="s">
        <v>541</v>
      </c>
      <c r="B8" s="706">
        <v>0</v>
      </c>
      <c r="C8" s="734"/>
      <c r="D8" s="744">
        <f t="shared" si="0"/>
        <v>0</v>
      </c>
    </row>
    <row r="9" spans="1:4">
      <c r="A9" s="705" t="s">
        <v>612</v>
      </c>
      <c r="B9" s="706">
        <v>2192000</v>
      </c>
      <c r="C9" s="734"/>
      <c r="D9" s="744">
        <f t="shared" si="0"/>
        <v>2192000</v>
      </c>
    </row>
    <row r="10" spans="1:4">
      <c r="A10" s="705" t="s">
        <v>563</v>
      </c>
      <c r="B10" s="706">
        <v>5631000</v>
      </c>
      <c r="C10" s="734"/>
      <c r="D10" s="744">
        <f t="shared" si="0"/>
        <v>5631000</v>
      </c>
    </row>
    <row r="11" spans="1:4">
      <c r="A11" s="705" t="s">
        <v>634</v>
      </c>
      <c r="B11" s="706">
        <v>250000</v>
      </c>
      <c r="C11" s="734">
        <v>138750</v>
      </c>
      <c r="D11" s="744">
        <f t="shared" si="0"/>
        <v>388750</v>
      </c>
    </row>
    <row r="12" spans="1:4">
      <c r="A12" s="705" t="s">
        <v>1038</v>
      </c>
      <c r="B12" s="706"/>
      <c r="C12" s="734">
        <v>52800</v>
      </c>
      <c r="D12" s="744">
        <f t="shared" si="0"/>
        <v>52800</v>
      </c>
    </row>
    <row r="13" spans="1:4">
      <c r="A13" s="705" t="s">
        <v>1039</v>
      </c>
      <c r="B13" s="706"/>
      <c r="C13" s="734">
        <v>40000</v>
      </c>
      <c r="D13" s="744">
        <f t="shared" si="0"/>
        <v>40000</v>
      </c>
    </row>
    <row r="14" spans="1:4">
      <c r="A14" s="705" t="s">
        <v>1040</v>
      </c>
      <c r="B14" s="706"/>
      <c r="C14" s="734">
        <v>123200</v>
      </c>
      <c r="D14" s="744">
        <f t="shared" ref="D14" si="1">+B14+C14</f>
        <v>123200</v>
      </c>
    </row>
    <row r="15" spans="1:4">
      <c r="A15" s="705" t="s">
        <v>1041</v>
      </c>
      <c r="B15" s="735">
        <v>100000</v>
      </c>
      <c r="C15" s="734"/>
      <c r="D15" s="744">
        <f t="shared" si="0"/>
        <v>100000</v>
      </c>
    </row>
    <row r="16" spans="1:4">
      <c r="A16" s="705" t="s">
        <v>1042</v>
      </c>
      <c r="B16" s="735">
        <v>1000000</v>
      </c>
      <c r="C16" s="736"/>
      <c r="D16" s="744">
        <f t="shared" si="0"/>
        <v>1000000</v>
      </c>
    </row>
    <row r="17" spans="1:4">
      <c r="A17" s="705" t="s">
        <v>1043</v>
      </c>
      <c r="B17" s="735">
        <v>150000</v>
      </c>
      <c r="C17" s="736">
        <v>12780</v>
      </c>
      <c r="D17" s="744">
        <f t="shared" si="0"/>
        <v>162780</v>
      </c>
    </row>
    <row r="18" spans="1:4">
      <c r="A18" s="705" t="s">
        <v>1044</v>
      </c>
      <c r="B18" s="735">
        <v>300000</v>
      </c>
      <c r="C18" s="736">
        <v>465178</v>
      </c>
      <c r="D18" s="744">
        <f t="shared" si="0"/>
        <v>765178</v>
      </c>
    </row>
    <row r="19" spans="1:4">
      <c r="A19" s="705" t="s">
        <v>1048</v>
      </c>
      <c r="B19" s="735"/>
      <c r="C19" s="736">
        <v>156456</v>
      </c>
      <c r="D19" s="744">
        <f t="shared" si="0"/>
        <v>156456</v>
      </c>
    </row>
    <row r="20" spans="1:4">
      <c r="A20" s="705" t="s">
        <v>1045</v>
      </c>
      <c r="B20" s="735"/>
      <c r="C20" s="736">
        <v>40000</v>
      </c>
      <c r="D20" s="744">
        <f t="shared" ref="D20" si="2">+B20+C20</f>
        <v>40000</v>
      </c>
    </row>
    <row r="21" spans="1:4">
      <c r="A21" s="705" t="s">
        <v>1046</v>
      </c>
      <c r="B21" s="735">
        <v>338000</v>
      </c>
      <c r="C21" s="736">
        <v>10800</v>
      </c>
      <c r="D21" s="744">
        <f t="shared" si="0"/>
        <v>348800</v>
      </c>
    </row>
    <row r="22" spans="1:4">
      <c r="A22" s="705" t="s">
        <v>1047</v>
      </c>
      <c r="B22" s="735">
        <v>338000</v>
      </c>
      <c r="C22" s="736"/>
      <c r="D22" s="744">
        <f t="shared" si="0"/>
        <v>338000</v>
      </c>
    </row>
    <row r="23" spans="1:4">
      <c r="A23" s="705"/>
      <c r="B23" s="745"/>
      <c r="C23" s="736"/>
      <c r="D23" s="744"/>
    </row>
    <row r="24" spans="1:4">
      <c r="A24" s="705"/>
      <c r="B24" s="706"/>
      <c r="C24" s="736"/>
      <c r="D24" s="746"/>
    </row>
    <row r="25" spans="1:4">
      <c r="A25" s="705"/>
      <c r="B25" s="706"/>
      <c r="C25" s="736"/>
      <c r="D25" s="746"/>
    </row>
    <row r="26" spans="1:4">
      <c r="A26" s="705"/>
      <c r="B26" s="737"/>
      <c r="C26" s="736"/>
      <c r="D26" s="746"/>
    </row>
    <row r="27" spans="1:4" ht="13.8" thickBot="1">
      <c r="A27" s="738" t="s">
        <v>542</v>
      </c>
      <c r="B27" s="739">
        <f>SUM(B3:B26)</f>
        <v>35591300</v>
      </c>
      <c r="C27" s="740">
        <f>SUM(C3:C26)</f>
        <v>1039964</v>
      </c>
      <c r="D27" s="747">
        <f>SUM(D3:D26)</f>
        <v>36631264</v>
      </c>
    </row>
    <row r="29" spans="1:4" ht="13.8" thickBot="1"/>
    <row r="30" spans="1:4">
      <c r="A30" s="748" t="s">
        <v>758</v>
      </c>
      <c r="B30" s="752">
        <v>21000000</v>
      </c>
      <c r="C30" s="749"/>
      <c r="D30" s="750">
        <f>+B30+C30</f>
        <v>21000000</v>
      </c>
    </row>
    <row r="31" spans="1:4">
      <c r="A31" s="741"/>
      <c r="B31" s="753"/>
      <c r="C31" s="742"/>
      <c r="D31" s="751"/>
    </row>
    <row r="32" spans="1:4" ht="13.8" thickBot="1">
      <c r="A32" s="738" t="s">
        <v>543</v>
      </c>
      <c r="B32" s="739">
        <f>SUM(B30:B31)</f>
        <v>21000000</v>
      </c>
      <c r="C32" s="739">
        <f>SUM(C30:C31)</f>
        <v>0</v>
      </c>
      <c r="D32" s="747">
        <f>SUM(D30:D31)</f>
        <v>21000000</v>
      </c>
    </row>
    <row r="38" spans="1:1">
      <c r="A38" s="730" t="s">
        <v>544</v>
      </c>
    </row>
  </sheetData>
  <mergeCells count="1">
    <mergeCell ref="C1:D1"/>
  </mergeCells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intézményi bevételeinek részletezése    &amp;R&amp;"Times New Roman,Félkövér"&amp;10
 3/b.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workbookViewId="0">
      <selection activeCell="B24" sqref="B24:C24"/>
    </sheetView>
  </sheetViews>
  <sheetFormatPr defaultColWidth="9.109375" defaultRowHeight="13.2"/>
  <cols>
    <col min="1" max="1" width="39.33203125" style="556" customWidth="1"/>
    <col min="2" max="2" width="15.109375" style="556" customWidth="1"/>
    <col min="3" max="3" width="16.6640625" style="556" customWidth="1"/>
    <col min="4" max="4" width="15.6640625" style="556" customWidth="1"/>
    <col min="5" max="16384" width="9.109375" style="556"/>
  </cols>
  <sheetData>
    <row r="1" spans="1:4" ht="15.75" customHeight="1" thickBot="1">
      <c r="D1" s="672" t="s">
        <v>727</v>
      </c>
    </row>
    <row r="2" spans="1:4" s="568" customFormat="1" ht="26.4">
      <c r="A2" s="569" t="s">
        <v>284</v>
      </c>
      <c r="B2" s="731" t="s">
        <v>753</v>
      </c>
      <c r="C2" s="732" t="s">
        <v>756</v>
      </c>
      <c r="D2" s="743" t="s">
        <v>757</v>
      </c>
    </row>
    <row r="3" spans="1:4">
      <c r="A3" s="557" t="s">
        <v>545</v>
      </c>
      <c r="B3" s="558">
        <v>19000000</v>
      </c>
      <c r="C3" s="559"/>
      <c r="D3" s="754">
        <f>+B3+C33</f>
        <v>19000000</v>
      </c>
    </row>
    <row r="4" spans="1:4">
      <c r="A4" s="557" t="s">
        <v>546</v>
      </c>
      <c r="B4" s="558">
        <v>76900000</v>
      </c>
      <c r="C4" s="559"/>
      <c r="D4" s="754">
        <f t="shared" ref="D4:D7" si="0">+B4+C34</f>
        <v>76900000</v>
      </c>
    </row>
    <row r="5" spans="1:4">
      <c r="A5" s="557" t="s">
        <v>547</v>
      </c>
      <c r="B5" s="558">
        <v>51900000</v>
      </c>
      <c r="C5" s="559"/>
      <c r="D5" s="754">
        <f t="shared" si="0"/>
        <v>51900000</v>
      </c>
    </row>
    <row r="6" spans="1:4">
      <c r="A6" s="557" t="s">
        <v>548</v>
      </c>
      <c r="B6" s="558"/>
      <c r="C6" s="559"/>
      <c r="D6" s="754">
        <f>+B6+C36</f>
        <v>0</v>
      </c>
    </row>
    <row r="7" spans="1:4">
      <c r="A7" s="557" t="s">
        <v>549</v>
      </c>
      <c r="B7" s="558">
        <v>115000000</v>
      </c>
      <c r="C7" s="559"/>
      <c r="D7" s="754">
        <f t="shared" si="0"/>
        <v>115000000</v>
      </c>
    </row>
    <row r="8" spans="1:4">
      <c r="A8" s="563" t="s">
        <v>550</v>
      </c>
      <c r="B8" s="564">
        <f>SUM(B3:B7)</f>
        <v>262800000</v>
      </c>
      <c r="C8" s="565">
        <f t="shared" ref="C8:D8" si="1">SUM(C3:C7)</f>
        <v>0</v>
      </c>
      <c r="D8" s="755">
        <f t="shared" si="1"/>
        <v>262800000</v>
      </c>
    </row>
    <row r="9" spans="1:4">
      <c r="A9" s="557"/>
      <c r="B9" s="558"/>
      <c r="C9" s="559"/>
      <c r="D9" s="754"/>
    </row>
    <row r="10" spans="1:4">
      <c r="A10" s="557" t="s">
        <v>551</v>
      </c>
      <c r="B10" s="558">
        <v>18000000</v>
      </c>
      <c r="C10" s="559"/>
      <c r="D10" s="754">
        <f>+B10+C10</f>
        <v>18000000</v>
      </c>
    </row>
    <row r="11" spans="1:4">
      <c r="A11" s="563" t="s">
        <v>552</v>
      </c>
      <c r="B11" s="564">
        <f>+B10</f>
        <v>18000000</v>
      </c>
      <c r="C11" s="565">
        <f t="shared" ref="C11:D11" si="2">+C10</f>
        <v>0</v>
      </c>
      <c r="D11" s="755">
        <f t="shared" si="2"/>
        <v>18000000</v>
      </c>
    </row>
    <row r="12" spans="1:4">
      <c r="A12" s="557"/>
      <c r="B12" s="558"/>
      <c r="C12" s="559"/>
      <c r="D12" s="754"/>
    </row>
    <row r="13" spans="1:4">
      <c r="A13" s="557" t="s">
        <v>564</v>
      </c>
      <c r="B13" s="558">
        <v>1700000</v>
      </c>
      <c r="C13" s="559"/>
      <c r="D13" s="754">
        <f>+B13+C13</f>
        <v>1700000</v>
      </c>
    </row>
    <row r="14" spans="1:4" ht="13.5" customHeight="1">
      <c r="A14" s="557" t="s">
        <v>553</v>
      </c>
      <c r="B14" s="558">
        <v>2000000</v>
      </c>
      <c r="C14" s="559"/>
      <c r="D14" s="754">
        <f>+B14+C14</f>
        <v>2000000</v>
      </c>
    </row>
    <row r="15" spans="1:4" ht="13.5" customHeight="1">
      <c r="A15" s="557" t="s">
        <v>554</v>
      </c>
      <c r="B15" s="558"/>
      <c r="C15" s="559"/>
      <c r="D15" s="754"/>
    </row>
    <row r="16" spans="1:4">
      <c r="A16" s="563" t="s">
        <v>555</v>
      </c>
      <c r="B16" s="564">
        <f>SUM(B13:B15)</f>
        <v>3700000</v>
      </c>
      <c r="C16" s="565">
        <f t="shared" ref="C16:D16" si="3">SUM(C13:C15)</f>
        <v>0</v>
      </c>
      <c r="D16" s="755">
        <f t="shared" si="3"/>
        <v>3700000</v>
      </c>
    </row>
    <row r="17" spans="1:4">
      <c r="A17" s="557"/>
      <c r="B17" s="558"/>
      <c r="C17" s="559"/>
      <c r="D17" s="754"/>
    </row>
    <row r="18" spans="1:4" ht="13.8" thickBot="1">
      <c r="A18" s="560" t="s">
        <v>556</v>
      </c>
      <c r="B18" s="561">
        <f>+B16+B11+B8</f>
        <v>284500000</v>
      </c>
      <c r="C18" s="562">
        <f t="shared" ref="C18:D18" si="4">+C16+C11+C8</f>
        <v>0</v>
      </c>
      <c r="D18" s="756">
        <f t="shared" si="4"/>
        <v>284500000</v>
      </c>
    </row>
    <row r="19" spans="1:4">
      <c r="D19" s="566"/>
    </row>
    <row r="20" spans="1:4">
      <c r="D20" s="566"/>
    </row>
    <row r="21" spans="1:4">
      <c r="D21" s="566"/>
    </row>
  </sheetData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>
    <oddHeader>&amp;C&amp;"Times New Roman,Félkövér"&amp;12Martonvásár Város Önkormányzat közhatalmi bevételeinek részletezése    &amp;R&amp;"Times New Roman,Félkövér"&amp;10
3/c 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8"/>
  <sheetViews>
    <sheetView zoomScale="80" zoomScaleNormal="80" zoomScalePageLayoutView="70" workbookViewId="0">
      <selection activeCell="B24" sqref="B24:C24"/>
    </sheetView>
  </sheetViews>
  <sheetFormatPr defaultColWidth="9.109375" defaultRowHeight="13.2"/>
  <cols>
    <col min="1" max="1" width="36.6640625" style="486" customWidth="1"/>
    <col min="2" max="4" width="12.6640625" style="488" customWidth="1"/>
    <col min="5" max="7" width="14.33203125" style="486" customWidth="1"/>
    <col min="8" max="10" width="14.33203125" style="487" customWidth="1"/>
    <col min="11" max="16384" width="9.109375" style="486"/>
  </cols>
  <sheetData>
    <row r="1" spans="1:10" ht="53.25" customHeight="1">
      <c r="A1" s="961" t="s">
        <v>565</v>
      </c>
      <c r="B1" s="963" t="s">
        <v>683</v>
      </c>
      <c r="C1" s="963"/>
      <c r="D1" s="964"/>
      <c r="E1" s="963" t="s">
        <v>684</v>
      </c>
      <c r="F1" s="963"/>
      <c r="G1" s="963"/>
      <c r="H1" s="965" t="s">
        <v>282</v>
      </c>
      <c r="I1" s="966"/>
      <c r="J1" s="967"/>
    </row>
    <row r="2" spans="1:10" s="487" customFormat="1" ht="39.75" customHeight="1">
      <c r="A2" s="962"/>
      <c r="B2" s="493" t="s">
        <v>178</v>
      </c>
      <c r="C2" s="493" t="s">
        <v>750</v>
      </c>
      <c r="D2" s="493" t="s">
        <v>1031</v>
      </c>
      <c r="E2" s="493" t="s">
        <v>178</v>
      </c>
      <c r="F2" s="494" t="s">
        <v>750</v>
      </c>
      <c r="G2" s="494" t="s">
        <v>1031</v>
      </c>
      <c r="H2" s="861" t="s">
        <v>178</v>
      </c>
      <c r="I2" s="861" t="s">
        <v>750</v>
      </c>
      <c r="J2" s="861" t="s">
        <v>1031</v>
      </c>
    </row>
    <row r="3" spans="1:10" ht="16.5" customHeight="1">
      <c r="A3" s="495" t="s">
        <v>566</v>
      </c>
      <c r="B3" s="496">
        <v>100256200</v>
      </c>
      <c r="C3" s="496"/>
      <c r="D3" s="496">
        <f>+B3+C3</f>
        <v>100256200</v>
      </c>
      <c r="E3" s="497">
        <v>0</v>
      </c>
      <c r="F3" s="497"/>
      <c r="G3" s="497">
        <f>+E3+F3</f>
        <v>0</v>
      </c>
      <c r="H3" s="628">
        <f>+B3+E3</f>
        <v>100256200</v>
      </c>
      <c r="I3" s="628">
        <f>+C3+F3</f>
        <v>0</v>
      </c>
      <c r="J3" s="628">
        <f>+D3+G3</f>
        <v>100256200</v>
      </c>
    </row>
    <row r="4" spans="1:10" ht="16.5" customHeight="1">
      <c r="A4" s="498" t="s">
        <v>567</v>
      </c>
      <c r="B4" s="499">
        <v>26278582</v>
      </c>
      <c r="C4" s="499"/>
      <c r="D4" s="496">
        <f t="shared" ref="D4:D12" si="0">+B4+C4</f>
        <v>26278582</v>
      </c>
      <c r="E4" s="500">
        <v>0</v>
      </c>
      <c r="F4" s="500"/>
      <c r="G4" s="500">
        <f t="shared" ref="G4:G12" si="1">+E4+F4</f>
        <v>0</v>
      </c>
      <c r="H4" s="628">
        <f t="shared" ref="H4:J43" si="2">+B4+E4</f>
        <v>26278582</v>
      </c>
      <c r="I4" s="628">
        <f t="shared" si="2"/>
        <v>0</v>
      </c>
      <c r="J4" s="628">
        <f t="shared" si="2"/>
        <v>26278582</v>
      </c>
    </row>
    <row r="5" spans="1:10" s="531" customFormat="1" ht="16.5" customHeight="1">
      <c r="A5" s="528" t="s">
        <v>600</v>
      </c>
      <c r="B5" s="529">
        <v>7858520</v>
      </c>
      <c r="C5" s="529"/>
      <c r="D5" s="496">
        <f t="shared" si="0"/>
        <v>7858520</v>
      </c>
      <c r="E5" s="530">
        <v>0</v>
      </c>
      <c r="F5" s="530"/>
      <c r="G5" s="500">
        <f t="shared" si="1"/>
        <v>0</v>
      </c>
      <c r="H5" s="628">
        <f t="shared" si="2"/>
        <v>7858520</v>
      </c>
      <c r="I5" s="628">
        <f t="shared" si="2"/>
        <v>0</v>
      </c>
      <c r="J5" s="628">
        <f t="shared" si="2"/>
        <v>7858520</v>
      </c>
    </row>
    <row r="6" spans="1:10" s="531" customFormat="1" ht="16.5" customHeight="1">
      <c r="A6" s="528" t="s">
        <v>602</v>
      </c>
      <c r="B6" s="529">
        <v>10624000</v>
      </c>
      <c r="C6" s="529"/>
      <c r="D6" s="496">
        <f t="shared" si="0"/>
        <v>10624000</v>
      </c>
      <c r="E6" s="530">
        <v>0</v>
      </c>
      <c r="F6" s="530"/>
      <c r="G6" s="500">
        <f t="shared" si="1"/>
        <v>0</v>
      </c>
      <c r="H6" s="628">
        <f t="shared" si="2"/>
        <v>10624000</v>
      </c>
      <c r="I6" s="628">
        <f t="shared" si="2"/>
        <v>0</v>
      </c>
      <c r="J6" s="628">
        <f t="shared" si="2"/>
        <v>10624000</v>
      </c>
    </row>
    <row r="7" spans="1:10" s="531" customFormat="1" ht="16.5" customHeight="1">
      <c r="A7" s="528" t="s">
        <v>603</v>
      </c>
      <c r="B7" s="529">
        <v>1539942</v>
      </c>
      <c r="C7" s="529"/>
      <c r="D7" s="499">
        <f t="shared" si="0"/>
        <v>1539942</v>
      </c>
      <c r="E7" s="530">
        <v>0</v>
      </c>
      <c r="F7" s="530"/>
      <c r="G7" s="500">
        <f t="shared" si="1"/>
        <v>0</v>
      </c>
      <c r="H7" s="628">
        <f t="shared" si="2"/>
        <v>1539942</v>
      </c>
      <c r="I7" s="628">
        <f t="shared" si="2"/>
        <v>0</v>
      </c>
      <c r="J7" s="628">
        <f t="shared" si="2"/>
        <v>1539942</v>
      </c>
    </row>
    <row r="8" spans="1:10" s="531" customFormat="1" ht="16.5" customHeight="1">
      <c r="A8" s="528" t="s">
        <v>601</v>
      </c>
      <c r="B8" s="529">
        <v>6256120</v>
      </c>
      <c r="C8" s="529"/>
      <c r="D8" s="499">
        <f t="shared" si="0"/>
        <v>6256120</v>
      </c>
      <c r="E8" s="530">
        <v>0</v>
      </c>
      <c r="F8" s="530"/>
      <c r="G8" s="500">
        <f t="shared" si="1"/>
        <v>0</v>
      </c>
      <c r="H8" s="628">
        <f t="shared" si="2"/>
        <v>6256120</v>
      </c>
      <c r="I8" s="628">
        <f t="shared" si="2"/>
        <v>0</v>
      </c>
      <c r="J8" s="628">
        <f t="shared" si="2"/>
        <v>6256120</v>
      </c>
    </row>
    <row r="9" spans="1:10" ht="26.25" customHeight="1">
      <c r="A9" s="668" t="s">
        <v>568</v>
      </c>
      <c r="B9" s="669">
        <v>-21439942</v>
      </c>
      <c r="C9" s="669"/>
      <c r="D9" s="499">
        <f t="shared" si="0"/>
        <v>-21439942</v>
      </c>
      <c r="E9" s="670">
        <v>0</v>
      </c>
      <c r="F9" s="670"/>
      <c r="G9" s="500">
        <f t="shared" si="1"/>
        <v>0</v>
      </c>
      <c r="H9" s="671">
        <f t="shared" si="2"/>
        <v>-21439942</v>
      </c>
      <c r="I9" s="671">
        <f t="shared" si="2"/>
        <v>0</v>
      </c>
      <c r="J9" s="671">
        <f t="shared" si="2"/>
        <v>-21439942</v>
      </c>
    </row>
    <row r="10" spans="1:10" ht="16.5" customHeight="1">
      <c r="A10" s="501" t="s">
        <v>569</v>
      </c>
      <c r="B10" s="502">
        <v>15214500</v>
      </c>
      <c r="C10" s="502"/>
      <c r="D10" s="502">
        <f t="shared" si="0"/>
        <v>15214500</v>
      </c>
      <c r="E10" s="503">
        <v>0</v>
      </c>
      <c r="F10" s="503"/>
      <c r="G10" s="503">
        <f t="shared" si="1"/>
        <v>0</v>
      </c>
      <c r="H10" s="628">
        <f t="shared" si="2"/>
        <v>15214500</v>
      </c>
      <c r="I10" s="628">
        <f t="shared" si="2"/>
        <v>0</v>
      </c>
      <c r="J10" s="628">
        <f t="shared" si="2"/>
        <v>15214500</v>
      </c>
    </row>
    <row r="11" spans="1:10" s="487" customFormat="1" ht="16.5" customHeight="1">
      <c r="A11" s="504" t="s">
        <v>586</v>
      </c>
      <c r="B11" s="505">
        <v>10850</v>
      </c>
      <c r="C11" s="505"/>
      <c r="D11" s="505">
        <f t="shared" si="0"/>
        <v>10850</v>
      </c>
      <c r="E11" s="506">
        <v>0</v>
      </c>
      <c r="F11" s="506"/>
      <c r="G11" s="506">
        <f t="shared" si="1"/>
        <v>0</v>
      </c>
      <c r="H11" s="628">
        <f t="shared" si="2"/>
        <v>10850</v>
      </c>
      <c r="I11" s="628">
        <f t="shared" si="2"/>
        <v>0</v>
      </c>
      <c r="J11" s="628">
        <f t="shared" si="2"/>
        <v>10850</v>
      </c>
    </row>
    <row r="12" spans="1:10" s="487" customFormat="1" ht="16.5" customHeight="1" thickBot="1">
      <c r="A12" s="636" t="s">
        <v>588</v>
      </c>
      <c r="B12" s="637">
        <v>897600</v>
      </c>
      <c r="C12" s="637"/>
      <c r="D12" s="637">
        <f t="shared" si="0"/>
        <v>897600</v>
      </c>
      <c r="E12" s="638">
        <v>0</v>
      </c>
      <c r="F12" s="638"/>
      <c r="G12" s="638">
        <f t="shared" si="1"/>
        <v>0</v>
      </c>
      <c r="H12" s="629">
        <f t="shared" si="2"/>
        <v>897600</v>
      </c>
      <c r="I12" s="629">
        <f t="shared" si="2"/>
        <v>0</v>
      </c>
      <c r="J12" s="629">
        <f t="shared" si="2"/>
        <v>897600</v>
      </c>
    </row>
    <row r="13" spans="1:10" s="487" customFormat="1" ht="13.8" thickBot="1">
      <c r="A13" s="630" t="s">
        <v>571</v>
      </c>
      <c r="B13" s="523">
        <f>+B3+B4+B9+B10+B11+B12</f>
        <v>121217790</v>
      </c>
      <c r="C13" s="523"/>
      <c r="D13" s="523">
        <f t="shared" ref="D13:J13" si="3">+D3+D4+D9+D10+D11+D12</f>
        <v>121217790</v>
      </c>
      <c r="E13" s="523">
        <f t="shared" ref="E13" si="4">+E3+E4+E9+E10+E11+E12</f>
        <v>0</v>
      </c>
      <c r="F13" s="524"/>
      <c r="G13" s="524">
        <f t="shared" si="3"/>
        <v>0</v>
      </c>
      <c r="H13" s="639">
        <f t="shared" ref="H13:I13" si="5">+H3+H4+H9+H10+H11+H12</f>
        <v>121217790</v>
      </c>
      <c r="I13" s="639">
        <f t="shared" si="5"/>
        <v>0</v>
      </c>
      <c r="J13" s="639">
        <f t="shared" si="3"/>
        <v>121217790</v>
      </c>
    </row>
    <row r="14" spans="1:10" ht="16.5" customHeight="1">
      <c r="A14" s="510" t="s">
        <v>685</v>
      </c>
      <c r="B14" s="496">
        <v>64332800</v>
      </c>
      <c r="C14" s="496"/>
      <c r="D14" s="496">
        <f t="shared" ref="D14:D15" si="6">+B14+C14</f>
        <v>64332800</v>
      </c>
      <c r="E14" s="497">
        <v>69215200</v>
      </c>
      <c r="F14" s="497"/>
      <c r="G14" s="497">
        <f t="shared" ref="G14:G15" si="7">+E14+F14</f>
        <v>69215200</v>
      </c>
      <c r="H14" s="628">
        <f t="shared" si="2"/>
        <v>133548000</v>
      </c>
      <c r="I14" s="628">
        <f t="shared" si="2"/>
        <v>0</v>
      </c>
      <c r="J14" s="628">
        <f t="shared" si="2"/>
        <v>133548000</v>
      </c>
    </row>
    <row r="15" spans="1:10" ht="16.5" customHeight="1">
      <c r="A15" s="511" t="s">
        <v>633</v>
      </c>
      <c r="B15" s="502">
        <v>29438000</v>
      </c>
      <c r="C15" s="502"/>
      <c r="D15" s="502">
        <f t="shared" si="6"/>
        <v>29438000</v>
      </c>
      <c r="E15" s="503">
        <v>35038400</v>
      </c>
      <c r="F15" s="503"/>
      <c r="G15" s="503">
        <f t="shared" si="7"/>
        <v>35038400</v>
      </c>
      <c r="H15" s="629">
        <f t="shared" si="2"/>
        <v>64476400</v>
      </c>
      <c r="I15" s="629">
        <f t="shared" si="2"/>
        <v>0</v>
      </c>
      <c r="J15" s="629">
        <f t="shared" si="2"/>
        <v>64476400</v>
      </c>
    </row>
    <row r="16" spans="1:10" s="487" customFormat="1" ht="16.5" customHeight="1">
      <c r="A16" s="661" t="s">
        <v>572</v>
      </c>
      <c r="B16" s="508">
        <f>SUM(B14:B15)</f>
        <v>93770800</v>
      </c>
      <c r="C16" s="508"/>
      <c r="D16" s="508">
        <f>SUM(D14:D15)</f>
        <v>93770800</v>
      </c>
      <c r="E16" s="508">
        <v>104253600</v>
      </c>
      <c r="F16" s="509"/>
      <c r="G16" s="509">
        <v>104253600</v>
      </c>
      <c r="H16" s="862">
        <f t="shared" si="2"/>
        <v>198024400</v>
      </c>
      <c r="I16" s="862">
        <f t="shared" si="2"/>
        <v>0</v>
      </c>
      <c r="J16" s="862">
        <f t="shared" si="2"/>
        <v>198024400</v>
      </c>
    </row>
    <row r="17" spans="1:10" s="487" customFormat="1" ht="16.5" customHeight="1">
      <c r="A17" s="661" t="s">
        <v>573</v>
      </c>
      <c r="B17" s="508">
        <v>717500</v>
      </c>
      <c r="C17" s="508"/>
      <c r="D17" s="508">
        <f>+B17+C17</f>
        <v>717500</v>
      </c>
      <c r="E17" s="509">
        <v>854000</v>
      </c>
      <c r="F17" s="509"/>
      <c r="G17" s="509">
        <f>+E17+F17</f>
        <v>854000</v>
      </c>
      <c r="H17" s="862">
        <f t="shared" si="2"/>
        <v>1571500</v>
      </c>
      <c r="I17" s="862">
        <f t="shared" si="2"/>
        <v>0</v>
      </c>
      <c r="J17" s="862">
        <f t="shared" si="2"/>
        <v>1571500</v>
      </c>
    </row>
    <row r="18" spans="1:10" s="487" customFormat="1" ht="33.75" customHeight="1">
      <c r="A18" s="667" t="s">
        <v>594</v>
      </c>
      <c r="B18" s="508">
        <v>1856000</v>
      </c>
      <c r="C18" s="508"/>
      <c r="D18" s="508">
        <f>+B18+C18</f>
        <v>1856000</v>
      </c>
      <c r="E18" s="509">
        <v>1920000</v>
      </c>
      <c r="F18" s="509"/>
      <c r="G18" s="509">
        <f>+E18+F18</f>
        <v>1920000</v>
      </c>
      <c r="H18" s="862">
        <f t="shared" si="2"/>
        <v>3776000</v>
      </c>
      <c r="I18" s="862">
        <f t="shared" si="2"/>
        <v>0</v>
      </c>
      <c r="J18" s="862">
        <f t="shared" si="2"/>
        <v>3776000</v>
      </c>
    </row>
    <row r="19" spans="1:10" ht="16.5" customHeight="1">
      <c r="A19" s="510" t="s">
        <v>632</v>
      </c>
      <c r="B19" s="496">
        <v>16800000</v>
      </c>
      <c r="C19" s="496"/>
      <c r="D19" s="496">
        <f t="shared" ref="D19:D20" si="8">+B19+C19</f>
        <v>16800000</v>
      </c>
      <c r="E19" s="497">
        <v>18000000</v>
      </c>
      <c r="F19" s="497"/>
      <c r="G19" s="497">
        <f>+E19+F19</f>
        <v>18000000</v>
      </c>
      <c r="H19" s="628">
        <f t="shared" si="2"/>
        <v>34800000</v>
      </c>
      <c r="I19" s="628">
        <f t="shared" si="2"/>
        <v>0</v>
      </c>
      <c r="J19" s="628">
        <f t="shared" si="2"/>
        <v>34800000</v>
      </c>
    </row>
    <row r="20" spans="1:10" ht="16.5" customHeight="1">
      <c r="A20" s="511" t="s">
        <v>633</v>
      </c>
      <c r="B20" s="502">
        <v>8400000</v>
      </c>
      <c r="C20" s="502"/>
      <c r="D20" s="502">
        <f t="shared" si="8"/>
        <v>8400000</v>
      </c>
      <c r="E20" s="503">
        <v>9000000</v>
      </c>
      <c r="F20" s="503"/>
      <c r="G20" s="503">
        <f>+E20+F20</f>
        <v>9000000</v>
      </c>
      <c r="H20" s="629">
        <f t="shared" si="2"/>
        <v>17400000</v>
      </c>
      <c r="I20" s="629">
        <f t="shared" si="2"/>
        <v>0</v>
      </c>
      <c r="J20" s="629">
        <f t="shared" si="2"/>
        <v>17400000</v>
      </c>
    </row>
    <row r="21" spans="1:10" s="487" customFormat="1" ht="29.25" customHeight="1">
      <c r="A21" s="662" t="s">
        <v>574</v>
      </c>
      <c r="B21" s="508">
        <f t="shared" ref="B21" si="9">SUM(B19:B20)</f>
        <v>25200000</v>
      </c>
      <c r="C21" s="508"/>
      <c r="D21" s="508">
        <f t="shared" ref="D21:G21" si="10">SUM(D19:D20)</f>
        <v>25200000</v>
      </c>
      <c r="E21" s="508">
        <f t="shared" ref="E21" si="11">SUM(E19:E20)</f>
        <v>27000000</v>
      </c>
      <c r="F21" s="509"/>
      <c r="G21" s="509">
        <f t="shared" si="10"/>
        <v>27000000</v>
      </c>
      <c r="H21" s="862">
        <f t="shared" si="2"/>
        <v>52200000</v>
      </c>
      <c r="I21" s="862">
        <f t="shared" si="2"/>
        <v>0</v>
      </c>
      <c r="J21" s="862">
        <f t="shared" si="2"/>
        <v>52200000</v>
      </c>
    </row>
    <row r="22" spans="1:10" ht="16.5" customHeight="1">
      <c r="A22" s="510" t="s">
        <v>632</v>
      </c>
      <c r="B22" s="496">
        <v>12960000</v>
      </c>
      <c r="C22" s="496"/>
      <c r="D22" s="496">
        <f t="shared" ref="D22:D23" si="12">+B22+C22</f>
        <v>12960000</v>
      </c>
      <c r="E22" s="497">
        <v>14293333</v>
      </c>
      <c r="F22" s="497"/>
      <c r="G22" s="497">
        <f>+E22+F22</f>
        <v>14293333</v>
      </c>
      <c r="H22" s="628">
        <f t="shared" si="2"/>
        <v>27253333</v>
      </c>
      <c r="I22" s="628">
        <f t="shared" si="2"/>
        <v>0</v>
      </c>
      <c r="J22" s="628">
        <f t="shared" si="2"/>
        <v>27253333</v>
      </c>
    </row>
    <row r="23" spans="1:10" ht="16.5" customHeight="1">
      <c r="A23" s="511" t="s">
        <v>633</v>
      </c>
      <c r="B23" s="502">
        <v>6053333</v>
      </c>
      <c r="C23" s="502"/>
      <c r="D23" s="502">
        <f t="shared" si="12"/>
        <v>6053333</v>
      </c>
      <c r="E23" s="503">
        <v>7280000</v>
      </c>
      <c r="F23" s="503"/>
      <c r="G23" s="503">
        <f>+E23+F23</f>
        <v>7280000</v>
      </c>
      <c r="H23" s="629">
        <f t="shared" si="2"/>
        <v>13333333</v>
      </c>
      <c r="I23" s="629">
        <f t="shared" si="2"/>
        <v>0</v>
      </c>
      <c r="J23" s="629">
        <f t="shared" si="2"/>
        <v>13333333</v>
      </c>
    </row>
    <row r="24" spans="1:10" s="487" customFormat="1" ht="16.5" customHeight="1">
      <c r="A24" s="661" t="s">
        <v>575</v>
      </c>
      <c r="B24" s="508">
        <f t="shared" ref="B24" si="13">+B22+B23</f>
        <v>19013333</v>
      </c>
      <c r="C24" s="508"/>
      <c r="D24" s="508">
        <f t="shared" ref="D24:G24" si="14">+D22+D23</f>
        <v>19013333</v>
      </c>
      <c r="E24" s="508">
        <f t="shared" ref="E24" si="15">+E22+E23</f>
        <v>21573333</v>
      </c>
      <c r="F24" s="509"/>
      <c r="G24" s="509">
        <f t="shared" si="14"/>
        <v>21573333</v>
      </c>
      <c r="H24" s="862">
        <f t="shared" si="2"/>
        <v>40586666</v>
      </c>
      <c r="I24" s="862">
        <f t="shared" si="2"/>
        <v>0</v>
      </c>
      <c r="J24" s="862">
        <f t="shared" si="2"/>
        <v>40586666</v>
      </c>
    </row>
    <row r="25" spans="1:10" ht="16.5" customHeight="1">
      <c r="A25" s="512" t="s">
        <v>576</v>
      </c>
      <c r="B25" s="513">
        <v>28252439</v>
      </c>
      <c r="C25" s="513"/>
      <c r="D25" s="513">
        <f t="shared" ref="D25:D26" si="16">+B25+C25</f>
        <v>28252439</v>
      </c>
      <c r="E25" s="514">
        <v>1841641</v>
      </c>
      <c r="F25" s="514"/>
      <c r="G25" s="514">
        <f>+E25+F25</f>
        <v>1841641</v>
      </c>
      <c r="H25" s="628">
        <f t="shared" si="2"/>
        <v>30094080</v>
      </c>
      <c r="I25" s="628">
        <f t="shared" si="2"/>
        <v>0</v>
      </c>
      <c r="J25" s="628">
        <f t="shared" si="2"/>
        <v>30094080</v>
      </c>
    </row>
    <row r="26" spans="1:10" ht="16.5" customHeight="1">
      <c r="A26" s="515" t="s">
        <v>577</v>
      </c>
      <c r="B26" s="516">
        <v>37009287</v>
      </c>
      <c r="C26" s="516"/>
      <c r="D26" s="516">
        <f t="shared" si="16"/>
        <v>37009287</v>
      </c>
      <c r="E26" s="517">
        <v>2044587</v>
      </c>
      <c r="F26" s="517"/>
      <c r="G26" s="517">
        <v>2044587</v>
      </c>
      <c r="H26" s="629">
        <f t="shared" si="2"/>
        <v>39053874</v>
      </c>
      <c r="I26" s="629">
        <f t="shared" si="2"/>
        <v>0</v>
      </c>
      <c r="J26" s="629">
        <f t="shared" si="2"/>
        <v>39053874</v>
      </c>
    </row>
    <row r="27" spans="1:10" s="487" customFormat="1" ht="16.5" customHeight="1" thickBot="1">
      <c r="A27" s="663" t="s">
        <v>578</v>
      </c>
      <c r="B27" s="664">
        <f t="shared" ref="B27" si="17">SUM(B25:B26)</f>
        <v>65261726</v>
      </c>
      <c r="C27" s="664"/>
      <c r="D27" s="664">
        <f t="shared" ref="D27" si="18">SUM(D25:D26)</f>
        <v>65261726</v>
      </c>
      <c r="E27" s="664">
        <f t="shared" ref="E27" si="19">SUM(E25:E26)</f>
        <v>3886228</v>
      </c>
      <c r="F27" s="665"/>
      <c r="G27" s="519">
        <f>+E27+F27</f>
        <v>3886228</v>
      </c>
      <c r="H27" s="863">
        <f t="shared" si="2"/>
        <v>69147954</v>
      </c>
      <c r="I27" s="863">
        <f t="shared" si="2"/>
        <v>0</v>
      </c>
      <c r="J27" s="863">
        <f t="shared" si="2"/>
        <v>69147954</v>
      </c>
    </row>
    <row r="28" spans="1:10" ht="16.5" customHeight="1" thickBot="1">
      <c r="A28" s="630" t="s">
        <v>579</v>
      </c>
      <c r="B28" s="523">
        <f>+B27+B24+B21+B18+B17+B16</f>
        <v>205819359</v>
      </c>
      <c r="C28" s="523"/>
      <c r="D28" s="523">
        <f>+D27+D24+D21+D18+D17+D16</f>
        <v>205819359</v>
      </c>
      <c r="E28" s="523">
        <f t="shared" ref="E28" si="20">+E27+E24+E21+E18+E17+E16</f>
        <v>159487161</v>
      </c>
      <c r="F28" s="524"/>
      <c r="G28" s="524">
        <f t="shared" ref="G28" si="21">+G27+G24+G21+G18+G17+G16</f>
        <v>159487161</v>
      </c>
      <c r="H28" s="631">
        <f t="shared" si="2"/>
        <v>365306520</v>
      </c>
      <c r="I28" s="631">
        <f t="shared" si="2"/>
        <v>0</v>
      </c>
      <c r="J28" s="631">
        <f t="shared" si="2"/>
        <v>365306520</v>
      </c>
    </row>
    <row r="29" spans="1:10" ht="16.5" customHeight="1">
      <c r="A29" s="520" t="s">
        <v>691</v>
      </c>
      <c r="B29" s="496"/>
      <c r="C29" s="496"/>
      <c r="D29" s="496"/>
      <c r="E29" s="864">
        <v>15000000</v>
      </c>
      <c r="F29" s="865"/>
      <c r="G29" s="497">
        <f t="shared" ref="G29:G36" si="22">+E29+F29</f>
        <v>15000000</v>
      </c>
      <c r="H29" s="628">
        <f t="shared" si="2"/>
        <v>15000000</v>
      </c>
      <c r="I29" s="628">
        <f t="shared" si="2"/>
        <v>0</v>
      </c>
      <c r="J29" s="628">
        <f t="shared" si="2"/>
        <v>15000000</v>
      </c>
    </row>
    <row r="30" spans="1:10" ht="16.5" customHeight="1">
      <c r="A30" s="520" t="s">
        <v>692</v>
      </c>
      <c r="B30" s="496"/>
      <c r="C30" s="496"/>
      <c r="D30" s="496"/>
      <c r="E30" s="496">
        <v>9900000</v>
      </c>
      <c r="F30" s="860"/>
      <c r="G30" s="497">
        <f t="shared" si="22"/>
        <v>9900000</v>
      </c>
      <c r="H30" s="628">
        <f t="shared" si="2"/>
        <v>9900000</v>
      </c>
      <c r="I30" s="628">
        <f t="shared" si="2"/>
        <v>0</v>
      </c>
      <c r="J30" s="628">
        <f t="shared" si="2"/>
        <v>9900000</v>
      </c>
    </row>
    <row r="31" spans="1:10" ht="16.5" customHeight="1">
      <c r="A31" s="520" t="s">
        <v>693</v>
      </c>
      <c r="B31" s="666"/>
      <c r="C31" s="496"/>
      <c r="D31" s="666"/>
      <c r="E31" s="497">
        <v>996480</v>
      </c>
      <c r="F31" s="497"/>
      <c r="G31" s="497">
        <f t="shared" si="22"/>
        <v>996480</v>
      </c>
      <c r="H31" s="628">
        <f t="shared" si="2"/>
        <v>996480</v>
      </c>
      <c r="I31" s="628">
        <f t="shared" si="2"/>
        <v>0</v>
      </c>
      <c r="J31" s="628">
        <f t="shared" si="2"/>
        <v>996480</v>
      </c>
    </row>
    <row r="32" spans="1:10" ht="16.5" customHeight="1">
      <c r="A32" s="498" t="s">
        <v>580</v>
      </c>
      <c r="B32" s="499"/>
      <c r="C32" s="499"/>
      <c r="D32" s="499"/>
      <c r="E32" s="500">
        <v>20358000</v>
      </c>
      <c r="F32" s="500"/>
      <c r="G32" s="500">
        <f t="shared" si="22"/>
        <v>20358000</v>
      </c>
      <c r="H32" s="628">
        <f t="shared" si="2"/>
        <v>20358000</v>
      </c>
      <c r="I32" s="628">
        <f t="shared" si="2"/>
        <v>0</v>
      </c>
      <c r="J32" s="628">
        <f t="shared" si="2"/>
        <v>20358000</v>
      </c>
    </row>
    <row r="33" spans="1:10" ht="16.5" customHeight="1">
      <c r="A33" s="498" t="s">
        <v>581</v>
      </c>
      <c r="B33" s="499"/>
      <c r="C33" s="499"/>
      <c r="D33" s="499"/>
      <c r="E33" s="500">
        <v>1144500</v>
      </c>
      <c r="F33" s="500"/>
      <c r="G33" s="500">
        <f t="shared" si="22"/>
        <v>1144500</v>
      </c>
      <c r="H33" s="628">
        <f t="shared" si="2"/>
        <v>1144500</v>
      </c>
      <c r="I33" s="628">
        <f t="shared" si="2"/>
        <v>0</v>
      </c>
      <c r="J33" s="628">
        <f t="shared" si="2"/>
        <v>1144500</v>
      </c>
    </row>
    <row r="34" spans="1:10" ht="16.5" customHeight="1">
      <c r="A34" s="498" t="s">
        <v>582</v>
      </c>
      <c r="B34" s="499"/>
      <c r="C34" s="499"/>
      <c r="D34" s="499"/>
      <c r="E34" s="500">
        <v>2500000</v>
      </c>
      <c r="F34" s="500"/>
      <c r="G34" s="500">
        <f t="shared" si="22"/>
        <v>2500000</v>
      </c>
      <c r="H34" s="628">
        <f t="shared" si="2"/>
        <v>2500000</v>
      </c>
      <c r="I34" s="628">
        <f t="shared" si="2"/>
        <v>0</v>
      </c>
      <c r="J34" s="628">
        <f t="shared" si="2"/>
        <v>2500000</v>
      </c>
    </row>
    <row r="35" spans="1:10" ht="16.5" customHeight="1">
      <c r="A35" s="498" t="s">
        <v>583</v>
      </c>
      <c r="B35" s="499"/>
      <c r="C35" s="499"/>
      <c r="D35" s="499"/>
      <c r="E35" s="500">
        <v>1743300</v>
      </c>
      <c r="F35" s="500"/>
      <c r="G35" s="500">
        <f t="shared" si="22"/>
        <v>1743300</v>
      </c>
      <c r="H35" s="866">
        <f t="shared" si="2"/>
        <v>1743300</v>
      </c>
      <c r="I35" s="866">
        <f t="shared" si="2"/>
        <v>0</v>
      </c>
      <c r="J35" s="866">
        <f t="shared" si="2"/>
        <v>1743300</v>
      </c>
    </row>
    <row r="36" spans="1:10" ht="16.5" customHeight="1">
      <c r="A36" s="642" t="s">
        <v>694</v>
      </c>
      <c r="B36" s="518"/>
      <c r="C36" s="518"/>
      <c r="D36" s="518"/>
      <c r="E36" s="519">
        <v>8940000</v>
      </c>
      <c r="F36" s="519"/>
      <c r="G36" s="519">
        <f t="shared" si="22"/>
        <v>8940000</v>
      </c>
      <c r="H36" s="629">
        <f t="shared" si="2"/>
        <v>8940000</v>
      </c>
      <c r="I36" s="629">
        <f t="shared" si="2"/>
        <v>0</v>
      </c>
      <c r="J36" s="629">
        <f t="shared" si="2"/>
        <v>8940000</v>
      </c>
    </row>
    <row r="37" spans="1:10" s="487" customFormat="1" ht="16.5" customHeight="1">
      <c r="A37" s="521" t="s">
        <v>584</v>
      </c>
      <c r="B37" s="508">
        <v>0</v>
      </c>
      <c r="C37" s="508"/>
      <c r="D37" s="508">
        <f t="shared" ref="D37:D41" si="23">+B37+C37</f>
        <v>0</v>
      </c>
      <c r="E37" s="509">
        <f>SUM(E29:E36)</f>
        <v>60582280</v>
      </c>
      <c r="F37" s="509"/>
      <c r="G37" s="509">
        <f>SUM(G29:G36)</f>
        <v>60582280</v>
      </c>
      <c r="H37" s="862">
        <f t="shared" si="2"/>
        <v>60582280</v>
      </c>
      <c r="I37" s="862">
        <f t="shared" si="2"/>
        <v>0</v>
      </c>
      <c r="J37" s="862">
        <f t="shared" si="2"/>
        <v>60582280</v>
      </c>
    </row>
    <row r="38" spans="1:10" s="487" customFormat="1" ht="16.5" customHeight="1">
      <c r="A38" s="521" t="s">
        <v>690</v>
      </c>
      <c r="B38" s="508">
        <v>66120</v>
      </c>
      <c r="C38" s="508"/>
      <c r="D38" s="508">
        <f t="shared" si="23"/>
        <v>66120</v>
      </c>
      <c r="E38" s="509"/>
      <c r="F38" s="509"/>
      <c r="G38" s="509"/>
      <c r="H38" s="862">
        <f t="shared" ref="H38" si="24">+B38+E38</f>
        <v>66120</v>
      </c>
      <c r="I38" s="862">
        <f t="shared" ref="I38" si="25">+C38+F38</f>
        <v>0</v>
      </c>
      <c r="J38" s="862">
        <f t="shared" ref="J38" si="26">+D38+G38</f>
        <v>66120</v>
      </c>
    </row>
    <row r="39" spans="1:10" s="487" customFormat="1" ht="29.25" customHeight="1">
      <c r="A39" s="507" t="s">
        <v>570</v>
      </c>
      <c r="B39" s="508">
        <v>30965683</v>
      </c>
      <c r="C39" s="508"/>
      <c r="D39" s="508">
        <f t="shared" si="23"/>
        <v>30965683</v>
      </c>
      <c r="E39" s="509"/>
      <c r="F39" s="509"/>
      <c r="G39" s="509"/>
      <c r="H39" s="862">
        <f t="shared" si="2"/>
        <v>30965683</v>
      </c>
      <c r="I39" s="862">
        <f t="shared" si="2"/>
        <v>0</v>
      </c>
      <c r="J39" s="862">
        <f t="shared" si="2"/>
        <v>30965683</v>
      </c>
    </row>
    <row r="40" spans="1:10" s="487" customFormat="1" ht="16.5" customHeight="1">
      <c r="A40" s="507" t="s">
        <v>585</v>
      </c>
      <c r="B40" s="508">
        <v>6423900</v>
      </c>
      <c r="C40" s="508"/>
      <c r="D40" s="508">
        <f t="shared" si="23"/>
        <v>6423900</v>
      </c>
      <c r="E40" s="509"/>
      <c r="F40" s="509"/>
      <c r="G40" s="509"/>
      <c r="H40" s="862">
        <f t="shared" si="2"/>
        <v>6423900</v>
      </c>
      <c r="I40" s="862">
        <f t="shared" si="2"/>
        <v>0</v>
      </c>
      <c r="J40" s="862">
        <f t="shared" si="2"/>
        <v>6423900</v>
      </c>
    </row>
    <row r="41" spans="1:10" s="487" customFormat="1" ht="16.5" customHeight="1">
      <c r="A41" s="507" t="s">
        <v>587</v>
      </c>
      <c r="B41" s="508">
        <v>5668000</v>
      </c>
      <c r="C41" s="508"/>
      <c r="D41" s="508">
        <f t="shared" si="23"/>
        <v>5668000</v>
      </c>
      <c r="E41" s="509"/>
      <c r="F41" s="509"/>
      <c r="G41" s="509"/>
      <c r="H41" s="862">
        <f t="shared" si="2"/>
        <v>5668000</v>
      </c>
      <c r="I41" s="862">
        <f t="shared" si="2"/>
        <v>0</v>
      </c>
      <c r="J41" s="862">
        <f t="shared" si="2"/>
        <v>5668000</v>
      </c>
    </row>
    <row r="42" spans="1:10" s="487" customFormat="1" ht="16.5" customHeight="1">
      <c r="A42" s="521" t="s">
        <v>589</v>
      </c>
      <c r="B42" s="508"/>
      <c r="C42" s="508"/>
      <c r="D42" s="508"/>
      <c r="E42" s="509"/>
      <c r="F42" s="509"/>
      <c r="G42" s="509"/>
      <c r="H42" s="862">
        <f t="shared" si="2"/>
        <v>0</v>
      </c>
      <c r="I42" s="862">
        <f t="shared" si="2"/>
        <v>0</v>
      </c>
      <c r="J42" s="862">
        <f t="shared" si="2"/>
        <v>0</v>
      </c>
    </row>
    <row r="43" spans="1:10" s="487" customFormat="1" ht="16.5" customHeight="1" thickBot="1">
      <c r="A43" s="632" t="s">
        <v>590</v>
      </c>
      <c r="B43" s="633"/>
      <c r="C43" s="633">
        <v>974143</v>
      </c>
      <c r="D43" s="633">
        <f>+B43+C43</f>
        <v>974143</v>
      </c>
      <c r="E43" s="634"/>
      <c r="F43" s="634">
        <v>1615186</v>
      </c>
      <c r="G43" s="634">
        <f>+E43+F43</f>
        <v>1615186</v>
      </c>
      <c r="H43" s="629">
        <f t="shared" si="2"/>
        <v>0</v>
      </c>
      <c r="I43" s="629">
        <f t="shared" si="2"/>
        <v>2589329</v>
      </c>
      <c r="J43" s="629">
        <f t="shared" si="2"/>
        <v>2589329</v>
      </c>
    </row>
    <row r="44" spans="1:10" s="487" customFormat="1" ht="16.5" customHeight="1" thickBot="1">
      <c r="A44" s="522" t="s">
        <v>591</v>
      </c>
      <c r="B44" s="523">
        <f>+B41+B40+B39+B28+B13+B38+B37+B43+B42</f>
        <v>370160852</v>
      </c>
      <c r="C44" s="523">
        <f t="shared" ref="C44:J44" si="27">+C41+C40+C39+C28+C13+C38+C37+C43+C42</f>
        <v>974143</v>
      </c>
      <c r="D44" s="523">
        <f t="shared" si="27"/>
        <v>371134995</v>
      </c>
      <c r="E44" s="524">
        <f t="shared" si="27"/>
        <v>220069441</v>
      </c>
      <c r="F44" s="524">
        <f t="shared" si="27"/>
        <v>1615186</v>
      </c>
      <c r="G44" s="524">
        <f t="shared" si="27"/>
        <v>221684627</v>
      </c>
      <c r="H44" s="639">
        <f t="shared" si="27"/>
        <v>590230293</v>
      </c>
      <c r="I44" s="639">
        <f t="shared" si="27"/>
        <v>2589329</v>
      </c>
      <c r="J44" s="639">
        <f t="shared" si="27"/>
        <v>592819622</v>
      </c>
    </row>
    <row r="45" spans="1:10" ht="13.2" hidden="1" customHeight="1"/>
    <row r="46" spans="1:10" ht="13.2" hidden="1" customHeight="1"/>
    <row r="47" spans="1:10" ht="13.2" hidden="1" customHeight="1">
      <c r="E47" s="489"/>
      <c r="F47" s="490"/>
      <c r="G47" s="490"/>
    </row>
    <row r="48" spans="1:10" ht="25.5" hidden="1" customHeight="1">
      <c r="E48" s="609"/>
      <c r="F48" s="491"/>
      <c r="G48" s="491"/>
    </row>
    <row r="49" spans="1:10" ht="13.2" hidden="1" customHeight="1"/>
    <row r="50" spans="1:10" ht="13.2" hidden="1" customHeight="1"/>
    <row r="51" spans="1:10" ht="13.2" hidden="1" customHeight="1"/>
    <row r="52" spans="1:10" ht="13.2" hidden="1" customHeight="1"/>
    <row r="53" spans="1:10" ht="13.2" hidden="1" customHeight="1">
      <c r="E53" s="489"/>
      <c r="F53" s="490"/>
      <c r="G53" s="490"/>
    </row>
    <row r="54" spans="1:10" ht="12.75" hidden="1" customHeight="1">
      <c r="E54" s="609"/>
      <c r="F54" s="491"/>
      <c r="G54" s="491"/>
    </row>
    <row r="55" spans="1:10" ht="13.2" hidden="1" customHeight="1"/>
    <row r="56" spans="1:10" ht="13.2" hidden="1" customHeight="1"/>
    <row r="57" spans="1:10" ht="13.2" hidden="1" customHeight="1"/>
    <row r="58" spans="1:10" ht="13.2" hidden="1" customHeight="1"/>
    <row r="59" spans="1:10" ht="13.2" hidden="1" customHeight="1"/>
    <row r="60" spans="1:10" ht="13.2" hidden="1" customHeight="1"/>
    <row r="61" spans="1:10" ht="13.2" hidden="1" customHeight="1"/>
    <row r="62" spans="1:10" ht="13.2" hidden="1" customHeight="1">
      <c r="A62" s="486" t="s">
        <v>595</v>
      </c>
    </row>
    <row r="63" spans="1:10" ht="26.4" hidden="1" customHeight="1">
      <c r="B63" s="488" t="s">
        <v>596</v>
      </c>
      <c r="D63" s="488" t="s">
        <v>597</v>
      </c>
      <c r="E63" s="492" t="s">
        <v>598</v>
      </c>
      <c r="F63" s="492"/>
      <c r="G63" s="492"/>
      <c r="H63" s="487" t="s">
        <v>599</v>
      </c>
      <c r="J63" s="487" t="s">
        <v>599</v>
      </c>
    </row>
    <row r="64" spans="1:10" ht="13.2" hidden="1" customHeight="1">
      <c r="B64" s="488">
        <v>19</v>
      </c>
      <c r="D64" s="488">
        <v>26</v>
      </c>
      <c r="E64" s="486">
        <v>2</v>
      </c>
      <c r="H64" s="487">
        <f>+C64+E64</f>
        <v>2</v>
      </c>
      <c r="J64" s="487">
        <f>+E64+G64</f>
        <v>2</v>
      </c>
    </row>
    <row r="65" ht="13.2" hidden="1" customHeight="1"/>
    <row r="66" ht="13.2" hidden="1" customHeight="1"/>
    <row r="67" ht="13.2" hidden="1" customHeight="1"/>
    <row r="68" ht="13.2" hidden="1" customHeight="1"/>
  </sheetData>
  <mergeCells count="4">
    <mergeCell ref="A1:A2"/>
    <mergeCell ref="B1:D1"/>
    <mergeCell ref="E1:G1"/>
    <mergeCell ref="H1:J1"/>
  </mergeCells>
  <printOptions horizontalCentered="1"/>
  <pageMargins left="0.70866141732283472" right="0.70866141732283472" top="0.9055118110236221" bottom="0.74803149606299213" header="0.39370078740157483" footer="0.31496062992125984"/>
  <pageSetup paperSize="9" scale="56" orientation="landscape" r:id="rId1"/>
  <headerFooter>
    <oddHeader>&amp;C&amp;"Times New Roman,Félkövér"&amp;14MARTONVÁSÁR VÁROS ÖNKORMÁNYZATA &amp;"Times New Roman,Normál"NORMATÍV TÁMOGATÁSOK KIMUTATÁSA      &amp;R&amp;"Times New Roman,Félkövér" 4. melléklet</oddHeader>
    <oddFooter>&amp;R&amp;P</oddFooter>
  </headerFooter>
  <colBreaks count="1" manualBreakCount="1">
    <brk id="11" max="36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AD30"/>
  <sheetViews>
    <sheetView zoomScale="90" zoomScaleNormal="90" workbookViewId="0">
      <pane xSplit="3" ySplit="2" topLeftCell="D3" activePane="bottomRight" state="frozen"/>
      <selection activeCell="B24" sqref="B24:C24"/>
      <selection pane="topRight" activeCell="B24" sqref="B24:C24"/>
      <selection pane="bottomLeft" activeCell="B24" sqref="B24:C24"/>
      <selection pane="bottomRight" activeCell="F5" sqref="F5"/>
    </sheetView>
  </sheetViews>
  <sheetFormatPr defaultColWidth="9.109375" defaultRowHeight="14.4"/>
  <cols>
    <col min="1" max="1" width="6.33203125" style="471" customWidth="1"/>
    <col min="2" max="2" width="7.109375" style="219" customWidth="1"/>
    <col min="3" max="3" width="22" style="219" customWidth="1"/>
    <col min="4" max="4" width="8.88671875" style="69" customWidth="1"/>
    <col min="5" max="5" width="8.5546875" style="69" customWidth="1"/>
    <col min="6" max="6" width="9" style="69" customWidth="1"/>
    <col min="7" max="27" width="8.5546875" style="69" customWidth="1"/>
    <col min="28" max="29" width="9.109375" style="473"/>
    <col min="30" max="30" width="9.109375" style="1"/>
    <col min="31" max="16384" width="9.109375" style="20"/>
  </cols>
  <sheetData>
    <row r="1" spans="1:29" s="35" customFormat="1" ht="12.75" customHeight="1">
      <c r="A1" s="983" t="s">
        <v>0</v>
      </c>
      <c r="B1" s="985" t="s">
        <v>183</v>
      </c>
      <c r="C1" s="986"/>
      <c r="D1" s="989" t="s">
        <v>181</v>
      </c>
      <c r="E1" s="990"/>
      <c r="F1" s="990"/>
      <c r="G1" s="989" t="s">
        <v>265</v>
      </c>
      <c r="H1" s="990"/>
      <c r="I1" s="991"/>
      <c r="J1" s="992" t="s">
        <v>530</v>
      </c>
      <c r="K1" s="990"/>
      <c r="L1" s="993"/>
      <c r="M1" s="989" t="s">
        <v>531</v>
      </c>
      <c r="N1" s="990"/>
      <c r="O1" s="991"/>
      <c r="P1" s="989" t="s">
        <v>532</v>
      </c>
      <c r="Q1" s="990"/>
      <c r="R1" s="991"/>
      <c r="S1" s="989" t="s">
        <v>266</v>
      </c>
      <c r="T1" s="990"/>
      <c r="U1" s="991"/>
      <c r="V1" s="989" t="s">
        <v>533</v>
      </c>
      <c r="W1" s="990"/>
      <c r="X1" s="991"/>
      <c r="Y1" s="992" t="s">
        <v>267</v>
      </c>
      <c r="Z1" s="990"/>
      <c r="AA1" s="991"/>
      <c r="AB1" s="462"/>
      <c r="AC1" s="462"/>
    </row>
    <row r="2" spans="1:29" s="19" customFormat="1" ht="27" thickBot="1">
      <c r="A2" s="984"/>
      <c r="B2" s="987"/>
      <c r="C2" s="988"/>
      <c r="D2" s="483" t="s">
        <v>178</v>
      </c>
      <c r="E2" s="474" t="s">
        <v>750</v>
      </c>
      <c r="F2" s="474" t="s">
        <v>759</v>
      </c>
      <c r="G2" s="483" t="s">
        <v>178</v>
      </c>
      <c r="H2" s="474" t="s">
        <v>750</v>
      </c>
      <c r="I2" s="474" t="s">
        <v>759</v>
      </c>
      <c r="J2" s="483" t="s">
        <v>178</v>
      </c>
      <c r="K2" s="474" t="s">
        <v>750</v>
      </c>
      <c r="L2" s="474" t="s">
        <v>759</v>
      </c>
      <c r="M2" s="483" t="s">
        <v>178</v>
      </c>
      <c r="N2" s="474" t="s">
        <v>750</v>
      </c>
      <c r="O2" s="474" t="s">
        <v>759</v>
      </c>
      <c r="P2" s="483" t="s">
        <v>178</v>
      </c>
      <c r="Q2" s="474" t="s">
        <v>750</v>
      </c>
      <c r="R2" s="891" t="s">
        <v>759</v>
      </c>
      <c r="S2" s="483" t="s">
        <v>178</v>
      </c>
      <c r="T2" s="474" t="s">
        <v>750</v>
      </c>
      <c r="U2" s="474" t="s">
        <v>759</v>
      </c>
      <c r="V2" s="483" t="s">
        <v>178</v>
      </c>
      <c r="W2" s="474" t="s">
        <v>750</v>
      </c>
      <c r="X2" s="474" t="s">
        <v>759</v>
      </c>
      <c r="Y2" s="483" t="s">
        <v>178</v>
      </c>
      <c r="Z2" s="474" t="s">
        <v>750</v>
      </c>
      <c r="AA2" s="474" t="s">
        <v>759</v>
      </c>
      <c r="AB2" s="472"/>
      <c r="AC2" s="472"/>
    </row>
    <row r="3" spans="1:29" s="48" customFormat="1" ht="13.2">
      <c r="A3" s="570" t="s">
        <v>27</v>
      </c>
      <c r="B3" s="968" t="s">
        <v>175</v>
      </c>
      <c r="C3" s="969"/>
      <c r="D3" s="577">
        <f>+G3+J3+M3+P3+S3+V3+Y3</f>
        <v>20534</v>
      </c>
      <c r="E3" s="578">
        <f t="shared" ref="E3:F5" si="0">+H3+K3+N3+Q3+T3+W3+Z3</f>
        <v>-1185</v>
      </c>
      <c r="F3" s="578">
        <f t="shared" si="0"/>
        <v>19349</v>
      </c>
      <c r="G3" s="577">
        <f>+'5.a. mell. Jogalkotás'!D5</f>
        <v>0</v>
      </c>
      <c r="H3" s="578">
        <f>+'5.a. mell. Jogalkotás'!E5</f>
        <v>0</v>
      </c>
      <c r="I3" s="579">
        <f>+'5.a. mell. Jogalkotás'!F5</f>
        <v>0</v>
      </c>
      <c r="J3" s="580"/>
      <c r="K3" s="578"/>
      <c r="L3" s="581"/>
      <c r="M3" s="577">
        <f>+'5.c. mell. VF Eu forrásból'!D5</f>
        <v>0</v>
      </c>
      <c r="N3" s="578">
        <f>+'5.c. mell. VF Eu forrásból'!E5</f>
        <v>0</v>
      </c>
      <c r="O3" s="579">
        <f>+'5.c. mell. VF Eu forrásból'!F5</f>
        <v>0</v>
      </c>
      <c r="P3" s="577">
        <f>+'5.d. mell. Védőnő, EÜ'!D5</f>
        <v>9403</v>
      </c>
      <c r="Q3" s="578">
        <f>+'5.d. mell. Védőnő, EÜ'!E5</f>
        <v>-1204</v>
      </c>
      <c r="R3" s="579">
        <f>+'5.d. mell. Védőnő, EÜ'!F5</f>
        <v>8199</v>
      </c>
      <c r="S3" s="577"/>
      <c r="T3" s="578"/>
      <c r="U3" s="579"/>
      <c r="V3" s="577"/>
      <c r="W3" s="578"/>
      <c r="X3" s="579"/>
      <c r="Y3" s="580">
        <f>+'5.g. mell. Egyéb tev.'!D6</f>
        <v>11131</v>
      </c>
      <c r="Z3" s="578">
        <f>+'5.g. mell. Egyéb tev.'!E6</f>
        <v>19</v>
      </c>
      <c r="AA3" s="579">
        <f>+'5.g. mell. Egyéb tev.'!F6</f>
        <v>11150</v>
      </c>
      <c r="AB3" s="348"/>
      <c r="AC3" s="348"/>
    </row>
    <row r="4" spans="1:29" s="48" customFormat="1" ht="12.75" customHeight="1">
      <c r="A4" s="571" t="s">
        <v>34</v>
      </c>
      <c r="B4" s="972" t="s">
        <v>174</v>
      </c>
      <c r="C4" s="973"/>
      <c r="D4" s="577">
        <f t="shared" ref="D4:D5" si="1">+G4+J4+M4+P4+S4+V4+Y4</f>
        <v>18636</v>
      </c>
      <c r="E4" s="582">
        <f t="shared" si="0"/>
        <v>1204</v>
      </c>
      <c r="F4" s="582">
        <f t="shared" si="0"/>
        <v>19840</v>
      </c>
      <c r="G4" s="583">
        <f>+'5.a. mell. Jogalkotás'!D6</f>
        <v>17783</v>
      </c>
      <c r="H4" s="582">
        <f>+'5.a. mell. Jogalkotás'!E6</f>
        <v>0</v>
      </c>
      <c r="I4" s="584">
        <f>+'5.a. mell. Jogalkotás'!F6</f>
        <v>17783</v>
      </c>
      <c r="J4" s="585"/>
      <c r="K4" s="582"/>
      <c r="L4" s="586"/>
      <c r="M4" s="583">
        <f>+'5.c. mell. VF Eu forrásból'!D6</f>
        <v>0</v>
      </c>
      <c r="N4" s="582">
        <f>+'5.c. mell. VF Eu forrásból'!E6</f>
        <v>0</v>
      </c>
      <c r="O4" s="584">
        <f>+'5.c. mell. VF Eu forrásból'!F6</f>
        <v>0</v>
      </c>
      <c r="P4" s="583">
        <f>+'5.d. mell. Védőnő, EÜ'!D6</f>
        <v>853</v>
      </c>
      <c r="Q4" s="582">
        <f>+'5.d. mell. Védőnő, EÜ'!E6</f>
        <v>1204</v>
      </c>
      <c r="R4" s="584">
        <f>+'5.d. mell. Védőnő, EÜ'!F6</f>
        <v>2057</v>
      </c>
      <c r="S4" s="583"/>
      <c r="T4" s="582"/>
      <c r="U4" s="584"/>
      <c r="V4" s="583"/>
      <c r="W4" s="582"/>
      <c r="X4" s="584"/>
      <c r="Y4" s="585">
        <f>+'5.g. mell. Egyéb tev.'!D7</f>
        <v>0</v>
      </c>
      <c r="Z4" s="582">
        <f>+'5.g. mell. Egyéb tev.'!E7</f>
        <v>0</v>
      </c>
      <c r="AA4" s="584">
        <f>+'5.g. mell. Egyéb tev.'!F7</f>
        <v>0</v>
      </c>
      <c r="AB4" s="348"/>
      <c r="AC4" s="348"/>
    </row>
    <row r="5" spans="1:29" s="48" customFormat="1" ht="12.75" customHeight="1">
      <c r="A5" s="572" t="s">
        <v>35</v>
      </c>
      <c r="B5" s="970" t="s">
        <v>173</v>
      </c>
      <c r="C5" s="971"/>
      <c r="D5" s="577">
        <f t="shared" si="1"/>
        <v>39170</v>
      </c>
      <c r="E5" s="582">
        <f t="shared" si="0"/>
        <v>19</v>
      </c>
      <c r="F5" s="582">
        <f t="shared" si="0"/>
        <v>39189</v>
      </c>
      <c r="G5" s="583">
        <f>+G3+G4</f>
        <v>17783</v>
      </c>
      <c r="H5" s="582">
        <f t="shared" ref="H5:I5" si="2">+H3+H4</f>
        <v>0</v>
      </c>
      <c r="I5" s="584">
        <f t="shared" si="2"/>
        <v>17783</v>
      </c>
      <c r="J5" s="585"/>
      <c r="K5" s="582"/>
      <c r="L5" s="586"/>
      <c r="M5" s="583">
        <f>+M3+M4</f>
        <v>0</v>
      </c>
      <c r="N5" s="582">
        <f t="shared" ref="N5:O5" si="3">+N3+N4</f>
        <v>0</v>
      </c>
      <c r="O5" s="584">
        <f t="shared" si="3"/>
        <v>0</v>
      </c>
      <c r="P5" s="583">
        <f>+P3+P4</f>
        <v>10256</v>
      </c>
      <c r="Q5" s="582">
        <f t="shared" ref="Q5:R5" si="4">+Q3+Q4</f>
        <v>0</v>
      </c>
      <c r="R5" s="584">
        <f t="shared" si="4"/>
        <v>10256</v>
      </c>
      <c r="S5" s="583"/>
      <c r="T5" s="582"/>
      <c r="U5" s="584"/>
      <c r="V5" s="583"/>
      <c r="W5" s="582"/>
      <c r="X5" s="584"/>
      <c r="Y5" s="585">
        <f>+'5.g. mell. Egyéb tev.'!D8</f>
        <v>11131</v>
      </c>
      <c r="Z5" s="582">
        <f>+'5.g. mell. Egyéb tev.'!E8</f>
        <v>19</v>
      </c>
      <c r="AA5" s="584">
        <f>+'5.g. mell. Egyéb tev.'!F8</f>
        <v>11150</v>
      </c>
      <c r="AB5" s="348"/>
      <c r="AC5" s="348"/>
    </row>
    <row r="6" spans="1:29">
      <c r="A6" s="201"/>
      <c r="B6" s="575"/>
      <c r="C6" s="475"/>
      <c r="D6" s="587"/>
      <c r="E6" s="757"/>
      <c r="F6" s="757"/>
      <c r="G6" s="589"/>
      <c r="H6" s="588"/>
      <c r="I6" s="590"/>
      <c r="J6" s="588"/>
      <c r="K6" s="588"/>
      <c r="L6" s="588"/>
      <c r="M6" s="589"/>
      <c r="N6" s="588"/>
      <c r="O6" s="590"/>
      <c r="P6" s="589"/>
      <c r="Q6" s="588"/>
      <c r="R6" s="590"/>
      <c r="S6" s="589"/>
      <c r="T6" s="588"/>
      <c r="U6" s="590"/>
      <c r="V6" s="589"/>
      <c r="W6" s="588"/>
      <c r="X6" s="590"/>
      <c r="Y6" s="588"/>
      <c r="Z6" s="588"/>
      <c r="AA6" s="590"/>
    </row>
    <row r="7" spans="1:29" s="48" customFormat="1" ht="12.75" customHeight="1">
      <c r="A7" s="572" t="s">
        <v>36</v>
      </c>
      <c r="B7" s="970" t="s">
        <v>172</v>
      </c>
      <c r="C7" s="971"/>
      <c r="D7" s="583">
        <f>+G7+J7+M7+P7+S7+V7+Y7</f>
        <v>10697</v>
      </c>
      <c r="E7" s="582">
        <f t="shared" ref="E7:F7" si="5">+H7+K7+N7+Q7+T7+W7+Z7</f>
        <v>0</v>
      </c>
      <c r="F7" s="582">
        <f t="shared" si="5"/>
        <v>10697</v>
      </c>
      <c r="G7" s="583">
        <f>+'5.a. mell. Jogalkotás'!D9</f>
        <v>4904</v>
      </c>
      <c r="H7" s="582">
        <f>+'5.a. mell. Jogalkotás'!E9</f>
        <v>0</v>
      </c>
      <c r="I7" s="584">
        <f>+'5.a. mell. Jogalkotás'!F9</f>
        <v>4904</v>
      </c>
      <c r="J7" s="585"/>
      <c r="K7" s="582"/>
      <c r="L7" s="586"/>
      <c r="M7" s="583">
        <f>+'5.c. mell. VF Eu forrásból'!D9</f>
        <v>0</v>
      </c>
      <c r="N7" s="582">
        <f>+'5.c. mell. VF Eu forrásból'!E9</f>
        <v>0</v>
      </c>
      <c r="O7" s="584">
        <f>+'5.c. mell. VF Eu forrásból'!F9</f>
        <v>0</v>
      </c>
      <c r="P7" s="583">
        <f>+'5.d. mell. Védőnő, EÜ'!D9</f>
        <v>2788</v>
      </c>
      <c r="Q7" s="582">
        <f>+'5.d. mell. Védőnő, EÜ'!E9</f>
        <v>0</v>
      </c>
      <c r="R7" s="584">
        <f>+'5.d. mell. Védőnő, EÜ'!F9</f>
        <v>2788</v>
      </c>
      <c r="S7" s="583"/>
      <c r="T7" s="582"/>
      <c r="U7" s="584"/>
      <c r="V7" s="583"/>
      <c r="W7" s="582"/>
      <c r="X7" s="584"/>
      <c r="Y7" s="585">
        <f>+'5.g. mell. Egyéb tev.'!D10</f>
        <v>3005</v>
      </c>
      <c r="Z7" s="582">
        <f>+'5.g. mell. Egyéb tev.'!E10</f>
        <v>0</v>
      </c>
      <c r="AA7" s="584">
        <f>+'5.g. mell. Egyéb tev.'!F10</f>
        <v>3005</v>
      </c>
      <c r="AB7" s="348"/>
      <c r="AC7" s="348"/>
    </row>
    <row r="8" spans="1:29">
      <c r="A8" s="201"/>
      <c r="B8" s="576"/>
      <c r="C8" s="476"/>
      <c r="D8" s="587"/>
      <c r="E8" s="757"/>
      <c r="F8" s="757"/>
      <c r="G8" s="589"/>
      <c r="H8" s="588"/>
      <c r="I8" s="590"/>
      <c r="J8" s="588"/>
      <c r="K8" s="588"/>
      <c r="L8" s="588"/>
      <c r="M8" s="589"/>
      <c r="N8" s="588"/>
      <c r="O8" s="590"/>
      <c r="P8" s="589"/>
      <c r="Q8" s="588"/>
      <c r="R8" s="590"/>
      <c r="S8" s="589"/>
      <c r="T8" s="588"/>
      <c r="U8" s="590"/>
      <c r="V8" s="589"/>
      <c r="W8" s="588"/>
      <c r="X8" s="590"/>
      <c r="Y8" s="588"/>
      <c r="Z8" s="588"/>
      <c r="AA8" s="590"/>
    </row>
    <row r="9" spans="1:29" s="48" customFormat="1" ht="12.75" customHeight="1">
      <c r="A9" s="571" t="s">
        <v>48</v>
      </c>
      <c r="B9" s="972" t="s">
        <v>171</v>
      </c>
      <c r="C9" s="973"/>
      <c r="D9" s="583">
        <f>+G9+J9+M9+P9+S9+V9+Y9</f>
        <v>900</v>
      </c>
      <c r="E9" s="582">
        <f t="shared" ref="E9:F14" si="6">+H9+K9+N9+Q9+T9+W9+Z9</f>
        <v>540</v>
      </c>
      <c r="F9" s="582">
        <f t="shared" si="6"/>
        <v>1440</v>
      </c>
      <c r="G9" s="592">
        <f>+'5.a. mell. Jogalkotás'!D14</f>
        <v>0</v>
      </c>
      <c r="H9" s="591">
        <f>+'5.a. mell. Jogalkotás'!E14</f>
        <v>250</v>
      </c>
      <c r="I9" s="593">
        <f>+'5.a. mell. Jogalkotás'!F14</f>
        <v>250</v>
      </c>
      <c r="J9" s="594">
        <f>+'5.b. mell. VF saját forrásból'!D14</f>
        <v>0</v>
      </c>
      <c r="K9" s="591">
        <f>+'5.b. mell. VF saját forrásból'!E14</f>
        <v>0</v>
      </c>
      <c r="L9" s="595">
        <f>+'5.b. mell. VF saját forrásból'!F14</f>
        <v>0</v>
      </c>
      <c r="M9" s="592">
        <f>+'5.c. mell. VF Eu forrásból'!D14</f>
        <v>0</v>
      </c>
      <c r="N9" s="591">
        <f>+'5.c. mell. VF Eu forrásból'!E14</f>
        <v>0</v>
      </c>
      <c r="O9" s="593">
        <f>+'5.c. mell. VF Eu forrásból'!F14</f>
        <v>0</v>
      </c>
      <c r="P9" s="592">
        <f>+'5.d. mell. Védőnő, EÜ'!D14</f>
        <v>400</v>
      </c>
      <c r="Q9" s="591">
        <f>+'5.d. mell. Védőnő, EÜ'!E14</f>
        <v>0</v>
      </c>
      <c r="R9" s="593">
        <f>+'5.d. mell. Védőnő, EÜ'!F14</f>
        <v>400</v>
      </c>
      <c r="S9" s="592"/>
      <c r="T9" s="591"/>
      <c r="U9" s="593"/>
      <c r="V9" s="592"/>
      <c r="W9" s="591"/>
      <c r="X9" s="593"/>
      <c r="Y9" s="594">
        <f>+'5.g. mell. Egyéb tev.'!D15</f>
        <v>500</v>
      </c>
      <c r="Z9" s="591">
        <f>+'5.g. mell. Egyéb tev.'!E15</f>
        <v>290</v>
      </c>
      <c r="AA9" s="593">
        <f>+'5.g. mell. Egyéb tev.'!F15</f>
        <v>790</v>
      </c>
      <c r="AB9" s="348"/>
      <c r="AC9" s="348"/>
    </row>
    <row r="10" spans="1:29" s="48" customFormat="1" ht="12.75" customHeight="1">
      <c r="A10" s="571" t="s">
        <v>53</v>
      </c>
      <c r="B10" s="972" t="s">
        <v>170</v>
      </c>
      <c r="C10" s="973"/>
      <c r="D10" s="583">
        <f t="shared" ref="D10:D12" si="7">+G10+J10+M10+P10+S10+V10+Y10</f>
        <v>840</v>
      </c>
      <c r="E10" s="582">
        <f t="shared" si="6"/>
        <v>2688</v>
      </c>
      <c r="F10" s="582">
        <f t="shared" si="6"/>
        <v>3528</v>
      </c>
      <c r="G10" s="592">
        <f>+'5.a. mell. Jogalkotás'!D17</f>
        <v>600</v>
      </c>
      <c r="H10" s="591">
        <f>+'5.a. mell. Jogalkotás'!E17</f>
        <v>2688</v>
      </c>
      <c r="I10" s="593">
        <f>+'5.a. mell. Jogalkotás'!F17</f>
        <v>3288</v>
      </c>
      <c r="J10" s="594">
        <f>+'5.b. mell. VF saját forrásból'!D17</f>
        <v>0</v>
      </c>
      <c r="K10" s="591">
        <f>+'5.b. mell. VF saját forrásból'!E17</f>
        <v>0</v>
      </c>
      <c r="L10" s="595">
        <f>+'5.b. mell. VF saját forrásból'!F17</f>
        <v>0</v>
      </c>
      <c r="M10" s="592">
        <f>+'5.c. mell. VF Eu forrásból'!D17</f>
        <v>0</v>
      </c>
      <c r="N10" s="591">
        <f>+'5.c. mell. VF Eu forrásból'!E17</f>
        <v>0</v>
      </c>
      <c r="O10" s="593">
        <f>+'5.c. mell. VF Eu forrásból'!F17</f>
        <v>0</v>
      </c>
      <c r="P10" s="592">
        <f>+'5.d. mell. Védőnő, EÜ'!D17</f>
        <v>240</v>
      </c>
      <c r="Q10" s="591">
        <f>+'5.d. mell. Védőnő, EÜ'!E17</f>
        <v>0</v>
      </c>
      <c r="R10" s="593">
        <f>+'5.d. mell. Védőnő, EÜ'!F17</f>
        <v>240</v>
      </c>
      <c r="S10" s="592"/>
      <c r="T10" s="591"/>
      <c r="U10" s="593"/>
      <c r="V10" s="592"/>
      <c r="W10" s="591"/>
      <c r="X10" s="593"/>
      <c r="Y10" s="594">
        <f>+'5.g. mell. Egyéb tev.'!D18</f>
        <v>0</v>
      </c>
      <c r="Z10" s="591">
        <f>+'5.g. mell. Egyéb tev.'!E18</f>
        <v>0</v>
      </c>
      <c r="AA10" s="593">
        <f>+'5.g. mell. Egyéb tev.'!F18</f>
        <v>0</v>
      </c>
      <c r="AB10" s="348"/>
      <c r="AC10" s="348"/>
    </row>
    <row r="11" spans="1:29" s="48" customFormat="1" ht="12.75" customHeight="1">
      <c r="A11" s="571" t="s">
        <v>67</v>
      </c>
      <c r="B11" s="972" t="s">
        <v>157</v>
      </c>
      <c r="C11" s="973"/>
      <c r="D11" s="583">
        <f t="shared" si="7"/>
        <v>58172</v>
      </c>
      <c r="E11" s="582">
        <f t="shared" si="6"/>
        <v>4612</v>
      </c>
      <c r="F11" s="582">
        <f t="shared" si="6"/>
        <v>62784</v>
      </c>
      <c r="G11" s="592">
        <f>+'5.a. mell. Jogalkotás'!D25</f>
        <v>5700</v>
      </c>
      <c r="H11" s="591">
        <f>+'5.a. mell. Jogalkotás'!E25</f>
        <v>1158</v>
      </c>
      <c r="I11" s="593">
        <f>+'5.a. mell. Jogalkotás'!F25</f>
        <v>6858</v>
      </c>
      <c r="J11" s="594">
        <f>+'5.b. mell. VF saját forrásból'!D25</f>
        <v>0</v>
      </c>
      <c r="K11" s="591">
        <f>+'5.b. mell. VF saját forrásból'!E25</f>
        <v>0</v>
      </c>
      <c r="L11" s="595">
        <f>+'5.b. mell. VF saját forrásból'!F25</f>
        <v>0</v>
      </c>
      <c r="M11" s="592">
        <f>+'5.c. mell. VF Eu forrásból'!D25</f>
        <v>0</v>
      </c>
      <c r="N11" s="591">
        <f>+'5.c. mell. VF Eu forrásból'!E25</f>
        <v>0</v>
      </c>
      <c r="O11" s="593">
        <f>+'5.c. mell. VF Eu forrásból'!F25</f>
        <v>0</v>
      </c>
      <c r="P11" s="592">
        <f>+'5.d. mell. Védőnő, EÜ'!D25</f>
        <v>1080</v>
      </c>
      <c r="Q11" s="591">
        <f>+'5.d. mell. Védőnő, EÜ'!E25</f>
        <v>0</v>
      </c>
      <c r="R11" s="593">
        <f>+'5.d. mell. Védőnő, EÜ'!F25</f>
        <v>1080</v>
      </c>
      <c r="S11" s="592"/>
      <c r="T11" s="591"/>
      <c r="U11" s="593"/>
      <c r="V11" s="592"/>
      <c r="W11" s="591"/>
      <c r="X11" s="593"/>
      <c r="Y11" s="594">
        <f>+'5.g. mell. Egyéb tev.'!D26</f>
        <v>51392</v>
      </c>
      <c r="Z11" s="591">
        <f>+'5.g. mell. Egyéb tev.'!E26</f>
        <v>3454</v>
      </c>
      <c r="AA11" s="593">
        <f>+'5.g. mell. Egyéb tev.'!F26</f>
        <v>54846</v>
      </c>
      <c r="AB11" s="348"/>
      <c r="AC11" s="348"/>
    </row>
    <row r="12" spans="1:29" s="48" customFormat="1" ht="12.75" customHeight="1">
      <c r="A12" s="571" t="s">
        <v>72</v>
      </c>
      <c r="B12" s="972" t="s">
        <v>156</v>
      </c>
      <c r="C12" s="973"/>
      <c r="D12" s="583">
        <f t="shared" si="7"/>
        <v>1680</v>
      </c>
      <c r="E12" s="582">
        <f t="shared" si="6"/>
        <v>-150</v>
      </c>
      <c r="F12" s="582">
        <f t="shared" si="6"/>
        <v>1530</v>
      </c>
      <c r="G12" s="592">
        <f>+'5.a. mell. Jogalkotás'!D28</f>
        <v>1500</v>
      </c>
      <c r="H12" s="591">
        <f>+'5.a. mell. Jogalkotás'!E28</f>
        <v>-150</v>
      </c>
      <c r="I12" s="593">
        <f>+'5.a. mell. Jogalkotás'!F28</f>
        <v>1350</v>
      </c>
      <c r="J12" s="594">
        <f>+'5.b. mell. VF saját forrásból'!D28</f>
        <v>0</v>
      </c>
      <c r="K12" s="591">
        <f>+'5.b. mell. VF saját forrásból'!E28</f>
        <v>0</v>
      </c>
      <c r="L12" s="595">
        <f>+'5.b. mell. VF saját forrásból'!F28</f>
        <v>0</v>
      </c>
      <c r="M12" s="592">
        <f>+'5.c. mell. VF Eu forrásból'!D28</f>
        <v>0</v>
      </c>
      <c r="N12" s="591">
        <f>+'5.c. mell. VF Eu forrásból'!E28</f>
        <v>0</v>
      </c>
      <c r="O12" s="593">
        <f>+'5.c. mell. VF Eu forrásból'!F28</f>
        <v>0</v>
      </c>
      <c r="P12" s="592">
        <f>+'5.d. mell. Védőnő, EÜ'!D28</f>
        <v>180</v>
      </c>
      <c r="Q12" s="591">
        <f>+'5.d. mell. Védőnő, EÜ'!E28</f>
        <v>0</v>
      </c>
      <c r="R12" s="593">
        <f>+'5.d. mell. Védőnő, EÜ'!F28</f>
        <v>180</v>
      </c>
      <c r="S12" s="592"/>
      <c r="T12" s="591"/>
      <c r="U12" s="593"/>
      <c r="V12" s="592"/>
      <c r="W12" s="591"/>
      <c r="X12" s="593"/>
      <c r="Y12" s="594">
        <f>+'5.g. mell. Egyéb tev.'!D29</f>
        <v>0</v>
      </c>
      <c r="Z12" s="591">
        <f>+'5.g. mell. Egyéb tev.'!E29</f>
        <v>0</v>
      </c>
      <c r="AA12" s="593">
        <f>+'5.g. mell. Egyéb tev.'!F29</f>
        <v>0</v>
      </c>
      <c r="AB12" s="348"/>
      <c r="AC12" s="348"/>
    </row>
    <row r="13" spans="1:29" s="48" customFormat="1" ht="28.5" customHeight="1">
      <c r="A13" s="571" t="s">
        <v>81</v>
      </c>
      <c r="B13" s="972" t="s">
        <v>153</v>
      </c>
      <c r="C13" s="973"/>
      <c r="D13" s="583">
        <f>+G13+J13+M13+P13+S13+V13+Y13</f>
        <v>19133</v>
      </c>
      <c r="E13" s="582">
        <f t="shared" si="6"/>
        <v>16249</v>
      </c>
      <c r="F13" s="582">
        <f t="shared" si="6"/>
        <v>35382</v>
      </c>
      <c r="G13" s="592">
        <f>+'5.a. mell. Jogalkotás'!D34</f>
        <v>750</v>
      </c>
      <c r="H13" s="591">
        <f>+'5.a. mell. Jogalkotás'!E34</f>
        <v>11292</v>
      </c>
      <c r="I13" s="593">
        <f>+'5.a. mell. Jogalkotás'!F34</f>
        <v>12042</v>
      </c>
      <c r="J13" s="594">
        <f>+'5.b. mell. VF saját forrásból'!D34</f>
        <v>0</v>
      </c>
      <c r="K13" s="591">
        <f>+'5.b. mell. VF saját forrásból'!E34</f>
        <v>0</v>
      </c>
      <c r="L13" s="595">
        <f>+'5.b. mell. VF saját forrásból'!F34</f>
        <v>0</v>
      </c>
      <c r="M13" s="592">
        <f>+'5.c. mell. VF Eu forrásból'!D34</f>
        <v>0</v>
      </c>
      <c r="N13" s="591">
        <f>+'5.c. mell. VF Eu forrásból'!E34</f>
        <v>0</v>
      </c>
      <c r="O13" s="593">
        <f>+'5.c. mell. VF Eu forrásból'!F34</f>
        <v>0</v>
      </c>
      <c r="P13" s="592">
        <f>+'5.d. mell. Védőnő, EÜ'!D34</f>
        <v>175</v>
      </c>
      <c r="Q13" s="591">
        <f>+'5.d. mell. Védőnő, EÜ'!E34</f>
        <v>0</v>
      </c>
      <c r="R13" s="593">
        <f>+'5.d. mell. Védőnő, EÜ'!F34</f>
        <v>175</v>
      </c>
      <c r="S13" s="592"/>
      <c r="T13" s="591"/>
      <c r="U13" s="593"/>
      <c r="V13" s="592"/>
      <c r="W13" s="591"/>
      <c r="X13" s="593"/>
      <c r="Y13" s="594">
        <f>+'5.g. mell. Egyéb tev.'!D35</f>
        <v>18208</v>
      </c>
      <c r="Z13" s="591">
        <f>+'5.g. mell. Egyéb tev.'!E35</f>
        <v>4957</v>
      </c>
      <c r="AA13" s="593">
        <f>+'5.g. mell. Egyéb tev.'!F35</f>
        <v>23165</v>
      </c>
      <c r="AB13" s="348"/>
      <c r="AC13" s="348"/>
    </row>
    <row r="14" spans="1:29" s="48" customFormat="1" ht="12.75" customHeight="1">
      <c r="A14" s="572" t="s">
        <v>82</v>
      </c>
      <c r="B14" s="970" t="s">
        <v>152</v>
      </c>
      <c r="C14" s="971"/>
      <c r="D14" s="583">
        <f>+G14+J14+M14+P14+S14+V14+Y14</f>
        <v>80725</v>
      </c>
      <c r="E14" s="582">
        <f t="shared" si="6"/>
        <v>23939</v>
      </c>
      <c r="F14" s="582">
        <f t="shared" si="6"/>
        <v>104664</v>
      </c>
      <c r="G14" s="583">
        <f>SUM(G9:G13)</f>
        <v>8550</v>
      </c>
      <c r="H14" s="582">
        <f t="shared" ref="H14:I14" si="8">SUM(H9:H13)</f>
        <v>15238</v>
      </c>
      <c r="I14" s="584">
        <f t="shared" si="8"/>
        <v>23788</v>
      </c>
      <c r="J14" s="585">
        <f>+'5.b. mell. VF saját forrásból'!D35</f>
        <v>0</v>
      </c>
      <c r="K14" s="582">
        <f>+'5.b. mell. VF saját forrásból'!E35</f>
        <v>0</v>
      </c>
      <c r="L14" s="586">
        <f>+'5.b. mell. VF saját forrásból'!F35</f>
        <v>0</v>
      </c>
      <c r="M14" s="583">
        <f>SUM(M9:M13)</f>
        <v>0</v>
      </c>
      <c r="N14" s="582">
        <f t="shared" ref="N14:O14" si="9">SUM(N9:N13)</f>
        <v>0</v>
      </c>
      <c r="O14" s="584">
        <f t="shared" si="9"/>
        <v>0</v>
      </c>
      <c r="P14" s="583">
        <f>SUM(P9:P13)</f>
        <v>2075</v>
      </c>
      <c r="Q14" s="582">
        <f t="shared" ref="Q14:R14" si="10">SUM(Q9:Q13)</f>
        <v>0</v>
      </c>
      <c r="R14" s="584">
        <f t="shared" si="10"/>
        <v>2075</v>
      </c>
      <c r="S14" s="583"/>
      <c r="T14" s="582"/>
      <c r="U14" s="584"/>
      <c r="V14" s="583"/>
      <c r="W14" s="582"/>
      <c r="X14" s="584"/>
      <c r="Y14" s="585">
        <f>SUM(Y9:Y13)</f>
        <v>70100</v>
      </c>
      <c r="Z14" s="582">
        <f t="shared" ref="Z14:AA14" si="11">SUM(Z9:Z13)</f>
        <v>8701</v>
      </c>
      <c r="AA14" s="584">
        <f t="shared" si="11"/>
        <v>78801</v>
      </c>
      <c r="AB14" s="348"/>
      <c r="AC14" s="348"/>
    </row>
    <row r="15" spans="1:29">
      <c r="A15" s="201"/>
      <c r="B15" s="575"/>
      <c r="C15" s="475"/>
      <c r="D15" s="587"/>
      <c r="E15" s="757"/>
      <c r="F15" s="757"/>
      <c r="G15" s="589"/>
      <c r="H15" s="588"/>
      <c r="I15" s="590"/>
      <c r="J15" s="588"/>
      <c r="K15" s="588"/>
      <c r="L15" s="588"/>
      <c r="M15" s="589"/>
      <c r="N15" s="588"/>
      <c r="O15" s="590"/>
      <c r="P15" s="589"/>
      <c r="Q15" s="588"/>
      <c r="R15" s="590"/>
      <c r="S15" s="589"/>
      <c r="T15" s="588"/>
      <c r="U15" s="590"/>
      <c r="V15" s="589"/>
      <c r="W15" s="588"/>
      <c r="X15" s="590"/>
      <c r="Y15" s="588"/>
      <c r="Z15" s="588"/>
      <c r="AA15" s="590"/>
    </row>
    <row r="16" spans="1:29" s="48" customFormat="1" ht="12.75" customHeight="1">
      <c r="A16" s="572" t="s">
        <v>95</v>
      </c>
      <c r="B16" s="977" t="s">
        <v>151</v>
      </c>
      <c r="C16" s="978"/>
      <c r="D16" s="583">
        <f>+G16+J16+M16+P16+S16+V16+Y16</f>
        <v>22778</v>
      </c>
      <c r="E16" s="582">
        <f t="shared" ref="E16:F16" si="12">+H16+K16+N16+Q16+T16+W16+Z16</f>
        <v>-1158</v>
      </c>
      <c r="F16" s="582">
        <f t="shared" si="12"/>
        <v>21620</v>
      </c>
      <c r="G16" s="583"/>
      <c r="H16" s="582"/>
      <c r="I16" s="584"/>
      <c r="J16" s="585"/>
      <c r="K16" s="582"/>
      <c r="L16" s="586"/>
      <c r="M16" s="583"/>
      <c r="N16" s="582"/>
      <c r="O16" s="584"/>
      <c r="P16" s="583"/>
      <c r="Q16" s="582"/>
      <c r="R16" s="584"/>
      <c r="S16" s="583">
        <f>+'5.e. mell. Szociális ellátások'!C7</f>
        <v>22778</v>
      </c>
      <c r="T16" s="582">
        <f>+'5.e. mell. Szociális ellátások'!D7</f>
        <v>-1158</v>
      </c>
      <c r="U16" s="584">
        <f>+'5.e. mell. Szociális ellátások'!E7</f>
        <v>21620</v>
      </c>
      <c r="V16" s="583"/>
      <c r="W16" s="582"/>
      <c r="X16" s="584"/>
      <c r="Y16" s="585"/>
      <c r="Z16" s="582"/>
      <c r="AA16" s="584"/>
      <c r="AB16" s="348"/>
      <c r="AC16" s="348"/>
    </row>
    <row r="17" spans="1:29">
      <c r="A17" s="201"/>
      <c r="B17" s="979"/>
      <c r="C17" s="980"/>
      <c r="D17" s="587"/>
      <c r="E17" s="757"/>
      <c r="F17" s="757"/>
      <c r="G17" s="589"/>
      <c r="H17" s="588"/>
      <c r="I17" s="590"/>
      <c r="J17" s="588"/>
      <c r="K17" s="588"/>
      <c r="L17" s="588"/>
      <c r="M17" s="589"/>
      <c r="N17" s="588"/>
      <c r="O17" s="590"/>
      <c r="P17" s="589"/>
      <c r="Q17" s="588"/>
      <c r="R17" s="590"/>
      <c r="S17" s="589"/>
      <c r="T17" s="588"/>
      <c r="U17" s="590"/>
      <c r="V17" s="589"/>
      <c r="W17" s="588"/>
      <c r="X17" s="590"/>
      <c r="Y17" s="588"/>
      <c r="Z17" s="588"/>
      <c r="AA17" s="590"/>
    </row>
    <row r="18" spans="1:29" s="48" customFormat="1" ht="12.75" customHeight="1">
      <c r="A18" s="572" t="s">
        <v>109</v>
      </c>
      <c r="B18" s="970" t="s">
        <v>164</v>
      </c>
      <c r="C18" s="971"/>
      <c r="D18" s="583">
        <f>+G18+J18+M18+P18+S18+V18+Y18</f>
        <v>802213</v>
      </c>
      <c r="E18" s="582">
        <f t="shared" ref="E18:F19" si="13">+H18+K18+N18+Q18+T18+W18+Z18</f>
        <v>-77921</v>
      </c>
      <c r="F18" s="582">
        <f t="shared" si="13"/>
        <v>724292</v>
      </c>
      <c r="G18" s="583"/>
      <c r="H18" s="582"/>
      <c r="I18" s="584"/>
      <c r="J18" s="585"/>
      <c r="K18" s="582"/>
      <c r="L18" s="586"/>
      <c r="M18" s="583"/>
      <c r="N18" s="582"/>
      <c r="O18" s="584"/>
      <c r="P18" s="583"/>
      <c r="Q18" s="582"/>
      <c r="R18" s="584"/>
      <c r="S18" s="583"/>
      <c r="T18" s="582"/>
      <c r="U18" s="584"/>
      <c r="V18" s="583">
        <f>+'5.f. mell. Átadott pénzeszk.'!C46+'5.f. mell. Átadott pénzeszk.'!F46</f>
        <v>350596</v>
      </c>
      <c r="W18" s="582">
        <f>+'5.f. mell. Átadott pénzeszk.'!D46+'5.f. mell. Átadott pénzeszk.'!G46</f>
        <v>18683</v>
      </c>
      <c r="X18" s="584">
        <f>+'5.f. mell. Átadott pénzeszk.'!E46+'5.f. mell. Átadott pénzeszk.'!H46</f>
        <v>369279</v>
      </c>
      <c r="Y18" s="585">
        <f>+'5.g. mell. Egyéb tev.'!D71</f>
        <v>451617</v>
      </c>
      <c r="Z18" s="582">
        <f>+'5.g. mell. Egyéb tev.'!E71</f>
        <v>-96604</v>
      </c>
      <c r="AA18" s="584">
        <f>+'5.g. mell. Egyéb tev.'!F71</f>
        <v>355013</v>
      </c>
      <c r="AB18" s="348"/>
      <c r="AC18" s="348"/>
    </row>
    <row r="19" spans="1:29" s="48" customFormat="1" ht="12.75" customHeight="1">
      <c r="A19" s="572"/>
      <c r="B19" s="972" t="s">
        <v>593</v>
      </c>
      <c r="C19" s="973"/>
      <c r="D19" s="583">
        <f>+G19+J19+M19+P19+S19+V19+Y19</f>
        <v>451617</v>
      </c>
      <c r="E19" s="582">
        <f t="shared" si="13"/>
        <v>-101951</v>
      </c>
      <c r="F19" s="582">
        <f t="shared" si="13"/>
        <v>349666</v>
      </c>
      <c r="G19" s="583"/>
      <c r="H19" s="582"/>
      <c r="I19" s="584"/>
      <c r="J19" s="585"/>
      <c r="K19" s="582"/>
      <c r="L19" s="586"/>
      <c r="M19" s="583"/>
      <c r="N19" s="582"/>
      <c r="O19" s="584"/>
      <c r="P19" s="583"/>
      <c r="Q19" s="582"/>
      <c r="R19" s="584"/>
      <c r="S19" s="583"/>
      <c r="T19" s="582"/>
      <c r="U19" s="584"/>
      <c r="V19" s="583"/>
      <c r="W19" s="582"/>
      <c r="X19" s="584"/>
      <c r="Y19" s="585">
        <f>+'5.g. mell. Egyéb tev.'!D63</f>
        <v>451617</v>
      </c>
      <c r="Z19" s="582">
        <f>+'5.g. mell. Egyéb tev.'!E63</f>
        <v>-101951</v>
      </c>
      <c r="AA19" s="584">
        <f>+'5.g. mell. Egyéb tev.'!F63</f>
        <v>349666</v>
      </c>
      <c r="AB19" s="348"/>
      <c r="AC19" s="348"/>
    </row>
    <row r="20" spans="1:29">
      <c r="A20" s="201"/>
      <c r="B20" s="575"/>
      <c r="C20" s="475"/>
      <c r="D20" s="587"/>
      <c r="E20" s="757"/>
      <c r="F20" s="757"/>
      <c r="G20" s="589"/>
      <c r="H20" s="588"/>
      <c r="I20" s="590"/>
      <c r="J20" s="588"/>
      <c r="K20" s="588"/>
      <c r="L20" s="588"/>
      <c r="M20" s="589"/>
      <c r="N20" s="588"/>
      <c r="O20" s="590"/>
      <c r="P20" s="589"/>
      <c r="Q20" s="588"/>
      <c r="R20" s="590"/>
      <c r="S20" s="589"/>
      <c r="T20" s="588"/>
      <c r="U20" s="590"/>
      <c r="V20" s="589"/>
      <c r="W20" s="588"/>
      <c r="X20" s="590"/>
      <c r="Y20" s="588"/>
      <c r="Z20" s="588"/>
      <c r="AA20" s="590"/>
    </row>
    <row r="21" spans="1:29" s="48" customFormat="1" ht="12.75" customHeight="1">
      <c r="A21" s="572" t="s">
        <v>124</v>
      </c>
      <c r="B21" s="970" t="s">
        <v>162</v>
      </c>
      <c r="C21" s="971"/>
      <c r="D21" s="583">
        <f>+G21+J21+M21+P21+S21+V21+Y21</f>
        <v>320</v>
      </c>
      <c r="E21" s="582">
        <f t="shared" ref="E21:F21" si="14">+H21+K21+N21+Q21+T21+W21+Z21</f>
        <v>76289</v>
      </c>
      <c r="F21" s="582">
        <f t="shared" si="14"/>
        <v>76609</v>
      </c>
      <c r="G21" s="583"/>
      <c r="H21" s="582"/>
      <c r="I21" s="584"/>
      <c r="J21" s="585">
        <f>+'5.b. mell. VF saját forrásból'!D53</f>
        <v>0</v>
      </c>
      <c r="K21" s="582">
        <f>+'5.b. mell. VF saját forrásból'!E53</f>
        <v>76289</v>
      </c>
      <c r="L21" s="586">
        <f>+'5.b. mell. VF saját forrásból'!F53</f>
        <v>76289</v>
      </c>
      <c r="M21" s="583">
        <f>+'5.c. mell. VF Eu forrásból'!D53</f>
        <v>0</v>
      </c>
      <c r="N21" s="582">
        <f>+'5.c. mell. VF Eu forrásból'!E53</f>
        <v>0</v>
      </c>
      <c r="O21" s="584">
        <f>+'5.c. mell. VF Eu forrásból'!F53</f>
        <v>0</v>
      </c>
      <c r="P21" s="583">
        <f>+'5.d. mell. Védőnő, EÜ'!D45</f>
        <v>320</v>
      </c>
      <c r="Q21" s="582">
        <f>+'5.d. mell. Védőnő, EÜ'!E45</f>
        <v>0</v>
      </c>
      <c r="R21" s="584">
        <f>+'5.d. mell. Védőnő, EÜ'!F45</f>
        <v>320</v>
      </c>
      <c r="S21" s="583"/>
      <c r="T21" s="582"/>
      <c r="U21" s="584"/>
      <c r="V21" s="583"/>
      <c r="W21" s="582"/>
      <c r="X21" s="584"/>
      <c r="Y21" s="585"/>
      <c r="Z21" s="582"/>
      <c r="AA21" s="584"/>
      <c r="AB21" s="348"/>
      <c r="AC21" s="348"/>
    </row>
    <row r="22" spans="1:29">
      <c r="A22" s="201"/>
      <c r="B22" s="575"/>
      <c r="C22" s="475"/>
      <c r="D22" s="587"/>
      <c r="E22" s="757"/>
      <c r="F22" s="757"/>
      <c r="G22" s="589"/>
      <c r="H22" s="588"/>
      <c r="I22" s="590"/>
      <c r="J22" s="588"/>
      <c r="K22" s="588"/>
      <c r="L22" s="588"/>
      <c r="M22" s="589"/>
      <c r="N22" s="588"/>
      <c r="O22" s="590"/>
      <c r="P22" s="589"/>
      <c r="Q22" s="588"/>
      <c r="R22" s="590"/>
      <c r="S22" s="589"/>
      <c r="T22" s="588"/>
      <c r="U22" s="590"/>
      <c r="V22" s="589"/>
      <c r="W22" s="588"/>
      <c r="X22" s="590"/>
      <c r="Y22" s="588"/>
      <c r="Z22" s="588"/>
      <c r="AA22" s="590"/>
    </row>
    <row r="23" spans="1:29" s="48" customFormat="1" ht="12.75" customHeight="1">
      <c r="A23" s="572" t="s">
        <v>133</v>
      </c>
      <c r="B23" s="970" t="s">
        <v>161</v>
      </c>
      <c r="C23" s="971"/>
      <c r="D23" s="583">
        <f>+G23+J23+M23+P23+S23+V23+Y23</f>
        <v>0</v>
      </c>
      <c r="E23" s="582">
        <f t="shared" ref="E23:F23" si="15">+H23+K23+N23+Q23+T23+W23+Z23</f>
        <v>5663</v>
      </c>
      <c r="F23" s="582">
        <f t="shared" si="15"/>
        <v>5663</v>
      </c>
      <c r="G23" s="583"/>
      <c r="H23" s="582"/>
      <c r="I23" s="584"/>
      <c r="J23" s="585">
        <f>+'5.b. mell. VF saját forrásból'!D59</f>
        <v>0</v>
      </c>
      <c r="K23" s="582">
        <f>+'5.b. mell. VF saját forrásból'!E59</f>
        <v>5663</v>
      </c>
      <c r="L23" s="586">
        <f>+'5.b. mell. VF saját forrásból'!F59</f>
        <v>5663</v>
      </c>
      <c r="M23" s="583">
        <f>+'5.c. mell. VF Eu forrásból'!D59</f>
        <v>0</v>
      </c>
      <c r="N23" s="582">
        <f>+'5.c. mell. VF Eu forrásból'!E59</f>
        <v>0</v>
      </c>
      <c r="O23" s="584">
        <f>+'5.c. mell. VF Eu forrásból'!F59</f>
        <v>0</v>
      </c>
      <c r="P23" s="583"/>
      <c r="Q23" s="582"/>
      <c r="R23" s="584"/>
      <c r="S23" s="583"/>
      <c r="T23" s="582"/>
      <c r="U23" s="584"/>
      <c r="V23" s="583"/>
      <c r="W23" s="582"/>
      <c r="X23" s="584"/>
      <c r="Y23" s="585"/>
      <c r="Z23" s="582"/>
      <c r="AA23" s="584"/>
      <c r="AB23" s="348"/>
      <c r="AC23" s="348"/>
    </row>
    <row r="24" spans="1:29">
      <c r="A24" s="201"/>
      <c r="B24" s="575"/>
      <c r="C24" s="475"/>
      <c r="D24" s="587"/>
      <c r="E24" s="757"/>
      <c r="F24" s="757"/>
      <c r="G24" s="589"/>
      <c r="H24" s="588"/>
      <c r="I24" s="590"/>
      <c r="J24" s="588"/>
      <c r="K24" s="588"/>
      <c r="L24" s="588"/>
      <c r="M24" s="589"/>
      <c r="N24" s="588"/>
      <c r="O24" s="590"/>
      <c r="P24" s="589"/>
      <c r="Q24" s="588"/>
      <c r="R24" s="590"/>
      <c r="S24" s="589"/>
      <c r="T24" s="588"/>
      <c r="U24" s="590"/>
      <c r="V24" s="589"/>
      <c r="W24" s="588"/>
      <c r="X24" s="590"/>
      <c r="Y24" s="588"/>
      <c r="Z24" s="588"/>
      <c r="AA24" s="590"/>
    </row>
    <row r="25" spans="1:29" s="48" customFormat="1" ht="12.75" customHeight="1">
      <c r="A25" s="572" t="s">
        <v>135</v>
      </c>
      <c r="B25" s="970" t="s">
        <v>159</v>
      </c>
      <c r="C25" s="971"/>
      <c r="D25" s="583">
        <f>+G25+J25+M25+P25+S25+V25+Y25</f>
        <v>4300</v>
      </c>
      <c r="E25" s="582">
        <f t="shared" ref="E25:F25" si="16">+H25+K25+N25+Q25+T25+W25+Z25</f>
        <v>8317</v>
      </c>
      <c r="F25" s="582">
        <f t="shared" si="16"/>
        <v>12617</v>
      </c>
      <c r="G25" s="583"/>
      <c r="H25" s="582"/>
      <c r="I25" s="584"/>
      <c r="J25" s="585"/>
      <c r="K25" s="582"/>
      <c r="L25" s="586"/>
      <c r="M25" s="583"/>
      <c r="N25" s="582"/>
      <c r="O25" s="584"/>
      <c r="P25" s="583"/>
      <c r="Q25" s="582"/>
      <c r="R25" s="584"/>
      <c r="S25" s="583"/>
      <c r="T25" s="582"/>
      <c r="U25" s="584"/>
      <c r="V25" s="583">
        <f>+'5.f. mell. Átadott pénzeszk.'!I46</f>
        <v>4300</v>
      </c>
      <c r="W25" s="582">
        <f>+'5.f. mell. Átadott pénzeszk.'!J46</f>
        <v>8317</v>
      </c>
      <c r="X25" s="584">
        <f>+'5.f. mell. Átadott pénzeszk.'!K46</f>
        <v>12617</v>
      </c>
      <c r="Y25" s="585"/>
      <c r="Z25" s="582"/>
      <c r="AA25" s="584"/>
      <c r="AB25" s="348"/>
      <c r="AC25" s="348"/>
    </row>
    <row r="26" spans="1:29">
      <c r="A26" s="201"/>
      <c r="B26" s="575"/>
      <c r="C26" s="475"/>
      <c r="D26" s="587"/>
      <c r="E26" s="757"/>
      <c r="F26" s="757"/>
      <c r="G26" s="589"/>
      <c r="H26" s="588"/>
      <c r="I26" s="590"/>
      <c r="J26" s="588"/>
      <c r="K26" s="588"/>
      <c r="L26" s="588"/>
      <c r="M26" s="589"/>
      <c r="N26" s="588"/>
      <c r="O26" s="590"/>
      <c r="P26" s="589"/>
      <c r="Q26" s="588"/>
      <c r="R26" s="590"/>
      <c r="S26" s="589"/>
      <c r="T26" s="588"/>
      <c r="U26" s="590"/>
      <c r="V26" s="589"/>
      <c r="W26" s="588"/>
      <c r="X26" s="590"/>
      <c r="Y26" s="588"/>
      <c r="Z26" s="588"/>
      <c r="AA26" s="590"/>
    </row>
    <row r="27" spans="1:29" s="48" customFormat="1" ht="12.75" customHeight="1">
      <c r="A27" s="573" t="s">
        <v>136</v>
      </c>
      <c r="B27" s="970" t="s">
        <v>158</v>
      </c>
      <c r="C27" s="971"/>
      <c r="D27" s="583">
        <f>+G27+J27+M27+P27+S27+V27+Y27</f>
        <v>960203</v>
      </c>
      <c r="E27" s="582">
        <f t="shared" ref="E27:F27" si="17">+H27+K27+N27+Q27+T27+W27+Z27</f>
        <v>35148</v>
      </c>
      <c r="F27" s="582">
        <f t="shared" si="17"/>
        <v>995351</v>
      </c>
      <c r="G27" s="583">
        <f>+G25+G23+G21+G18+G16+G14+G7+G5</f>
        <v>31237</v>
      </c>
      <c r="H27" s="582">
        <f t="shared" ref="H27:AA27" si="18">+H25+H23+H21+H18+H16+H14+H7+H5</f>
        <v>15238</v>
      </c>
      <c r="I27" s="584">
        <f t="shared" si="18"/>
        <v>46475</v>
      </c>
      <c r="J27" s="585">
        <f t="shared" si="18"/>
        <v>0</v>
      </c>
      <c r="K27" s="582">
        <f t="shared" ref="K27:L27" si="19">+K25+K23+K21+K18+K16+K14+K7+K5</f>
        <v>81952</v>
      </c>
      <c r="L27" s="586">
        <f t="shared" si="19"/>
        <v>81952</v>
      </c>
      <c r="M27" s="583">
        <f t="shared" si="18"/>
        <v>0</v>
      </c>
      <c r="N27" s="582">
        <f t="shared" si="18"/>
        <v>0</v>
      </c>
      <c r="O27" s="584">
        <f t="shared" si="18"/>
        <v>0</v>
      </c>
      <c r="P27" s="583">
        <f t="shared" si="18"/>
        <v>15439</v>
      </c>
      <c r="Q27" s="582">
        <f t="shared" si="18"/>
        <v>0</v>
      </c>
      <c r="R27" s="584">
        <f t="shared" si="18"/>
        <v>15439</v>
      </c>
      <c r="S27" s="583">
        <f t="shared" si="18"/>
        <v>22778</v>
      </c>
      <c r="T27" s="582">
        <f t="shared" si="18"/>
        <v>-1158</v>
      </c>
      <c r="U27" s="584">
        <f t="shared" si="18"/>
        <v>21620</v>
      </c>
      <c r="V27" s="583">
        <f t="shared" si="18"/>
        <v>354896</v>
      </c>
      <c r="W27" s="582">
        <f>+W25+W23+W21+W18+W16+W14+W7+W5</f>
        <v>27000</v>
      </c>
      <c r="X27" s="584">
        <f t="shared" si="18"/>
        <v>381896</v>
      </c>
      <c r="Y27" s="585">
        <f t="shared" si="18"/>
        <v>535853</v>
      </c>
      <c r="Z27" s="582">
        <f t="shared" si="18"/>
        <v>-87884</v>
      </c>
      <c r="AA27" s="582">
        <f t="shared" si="18"/>
        <v>447969</v>
      </c>
      <c r="AB27" s="348"/>
      <c r="AC27" s="348"/>
    </row>
    <row r="28" spans="1:29" ht="9.75" customHeight="1">
      <c r="A28" s="202"/>
      <c r="B28" s="576"/>
      <c r="C28" s="477"/>
      <c r="D28" s="587"/>
      <c r="E28" s="757"/>
      <c r="F28" s="757"/>
      <c r="G28" s="589"/>
      <c r="H28" s="588"/>
      <c r="I28" s="590"/>
      <c r="J28" s="588"/>
      <c r="K28" s="588"/>
      <c r="L28" s="588"/>
      <c r="M28" s="589"/>
      <c r="N28" s="588"/>
      <c r="O28" s="590"/>
      <c r="P28" s="589"/>
      <c r="Q28" s="588"/>
      <c r="R28" s="590"/>
      <c r="S28" s="589"/>
      <c r="T28" s="588"/>
      <c r="U28" s="590"/>
      <c r="V28" s="589"/>
      <c r="W28" s="588"/>
      <c r="X28" s="590"/>
      <c r="Y28" s="588"/>
      <c r="Z28" s="588"/>
      <c r="AA28" s="590"/>
    </row>
    <row r="29" spans="1:29" s="48" customFormat="1" ht="13.8" thickBot="1">
      <c r="A29" s="574" t="s">
        <v>272</v>
      </c>
      <c r="B29" s="981" t="s">
        <v>278</v>
      </c>
      <c r="C29" s="982"/>
      <c r="D29" s="596">
        <f>+G29+J29+M29+P29+S29+V29+Y29</f>
        <v>384183</v>
      </c>
      <c r="E29" s="597">
        <f t="shared" ref="E29:F29" si="20">+H29+K29+N29+Q29+T29+W29+Z29</f>
        <v>22784</v>
      </c>
      <c r="F29" s="597">
        <f t="shared" si="20"/>
        <v>406967</v>
      </c>
      <c r="G29" s="598"/>
      <c r="H29" s="599"/>
      <c r="I29" s="600"/>
      <c r="J29" s="601"/>
      <c r="K29" s="597"/>
      <c r="L29" s="602"/>
      <c r="M29" s="596"/>
      <c r="N29" s="597"/>
      <c r="O29" s="600"/>
      <c r="P29" s="596"/>
      <c r="Q29" s="597"/>
      <c r="R29" s="600"/>
      <c r="S29" s="596"/>
      <c r="T29" s="597"/>
      <c r="U29" s="600"/>
      <c r="V29" s="596"/>
      <c r="W29" s="597"/>
      <c r="X29" s="600"/>
      <c r="Y29" s="601">
        <f>+'5.g. mell. Egyéb tev.'!AB102</f>
        <v>384183</v>
      </c>
      <c r="Z29" s="597">
        <f>+'5.g. mell. Egyéb tev.'!AC102</f>
        <v>22784</v>
      </c>
      <c r="AA29" s="600">
        <f>+'5.g. mell. Egyéb tev.'!AD102</f>
        <v>406967</v>
      </c>
      <c r="AB29" s="348"/>
      <c r="AC29" s="348"/>
    </row>
    <row r="30" spans="1:29" s="48" customFormat="1" ht="18.75" customHeight="1" thickBot="1">
      <c r="A30" s="974" t="s">
        <v>635</v>
      </c>
      <c r="B30" s="975"/>
      <c r="C30" s="976"/>
      <c r="D30" s="603">
        <f t="shared" ref="D30:AA30" si="21">+D29+D27</f>
        <v>1344386</v>
      </c>
      <c r="E30" s="603">
        <f t="shared" ref="E30:F30" si="22">+E29+E27</f>
        <v>57932</v>
      </c>
      <c r="F30" s="603">
        <f t="shared" si="22"/>
        <v>1402318</v>
      </c>
      <c r="G30" s="603">
        <f t="shared" si="21"/>
        <v>31237</v>
      </c>
      <c r="H30" s="603">
        <f t="shared" si="21"/>
        <v>15238</v>
      </c>
      <c r="I30" s="603">
        <f t="shared" si="21"/>
        <v>46475</v>
      </c>
      <c r="J30" s="603">
        <f t="shared" si="21"/>
        <v>0</v>
      </c>
      <c r="K30" s="603">
        <f t="shared" ref="K30:L30" si="23">+K29+K27</f>
        <v>81952</v>
      </c>
      <c r="L30" s="603">
        <f t="shared" si="23"/>
        <v>81952</v>
      </c>
      <c r="M30" s="603">
        <f t="shared" si="21"/>
        <v>0</v>
      </c>
      <c r="N30" s="603">
        <f t="shared" si="21"/>
        <v>0</v>
      </c>
      <c r="O30" s="603">
        <f t="shared" si="21"/>
        <v>0</v>
      </c>
      <c r="P30" s="603">
        <f t="shared" si="21"/>
        <v>15439</v>
      </c>
      <c r="Q30" s="603">
        <f t="shared" si="21"/>
        <v>0</v>
      </c>
      <c r="R30" s="603">
        <f t="shared" si="21"/>
        <v>15439</v>
      </c>
      <c r="S30" s="603">
        <f t="shared" si="21"/>
        <v>22778</v>
      </c>
      <c r="T30" s="603">
        <f t="shared" si="21"/>
        <v>-1158</v>
      </c>
      <c r="U30" s="603">
        <f t="shared" si="21"/>
        <v>21620</v>
      </c>
      <c r="V30" s="603">
        <f t="shared" si="21"/>
        <v>354896</v>
      </c>
      <c r="W30" s="603">
        <f t="shared" si="21"/>
        <v>27000</v>
      </c>
      <c r="X30" s="603">
        <f t="shared" si="21"/>
        <v>381896</v>
      </c>
      <c r="Y30" s="603">
        <f t="shared" si="21"/>
        <v>920036</v>
      </c>
      <c r="Z30" s="603">
        <f t="shared" si="21"/>
        <v>-65100</v>
      </c>
      <c r="AA30" s="603">
        <f t="shared" si="21"/>
        <v>854936</v>
      </c>
      <c r="AB30" s="348"/>
      <c r="AC30" s="348"/>
    </row>
  </sheetData>
  <mergeCells count="30">
    <mergeCell ref="A1:A2"/>
    <mergeCell ref="B1:C2"/>
    <mergeCell ref="D1:F1"/>
    <mergeCell ref="V1:X1"/>
    <mergeCell ref="Y1:AA1"/>
    <mergeCell ref="P1:R1"/>
    <mergeCell ref="S1:U1"/>
    <mergeCell ref="J1:L1"/>
    <mergeCell ref="M1:O1"/>
    <mergeCell ref="G1:I1"/>
    <mergeCell ref="A30:C30"/>
    <mergeCell ref="B14:C14"/>
    <mergeCell ref="B18:C18"/>
    <mergeCell ref="B16:C16"/>
    <mergeCell ref="B17:C17"/>
    <mergeCell ref="B25:C25"/>
    <mergeCell ref="B29:C29"/>
    <mergeCell ref="B27:C27"/>
    <mergeCell ref="B3:C3"/>
    <mergeCell ref="B5:C5"/>
    <mergeCell ref="B4:C4"/>
    <mergeCell ref="B23:C23"/>
    <mergeCell ref="B10:C10"/>
    <mergeCell ref="B9:C9"/>
    <mergeCell ref="B21:C21"/>
    <mergeCell ref="B7:C7"/>
    <mergeCell ref="B19:C19"/>
    <mergeCell ref="B11:C11"/>
    <mergeCell ref="B12:C12"/>
    <mergeCell ref="B13:C13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71" orientation="landscape" r:id="rId1"/>
  <headerFooter>
    <oddHeader>&amp;C&amp;"Times New Roman,Félkövér"&amp;12Martonvásár Város Önkormányzatának kiadásai 2016.
&amp;"Times New Roman,Dőlt"(intézmények nélkül)&amp;R&amp;"Times New Roman,Félkövér"&amp;12 5.melléklet</oddHead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16</vt:i4>
      </vt:variant>
    </vt:vector>
  </HeadingPairs>
  <TitlesOfParts>
    <vt:vector size="47" baseType="lpstr">
      <vt:lpstr>Tart.</vt:lpstr>
      <vt:lpstr>1.mell. Mérleg</vt:lpstr>
      <vt:lpstr>2.mell. Mérleg</vt:lpstr>
      <vt:lpstr>3.mell. Bevétel</vt:lpstr>
      <vt:lpstr>3.a átvett pe.</vt:lpstr>
      <vt:lpstr>3.b mell. Működési bevételek</vt:lpstr>
      <vt:lpstr>3.c. mell. Közhatalmi bevételek</vt:lpstr>
      <vt:lpstr>4.mell. Normatíva</vt:lpstr>
      <vt:lpstr>5. mell. Önk.össz kiadás</vt:lpstr>
      <vt:lpstr>5.a. mell. Jogalkotás</vt:lpstr>
      <vt:lpstr>5.b. mell. VF saját forrásból</vt:lpstr>
      <vt:lpstr>5.c. mell. VF Eu forrásból</vt:lpstr>
      <vt:lpstr>5.d. mell. Védőnő, EÜ</vt:lpstr>
      <vt:lpstr>5.e. mell. Szociális ellátások</vt:lpstr>
      <vt:lpstr>5.f. mell. Átadott pénzeszk.</vt:lpstr>
      <vt:lpstr>5.g. mell. Egyéb tev.</vt:lpstr>
      <vt:lpstr>6. mell. Int.összesen</vt:lpstr>
      <vt:lpstr>6.a. mell. PH</vt:lpstr>
      <vt:lpstr>6.b. mell. Óvoda</vt:lpstr>
      <vt:lpstr>6.c. mell. BBKP</vt:lpstr>
      <vt:lpstr>7.mell. Beruházás</vt:lpstr>
      <vt:lpstr>8.mell. Felújítás</vt:lpstr>
      <vt:lpstr>9.mell. Létszámok</vt:lpstr>
      <vt:lpstr>10. mell. Több éves kihat</vt:lpstr>
      <vt:lpstr>11.mell. Ei felhaszn.</vt:lpstr>
      <vt:lpstr>12.a Tételes mód ÖNK</vt:lpstr>
      <vt:lpstr>12.b Tételes mód PH</vt:lpstr>
      <vt:lpstr>12.c Tételes mód. Óvoda </vt:lpstr>
      <vt:lpstr>12.d Tételes mód. BBK</vt:lpstr>
      <vt:lpstr>12.e Konszolidált módosítás</vt:lpstr>
      <vt:lpstr>Munka1</vt:lpstr>
      <vt:lpstr>'12.a Tételes mód ÖNK'!Nyomtatási_cím</vt:lpstr>
      <vt:lpstr>'12.b Tételes mód PH'!Nyomtatási_cím</vt:lpstr>
      <vt:lpstr>'12.d Tételes mód. BBK'!Nyomtatási_cím</vt:lpstr>
      <vt:lpstr>'4.mell. Normatíva'!Nyomtatási_cím</vt:lpstr>
      <vt:lpstr>'5. mell. Önk.össz kiadás'!Nyomtatási_cím</vt:lpstr>
      <vt:lpstr>'5.a. mell. Jogalkotás'!Nyomtatási_cím</vt:lpstr>
      <vt:lpstr>'5.b. mell. VF saját forrásból'!Nyomtatási_cím</vt:lpstr>
      <vt:lpstr>'5.c. mell. VF Eu forrásból'!Nyomtatási_cím</vt:lpstr>
      <vt:lpstr>'5.d. mell. Védőnő, EÜ'!Nyomtatási_cím</vt:lpstr>
      <vt:lpstr>'5.g. mell. Egyéb tev.'!Nyomtatási_cím</vt:lpstr>
      <vt:lpstr>'6.a. mell. PH'!Nyomtatási_cím</vt:lpstr>
      <vt:lpstr>'6.b. mell. Óvoda'!Nyomtatási_cím</vt:lpstr>
      <vt:lpstr>'6.c. mell. BBKP'!Nyomtatási_cím</vt:lpstr>
      <vt:lpstr>'12.c Tételes mód. Óvoda '!Nyomtatási_terület</vt:lpstr>
      <vt:lpstr>'12.d Tételes mód. BBK'!Nyomtatási_terület</vt:lpstr>
      <vt:lpstr>'2.mell. Mérleg'!Nyomtatási_terület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2016-09-27T05:52:13Z</cp:lastPrinted>
  <dcterms:created xsi:type="dcterms:W3CDTF">2014-01-29T08:39:20Z</dcterms:created>
  <dcterms:modified xsi:type="dcterms:W3CDTF">2016-10-14T11:52:30Z</dcterms:modified>
</cp:coreProperties>
</file>