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6\"/>
    </mc:Choice>
  </mc:AlternateContent>
  <bookViews>
    <workbookView xWindow="0" yWindow="0" windowWidth="19200" windowHeight="11595" tabRatio="671" firstSheet="23" activeTab="27"/>
  </bookViews>
  <sheets>
    <sheet name="ÖK feladat" sheetId="102" state="hidden" r:id="rId1"/>
    <sheet name="ÖSSZEFÜGGÉSEK" sheetId="75" state="hidden" r:id="rId2"/>
    <sheet name="1. melléklet" sheetId="11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 mell" sheetId="110" r:id="rId11"/>
    <sheet name="4.sz.mell." sheetId="111" r:id="rId12"/>
    <sheet name="5.sz.mell." sheetId="78" r:id="rId13"/>
    <sheet name="6.sz.mell." sheetId="63" r:id="rId14"/>
    <sheet name="7.sz.mell." sheetId="64" r:id="rId15"/>
    <sheet name="8. sz. mell." sheetId="108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2.sz.mell.  " sheetId="112" r:id="rId25"/>
    <sheet name="13. sz. mell." sheetId="113" r:id="rId26"/>
    <sheet name="14.sz. mell" sheetId="116" r:id="rId27"/>
    <sheet name="1.sz tájékoztató t." sheetId="114" r:id="rId28"/>
    <sheet name="2.sz tájékoztató t." sheetId="115" r:id="rId29"/>
    <sheet name="13.sz.mell" sheetId="89" state="hidden" r:id="rId30"/>
    <sheet name="1a sz tájékoztató t." sheetId="106" state="hidden" r:id="rId31"/>
    <sheet name="1b. sz tájékoztató t." sheetId="105" state="hidden" r:id="rId32"/>
    <sheet name="3. sz tájékoztató t." sheetId="88" state="hidden" r:id="rId33"/>
    <sheet name="3.sz tájékoztató t." sheetId="70" state="hidden" r:id="rId34"/>
    <sheet name="4.sz tájékoztató t." sheetId="109" state="hidden" r:id="rId35"/>
    <sheet name="5.sz tájékoztató t." sheetId="2" state="hidden" r:id="rId36"/>
  </sheets>
  <externalReferences>
    <externalReference r:id="rId37"/>
  </externalReferences>
  <definedNames>
    <definedName name="_xlnm.Print_Titles" localSheetId="23">'11. sz. mell.'!$1:$6</definedName>
    <definedName name="_xlnm.Print_Titles" localSheetId="30">'1a sz tájékoztató t.'!$1:$5</definedName>
    <definedName name="_xlnm.Print_Titles" localSheetId="31">'1b. sz tájékoztató t.'!$1:$5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3">'1.1.sz.mell.'!$A$1:$H$124</definedName>
    <definedName name="_xlnm.Print_Area" localSheetId="4">'1.2.sz.mell. _köt'!$A$1:$H$128</definedName>
    <definedName name="_xlnm.Print_Area" localSheetId="5">'1.3.sz.mell._önk'!$A$1:$H$127</definedName>
    <definedName name="_xlnm.Print_Area" localSheetId="6">'1.4.sz.mell._állig'!$A$1:$H$127</definedName>
    <definedName name="_xlnm.Print_Area" localSheetId="27">'1.sz tájékoztató t.'!$A$1:$J$26</definedName>
    <definedName name="_xlnm.Print_Area" localSheetId="22">'10. sz. mell.'!$A$1:$I$49</definedName>
    <definedName name="_xlnm.Print_Area" localSheetId="23">'11. sz. mell.'!$A$1:$I$48</definedName>
    <definedName name="_xlnm.Print_Area" localSheetId="25">'13. sz. mell.'!$A$1:$F$161</definedName>
    <definedName name="_xlnm.Print_Area" localSheetId="26">'14.sz. mell'!$A$1:$E$162</definedName>
    <definedName name="_xlnm.Print_Area" localSheetId="30">'1a sz tájékoztató t.'!$A$1:$Q$109</definedName>
    <definedName name="_xlnm.Print_Area" localSheetId="31">'1b. sz tájékoztató t.'!$A$1:$Q$150</definedName>
    <definedName name="_xlnm.Print_Area" localSheetId="8">'2.2.sz.mell  '!$A$1:$P$36</definedName>
    <definedName name="_xlnm.Print_Area" localSheetId="28">'2.sz tájékoztató t.'!$A$1:$J$100</definedName>
    <definedName name="_xlnm.Print_Area" localSheetId="32">'3. sz tájékoztató t.'!$A$1:$D$37</definedName>
    <definedName name="_xlnm.Print_Area" localSheetId="10">'3.sz mell'!$A$2:$E$26</definedName>
    <definedName name="_xlnm.Print_Area" localSheetId="12">'5.sz.mell.'!$A$1:$K$32</definedName>
    <definedName name="_xlnm.Print_Area" localSheetId="14">'7.sz.mell.'!$A$1:$J$45</definedName>
    <definedName name="_xlnm.Print_Area" localSheetId="15">'8. sz. mell.'!$A$1:$G$28</definedName>
    <definedName name="_xlnm.Print_Area" localSheetId="16">'9. sz. mell'!$A$1:$I$99</definedName>
  </definedNames>
  <calcPr calcId="152511"/>
</workbook>
</file>

<file path=xl/calcChain.xml><?xml version="1.0" encoding="utf-8"?>
<calcChain xmlns="http://schemas.openxmlformats.org/spreadsheetml/2006/main">
  <c r="G41" i="91" l="1"/>
  <c r="G41" i="1"/>
  <c r="H44" i="3"/>
  <c r="E105" i="116" l="1"/>
  <c r="D91" i="116"/>
  <c r="D28" i="116"/>
  <c r="D161" i="116"/>
  <c r="E156" i="116"/>
  <c r="E154" i="116"/>
  <c r="E147" i="116"/>
  <c r="D146" i="116"/>
  <c r="E146" i="116" s="1"/>
  <c r="E129" i="116"/>
  <c r="E126" i="116"/>
  <c r="D106" i="116"/>
  <c r="E106" i="116" s="1"/>
  <c r="E103" i="116"/>
  <c r="E102" i="116"/>
  <c r="E100" i="116"/>
  <c r="E92" i="116"/>
  <c r="E90" i="116"/>
  <c r="E82" i="116"/>
  <c r="E78" i="116"/>
  <c r="E77" i="116"/>
  <c r="E70" i="116"/>
  <c r="E68" i="116"/>
  <c r="E66" i="116"/>
  <c r="D63" i="116"/>
  <c r="E55" i="116"/>
  <c r="E54" i="116"/>
  <c r="D49" i="116"/>
  <c r="E49" i="116" s="1"/>
  <c r="E48" i="116"/>
  <c r="E46" i="116"/>
  <c r="E45" i="116"/>
  <c r="E28" i="116"/>
  <c r="E24" i="116"/>
  <c r="E17" i="116"/>
  <c r="E16" i="116"/>
  <c r="E12" i="116"/>
  <c r="E11" i="116"/>
  <c r="E10" i="116"/>
  <c r="E8" i="116"/>
  <c r="D97" i="116" l="1"/>
  <c r="E97" i="116" s="1"/>
  <c r="E91" i="116"/>
  <c r="D155" i="116"/>
  <c r="E155" i="116" s="1"/>
  <c r="D162" i="116" l="1"/>
  <c r="E162" i="116" s="1"/>
  <c r="I98" i="115" l="1"/>
  <c r="J98" i="115"/>
  <c r="H98" i="115"/>
  <c r="I96" i="115"/>
  <c r="J96" i="115"/>
  <c r="H96" i="115"/>
  <c r="I57" i="115"/>
  <c r="I86" i="115" s="1"/>
  <c r="J57" i="115"/>
  <c r="I38" i="115"/>
  <c r="I39" i="115"/>
  <c r="J39" i="115"/>
  <c r="J52" i="115"/>
  <c r="I52" i="115"/>
  <c r="I26" i="115"/>
  <c r="J26" i="115"/>
  <c r="J23" i="115"/>
  <c r="I19" i="115"/>
  <c r="J19" i="115"/>
  <c r="J18" i="115" s="1"/>
  <c r="I23" i="115"/>
  <c r="H26" i="115"/>
  <c r="H23" i="115"/>
  <c r="H19" i="115"/>
  <c r="J5" i="115"/>
  <c r="I5" i="115"/>
  <c r="I17" i="115" s="1"/>
  <c r="H5" i="115"/>
  <c r="H18" i="115" l="1"/>
  <c r="I18" i="115"/>
  <c r="I37" i="115" s="1"/>
  <c r="J56" i="115"/>
  <c r="I56" i="115"/>
  <c r="I88" i="115" s="1"/>
  <c r="F25" i="114" l="1"/>
  <c r="G25" i="114"/>
  <c r="H25" i="114"/>
  <c r="I25" i="114"/>
  <c r="E18" i="114"/>
  <c r="E8" i="114"/>
  <c r="E25" i="114" s="1"/>
  <c r="C105" i="113"/>
  <c r="D48" i="113"/>
  <c r="E48" i="113"/>
  <c r="C48" i="113"/>
  <c r="C27" i="113" l="1"/>
  <c r="C15" i="113"/>
  <c r="H83" i="115" l="1"/>
  <c r="G83" i="115"/>
  <c r="H80" i="115"/>
  <c r="G80" i="115"/>
  <c r="H79" i="115"/>
  <c r="G79" i="115"/>
  <c r="H74" i="115"/>
  <c r="G74" i="115"/>
  <c r="H71" i="115"/>
  <c r="G71" i="115"/>
  <c r="H68" i="115"/>
  <c r="G68" i="115"/>
  <c r="H67" i="115"/>
  <c r="G67" i="115"/>
  <c r="J66" i="115"/>
  <c r="J86" i="115" s="1"/>
  <c r="G66" i="115"/>
  <c r="H57" i="115"/>
  <c r="G57" i="115"/>
  <c r="G86" i="115" s="1"/>
  <c r="H52" i="115"/>
  <c r="G52" i="115"/>
  <c r="G56" i="115" s="1"/>
  <c r="H39" i="115"/>
  <c r="H56" i="115" s="1"/>
  <c r="J34" i="115"/>
  <c r="J37" i="115" s="1"/>
  <c r="H34" i="115"/>
  <c r="H37" i="115" s="1"/>
  <c r="G34" i="115"/>
  <c r="G31" i="115"/>
  <c r="G26" i="115"/>
  <c r="G23" i="115"/>
  <c r="G19" i="115"/>
  <c r="G6" i="115"/>
  <c r="G5" i="115" s="1"/>
  <c r="G17" i="115" s="1"/>
  <c r="J17" i="115"/>
  <c r="J25" i="114"/>
  <c r="I22" i="114"/>
  <c r="J22" i="114" s="1"/>
  <c r="D10" i="114"/>
  <c r="D7" i="114"/>
  <c r="F161" i="113"/>
  <c r="F160" i="113"/>
  <c r="F159" i="113"/>
  <c r="F158" i="113"/>
  <c r="F157" i="113"/>
  <c r="F156" i="113"/>
  <c r="F155" i="113"/>
  <c r="F154" i="113"/>
  <c r="F153" i="113"/>
  <c r="F152" i="113"/>
  <c r="F151" i="113"/>
  <c r="F150" i="113"/>
  <c r="F149" i="113"/>
  <c r="F148" i="113"/>
  <c r="F147" i="113"/>
  <c r="F146" i="113"/>
  <c r="F145" i="113"/>
  <c r="F144" i="113"/>
  <c r="F143" i="113"/>
  <c r="F142" i="113"/>
  <c r="F141" i="113"/>
  <c r="F140" i="113"/>
  <c r="F139" i="113"/>
  <c r="F138" i="113"/>
  <c r="F137" i="113"/>
  <c r="F136" i="113"/>
  <c r="F135" i="113"/>
  <c r="F134" i="113"/>
  <c r="F133" i="113"/>
  <c r="F132" i="113"/>
  <c r="F131" i="113"/>
  <c r="F130" i="113"/>
  <c r="F129" i="113"/>
  <c r="F128" i="113"/>
  <c r="F127" i="113"/>
  <c r="F126" i="113"/>
  <c r="F125" i="113"/>
  <c r="F124" i="113"/>
  <c r="F123" i="113"/>
  <c r="F122" i="113"/>
  <c r="F121" i="113"/>
  <c r="F120" i="113"/>
  <c r="F119" i="113"/>
  <c r="F118" i="113"/>
  <c r="F117" i="113"/>
  <c r="F116" i="113"/>
  <c r="F115" i="113"/>
  <c r="F114" i="113"/>
  <c r="F113" i="113"/>
  <c r="F112" i="113"/>
  <c r="F111" i="113"/>
  <c r="F110" i="113"/>
  <c r="F109" i="113"/>
  <c r="F108" i="113"/>
  <c r="F107" i="113"/>
  <c r="F106" i="113"/>
  <c r="F105" i="113"/>
  <c r="F104" i="113"/>
  <c r="F103" i="113"/>
  <c r="F102" i="113"/>
  <c r="F101" i="113"/>
  <c r="F100" i="113"/>
  <c r="F99" i="113"/>
  <c r="F98" i="113"/>
  <c r="F96" i="113"/>
  <c r="F95" i="113"/>
  <c r="F94" i="113"/>
  <c r="F93" i="113"/>
  <c r="F92" i="113"/>
  <c r="F91" i="113"/>
  <c r="F90" i="113"/>
  <c r="F89" i="113"/>
  <c r="F88" i="113"/>
  <c r="F87" i="113"/>
  <c r="F86" i="113"/>
  <c r="F85" i="113"/>
  <c r="F84" i="113"/>
  <c r="F83" i="113"/>
  <c r="F80" i="113"/>
  <c r="F79" i="113"/>
  <c r="F78" i="113"/>
  <c r="F77" i="113"/>
  <c r="F76" i="113"/>
  <c r="F75" i="113"/>
  <c r="F74" i="113"/>
  <c r="F73" i="113"/>
  <c r="F72" i="113"/>
  <c r="F71" i="113"/>
  <c r="F70" i="113"/>
  <c r="F69" i="113"/>
  <c r="F68" i="113"/>
  <c r="F67" i="113"/>
  <c r="F66" i="113"/>
  <c r="F65" i="113"/>
  <c r="F64" i="113"/>
  <c r="F63" i="113"/>
  <c r="F62" i="113"/>
  <c r="F61" i="113"/>
  <c r="F60" i="113"/>
  <c r="F59" i="113"/>
  <c r="F58" i="113"/>
  <c r="F57" i="113"/>
  <c r="F56" i="113"/>
  <c r="F55" i="113"/>
  <c r="F54" i="113"/>
  <c r="F53" i="113"/>
  <c r="F52" i="113"/>
  <c r="F51" i="113"/>
  <c r="F50" i="113"/>
  <c r="F49" i="113"/>
  <c r="F48" i="113"/>
  <c r="F47" i="113"/>
  <c r="F46" i="113"/>
  <c r="F45" i="113"/>
  <c r="F44" i="113"/>
  <c r="F43" i="113"/>
  <c r="F42" i="113"/>
  <c r="F41" i="113"/>
  <c r="F40" i="113"/>
  <c r="F39" i="113"/>
  <c r="F38" i="113"/>
  <c r="F37" i="113"/>
  <c r="F36" i="113"/>
  <c r="F35" i="113"/>
  <c r="F34" i="113"/>
  <c r="F33" i="113"/>
  <c r="F32" i="113"/>
  <c r="F31" i="113"/>
  <c r="F30" i="113"/>
  <c r="F29" i="113"/>
  <c r="F28" i="113"/>
  <c r="F27" i="113"/>
  <c r="F26" i="113"/>
  <c r="F25" i="113"/>
  <c r="F24" i="113"/>
  <c r="F23" i="113"/>
  <c r="F22" i="113"/>
  <c r="F21" i="113"/>
  <c r="F20" i="113"/>
  <c r="F19" i="113"/>
  <c r="F18" i="113"/>
  <c r="F17" i="113"/>
  <c r="F16" i="113"/>
  <c r="F15" i="113"/>
  <c r="F14" i="113"/>
  <c r="F13" i="113"/>
  <c r="F12" i="113"/>
  <c r="F11" i="113"/>
  <c r="F10" i="113"/>
  <c r="F9" i="113"/>
  <c r="F8" i="113"/>
  <c r="F7" i="113"/>
  <c r="F6" i="113"/>
  <c r="E11" i="112"/>
  <c r="D11" i="112"/>
  <c r="C11" i="112"/>
  <c r="F10" i="112"/>
  <c r="F9" i="112"/>
  <c r="F8" i="112"/>
  <c r="F7" i="112"/>
  <c r="F6" i="112"/>
  <c r="F11" i="112" s="1"/>
  <c r="F11" i="111"/>
  <c r="E11" i="111"/>
  <c r="D11" i="111"/>
  <c r="C11" i="111"/>
  <c r="G8" i="111"/>
  <c r="G11" i="111" s="1"/>
  <c r="J88" i="115" l="1"/>
  <c r="G18" i="115"/>
  <c r="G37" i="115" s="1"/>
  <c r="G98" i="115" s="1"/>
  <c r="H66" i="115"/>
  <c r="H86" i="115" s="1"/>
  <c r="D25" i="114"/>
  <c r="G88" i="115"/>
  <c r="H17" i="115"/>
  <c r="G10" i="108"/>
  <c r="G12" i="108"/>
  <c r="G14" i="108"/>
  <c r="G16" i="108"/>
  <c r="G20" i="108"/>
  <c r="G21" i="108"/>
  <c r="G22" i="108"/>
  <c r="G23" i="108"/>
  <c r="G24" i="108"/>
  <c r="G25" i="108"/>
  <c r="G8" i="108"/>
  <c r="F10" i="108"/>
  <c r="F26" i="108" s="1"/>
  <c r="G26" i="108" s="1"/>
  <c r="F22" i="108"/>
  <c r="F14" i="108"/>
  <c r="O34" i="61"/>
  <c r="O35" i="61"/>
  <c r="O32" i="61"/>
  <c r="O18" i="61"/>
  <c r="O7" i="61"/>
  <c r="O8" i="61"/>
  <c r="O10" i="61"/>
  <c r="O14" i="61"/>
  <c r="O16" i="61"/>
  <c r="O6" i="61"/>
  <c r="H32" i="61"/>
  <c r="H34" i="61"/>
  <c r="H31" i="61"/>
  <c r="H20" i="61"/>
  <c r="H19" i="61"/>
  <c r="H18" i="61"/>
  <c r="H14" i="61"/>
  <c r="H17" i="61"/>
  <c r="H13" i="61"/>
  <c r="O30" i="73"/>
  <c r="O28" i="73"/>
  <c r="O18" i="73"/>
  <c r="O7" i="73"/>
  <c r="O8" i="73"/>
  <c r="O9" i="73"/>
  <c r="O10" i="73"/>
  <c r="O11" i="73"/>
  <c r="O6" i="73"/>
  <c r="H28" i="73"/>
  <c r="H30" i="73"/>
  <c r="H27" i="73"/>
  <c r="H20" i="73"/>
  <c r="H19" i="73"/>
  <c r="H18" i="73"/>
  <c r="H7" i="73"/>
  <c r="H8" i="73"/>
  <c r="H9" i="73"/>
  <c r="H10" i="73"/>
  <c r="H12" i="73"/>
  <c r="H15" i="73"/>
  <c r="H6" i="73"/>
  <c r="N30" i="73"/>
  <c r="N28" i="73"/>
  <c r="N27" i="73"/>
  <c r="N18" i="73"/>
  <c r="G27" i="73"/>
  <c r="G18" i="61"/>
  <c r="N36" i="61"/>
  <c r="G28" i="73"/>
  <c r="G30" i="73" s="1"/>
  <c r="G18" i="73"/>
  <c r="N35" i="61"/>
  <c r="N34" i="61"/>
  <c r="N32" i="61"/>
  <c r="G31" i="61"/>
  <c r="G19" i="61"/>
  <c r="N18" i="61"/>
  <c r="H74" i="91"/>
  <c r="H75" i="91"/>
  <c r="H76" i="91"/>
  <c r="H77" i="91"/>
  <c r="H78" i="91"/>
  <c r="H81" i="91"/>
  <c r="H82" i="91"/>
  <c r="H83" i="91"/>
  <c r="H84" i="91"/>
  <c r="H85" i="91"/>
  <c r="H86" i="91"/>
  <c r="H87" i="91"/>
  <c r="H88" i="91"/>
  <c r="H89" i="91"/>
  <c r="H90" i="91"/>
  <c r="H91" i="91"/>
  <c r="G95" i="1"/>
  <c r="H96" i="91"/>
  <c r="G97" i="1"/>
  <c r="H98" i="91"/>
  <c r="H99" i="91"/>
  <c r="H100" i="91"/>
  <c r="H102" i="91"/>
  <c r="H103" i="91"/>
  <c r="H104" i="91"/>
  <c r="H111" i="91"/>
  <c r="H121" i="91"/>
  <c r="H123" i="91"/>
  <c r="H73" i="91"/>
  <c r="H36" i="91"/>
  <c r="H6" i="91"/>
  <c r="H7" i="91"/>
  <c r="H9" i="91"/>
  <c r="H10" i="91"/>
  <c r="H11" i="91"/>
  <c r="H12" i="91"/>
  <c r="H13" i="91"/>
  <c r="H14" i="91"/>
  <c r="H15" i="91"/>
  <c r="H17" i="91"/>
  <c r="H19" i="91"/>
  <c r="H20" i="91"/>
  <c r="H21" i="91"/>
  <c r="H22" i="91"/>
  <c r="H24" i="91"/>
  <c r="H28" i="91"/>
  <c r="H29" i="91"/>
  <c r="H31" i="91"/>
  <c r="H32" i="91"/>
  <c r="H41" i="91"/>
  <c r="H42" i="91"/>
  <c r="H43" i="91"/>
  <c r="H44" i="91"/>
  <c r="H52" i="91"/>
  <c r="H53" i="91"/>
  <c r="H54" i="91"/>
  <c r="H5" i="91"/>
  <c r="H73" i="1"/>
  <c r="H75" i="1"/>
  <c r="H76" i="1"/>
  <c r="H77" i="1"/>
  <c r="H78" i="1"/>
  <c r="H81" i="1"/>
  <c r="H82" i="1"/>
  <c r="H83" i="1"/>
  <c r="H85" i="1"/>
  <c r="H86" i="1"/>
  <c r="H87" i="1"/>
  <c r="H88" i="1"/>
  <c r="H89" i="1"/>
  <c r="H90" i="1"/>
  <c r="H91" i="1"/>
  <c r="H96" i="1"/>
  <c r="H103" i="1"/>
  <c r="H104" i="1"/>
  <c r="H111" i="1"/>
  <c r="H74" i="1"/>
  <c r="H6" i="1"/>
  <c r="H7" i="1"/>
  <c r="H9" i="1"/>
  <c r="H10" i="1"/>
  <c r="H11" i="1"/>
  <c r="H12" i="1"/>
  <c r="H13" i="1"/>
  <c r="H14" i="1"/>
  <c r="H15" i="1"/>
  <c r="H17" i="1"/>
  <c r="H19" i="1"/>
  <c r="H20" i="1"/>
  <c r="H21" i="1"/>
  <c r="H22" i="1"/>
  <c r="H24" i="1"/>
  <c r="H28" i="1"/>
  <c r="H29" i="1"/>
  <c r="H30" i="1"/>
  <c r="H31" i="1"/>
  <c r="H32" i="1"/>
  <c r="H36" i="1"/>
  <c r="H37" i="1"/>
  <c r="H41" i="1"/>
  <c r="H42" i="1"/>
  <c r="H43" i="1"/>
  <c r="H44" i="1"/>
  <c r="H51" i="1"/>
  <c r="H52" i="1"/>
  <c r="H53" i="1"/>
  <c r="H54" i="1"/>
  <c r="H65" i="1"/>
  <c r="H67" i="1"/>
  <c r="H5" i="1"/>
  <c r="H78" i="3"/>
  <c r="G102" i="91"/>
  <c r="G52" i="91"/>
  <c r="G59" i="91"/>
  <c r="G12" i="91"/>
  <c r="G37" i="91"/>
  <c r="G30" i="91" s="1"/>
  <c r="G7" i="91"/>
  <c r="K32" i="78"/>
  <c r="K30" i="78"/>
  <c r="K28" i="78"/>
  <c r="K25" i="78"/>
  <c r="K20" i="78"/>
  <c r="K13" i="78"/>
  <c r="K11" i="78"/>
  <c r="K8" i="78"/>
  <c r="K7" i="78"/>
  <c r="K6" i="78"/>
  <c r="K5" i="78"/>
  <c r="J32" i="78"/>
  <c r="J30" i="78"/>
  <c r="J28" i="78"/>
  <c r="J13" i="78"/>
  <c r="K29" i="63"/>
  <c r="K25" i="63"/>
  <c r="K22" i="63"/>
  <c r="K20" i="63"/>
  <c r="K19" i="63"/>
  <c r="K16" i="63"/>
  <c r="K13" i="63"/>
  <c r="K10" i="63"/>
  <c r="I39" i="64"/>
  <c r="I38" i="64"/>
  <c r="I15" i="64"/>
  <c r="I18" i="64"/>
  <c r="J28" i="63"/>
  <c r="J30" i="63" s="1"/>
  <c r="K30" i="63" s="1"/>
  <c r="J27" i="63"/>
  <c r="J26" i="63"/>
  <c r="J22" i="63"/>
  <c r="J37" i="64"/>
  <c r="J31" i="64"/>
  <c r="J17" i="64"/>
  <c r="I17" i="64"/>
  <c r="I31" i="64"/>
  <c r="I56" i="3"/>
  <c r="I55" i="3"/>
  <c r="I47" i="3"/>
  <c r="I46" i="3"/>
  <c r="I45" i="3"/>
  <c r="I44" i="3"/>
  <c r="I39" i="3"/>
  <c r="I35" i="3"/>
  <c r="I34" i="3"/>
  <c r="I31" i="3"/>
  <c r="I27" i="3"/>
  <c r="I25" i="3"/>
  <c r="I24" i="3"/>
  <c r="I23" i="3"/>
  <c r="I22" i="3"/>
  <c r="I17" i="3"/>
  <c r="I16" i="3"/>
  <c r="I15" i="3"/>
  <c r="I14" i="3"/>
  <c r="I13" i="3"/>
  <c r="I12" i="3"/>
  <c r="I10" i="3"/>
  <c r="I9" i="3"/>
  <c r="I8" i="3"/>
  <c r="H40" i="3"/>
  <c r="H33" i="3" s="1"/>
  <c r="I33" i="3" s="1"/>
  <c r="H55" i="3"/>
  <c r="H46" i="3"/>
  <c r="H34" i="3"/>
  <c r="H39" i="3"/>
  <c r="H24" i="3"/>
  <c r="H14" i="3"/>
  <c r="H9" i="3"/>
  <c r="H10" i="3"/>
  <c r="I93" i="3"/>
  <c r="I81" i="3"/>
  <c r="I64" i="3"/>
  <c r="I80" i="3"/>
  <c r="I82" i="3"/>
  <c r="I87" i="3"/>
  <c r="I79" i="3"/>
  <c r="I69" i="3"/>
  <c r="I66" i="3"/>
  <c r="I67" i="3"/>
  <c r="I68" i="3"/>
  <c r="I72" i="3"/>
  <c r="I73" i="3"/>
  <c r="I74" i="3"/>
  <c r="I75" i="3"/>
  <c r="I76" i="3"/>
  <c r="I77" i="3"/>
  <c r="I65" i="3"/>
  <c r="H89" i="3"/>
  <c r="I78" i="3"/>
  <c r="H64" i="3"/>
  <c r="H69" i="3"/>
  <c r="I48" i="84"/>
  <c r="H48" i="84"/>
  <c r="I35" i="84"/>
  <c r="H35" i="84"/>
  <c r="I38" i="84"/>
  <c r="I37" i="84"/>
  <c r="I36" i="84"/>
  <c r="I31" i="84"/>
  <c r="I28" i="84"/>
  <c r="I27" i="84"/>
  <c r="I26" i="84"/>
  <c r="I25" i="84"/>
  <c r="I8" i="84"/>
  <c r="I14" i="84"/>
  <c r="I12" i="84"/>
  <c r="H31" i="84"/>
  <c r="H8" i="84"/>
  <c r="H26" i="84" s="1"/>
  <c r="H27" i="84"/>
  <c r="I49" i="103"/>
  <c r="I36" i="103"/>
  <c r="I38" i="103"/>
  <c r="I39" i="103"/>
  <c r="I40" i="103"/>
  <c r="I37" i="103"/>
  <c r="I32" i="103"/>
  <c r="I26" i="103"/>
  <c r="I25" i="103"/>
  <c r="H32" i="103"/>
  <c r="H27" i="103"/>
  <c r="H8" i="103"/>
  <c r="H26" i="103"/>
  <c r="H36" i="103"/>
  <c r="H49" i="103"/>
  <c r="G99" i="1"/>
  <c r="H99" i="1" s="1"/>
  <c r="G93" i="1"/>
  <c r="G92" i="1"/>
  <c r="G84" i="1"/>
  <c r="H84" i="1" s="1"/>
  <c r="G80" i="1"/>
  <c r="G100" i="1"/>
  <c r="H100" i="1" s="1"/>
  <c r="G94" i="1"/>
  <c r="K28" i="63" l="1"/>
  <c r="G51" i="91"/>
  <c r="H30" i="91"/>
  <c r="G127" i="91"/>
  <c r="H37" i="91"/>
  <c r="I40" i="3"/>
  <c r="H88" i="115"/>
  <c r="G32" i="61"/>
  <c r="G34" i="61" s="1"/>
  <c r="G36" i="61" s="1"/>
  <c r="G121" i="91"/>
  <c r="G123" i="91" s="1"/>
  <c r="J39" i="64"/>
  <c r="I40" i="64"/>
  <c r="J40" i="64" s="1"/>
  <c r="J38" i="64"/>
  <c r="H54" i="3"/>
  <c r="H8" i="3"/>
  <c r="H94" i="3"/>
  <c r="G79" i="1"/>
  <c r="G98" i="1"/>
  <c r="H98" i="1" s="1"/>
  <c r="G104" i="1"/>
  <c r="G112" i="1"/>
  <c r="I5" i="78"/>
  <c r="I7" i="78"/>
  <c r="I6" i="78"/>
  <c r="F9" i="73"/>
  <c r="F10" i="61"/>
  <c r="F28" i="91"/>
  <c r="F28" i="1"/>
  <c r="G67" i="3"/>
  <c r="G90" i="3"/>
  <c r="G91" i="3"/>
  <c r="G66" i="3"/>
  <c r="G65" i="3"/>
  <c r="G31" i="3"/>
  <c r="G27" i="3"/>
  <c r="G25" i="3"/>
  <c r="G16" i="3"/>
  <c r="G12" i="3"/>
  <c r="G10" i="3"/>
  <c r="G22" i="3"/>
  <c r="G44" i="3"/>
  <c r="G38" i="84"/>
  <c r="G37" i="84"/>
  <c r="G36" i="84"/>
  <c r="G25" i="84"/>
  <c r="G40" i="103"/>
  <c r="G39" i="103"/>
  <c r="G25" i="103"/>
  <c r="G10" i="103"/>
  <c r="G65" i="91" l="1"/>
  <c r="H51" i="91"/>
  <c r="H127" i="91" s="1"/>
  <c r="H59" i="3"/>
  <c r="I59" i="3" s="1"/>
  <c r="I54" i="3"/>
  <c r="G103" i="1"/>
  <c r="H99" i="3"/>
  <c r="I99" i="3" s="1"/>
  <c r="I94" i="3"/>
  <c r="G102" i="1"/>
  <c r="F15" i="73"/>
  <c r="F17" i="61"/>
  <c r="F88" i="91"/>
  <c r="G38" i="103"/>
  <c r="G37" i="103"/>
  <c r="H33" i="64"/>
  <c r="H17" i="64"/>
  <c r="H27" i="64"/>
  <c r="H6" i="64"/>
  <c r="I28" i="78"/>
  <c r="I25" i="78"/>
  <c r="G67" i="91" l="1"/>
  <c r="H67" i="91" s="1"/>
  <c r="H65" i="91"/>
  <c r="G121" i="1"/>
  <c r="H102" i="1"/>
  <c r="G80" i="3"/>
  <c r="G123" i="1" l="1"/>
  <c r="H123" i="1" s="1"/>
  <c r="H121" i="1"/>
  <c r="F24" i="91"/>
  <c r="F29" i="91"/>
  <c r="G68" i="3" l="1"/>
  <c r="G79" i="3"/>
  <c r="E10" i="108"/>
  <c r="I28" i="63"/>
  <c r="G73" i="3"/>
  <c r="H32" i="64" l="1"/>
  <c r="M10" i="61"/>
  <c r="M8" i="61" s="1"/>
  <c r="F85" i="91"/>
  <c r="F85" i="1" s="1"/>
  <c r="G81" i="3"/>
  <c r="M11" i="73"/>
  <c r="H38" i="64" l="1"/>
  <c r="H43" i="64"/>
  <c r="H45" i="64" s="1"/>
  <c r="F20" i="61"/>
  <c r="F19" i="61" s="1"/>
  <c r="F31" i="61" s="1"/>
  <c r="F111" i="91"/>
  <c r="F111" i="1"/>
  <c r="G78" i="3"/>
  <c r="F24" i="73"/>
  <c r="I29" i="63"/>
  <c r="F54" i="91"/>
  <c r="G16" i="70"/>
  <c r="G7" i="70"/>
  <c r="F16" i="70"/>
  <c r="G17" i="70" l="1"/>
  <c r="F20" i="73"/>
  <c r="F19" i="73" s="1"/>
  <c r="F27" i="73" s="1"/>
  <c r="I30" i="63"/>
  <c r="M16" i="61"/>
  <c r="G35" i="84" l="1"/>
  <c r="G41" i="84"/>
  <c r="G27" i="84"/>
  <c r="G22" i="84"/>
  <c r="G17" i="84"/>
  <c r="G8" i="84"/>
  <c r="G42" i="103"/>
  <c r="G27" i="103"/>
  <c r="G22" i="103"/>
  <c r="G17" i="103"/>
  <c r="G8" i="103"/>
  <c r="G9" i="3"/>
  <c r="G95" i="3"/>
  <c r="G93" i="3"/>
  <c r="G89" i="3"/>
  <c r="G69" i="3"/>
  <c r="G55" i="3"/>
  <c r="G49" i="3"/>
  <c r="G46" i="3"/>
  <c r="G40" i="3"/>
  <c r="G34" i="3"/>
  <c r="G24" i="3"/>
  <c r="G14" i="3"/>
  <c r="G33" i="3" l="1"/>
  <c r="G64" i="3"/>
  <c r="G94" i="3" s="1"/>
  <c r="G99" i="3" s="1"/>
  <c r="G36" i="103"/>
  <c r="G49" i="103" s="1"/>
  <c r="G48" i="84"/>
  <c r="G54" i="3"/>
  <c r="G59" i="3" s="1"/>
  <c r="G26" i="84"/>
  <c r="G31" i="84" s="1"/>
  <c r="G26" i="103"/>
  <c r="G32" i="103" s="1"/>
  <c r="G8" i="3"/>
  <c r="H39" i="64" l="1"/>
  <c r="H40" i="64" l="1"/>
  <c r="F7" i="70" l="1"/>
  <c r="F17" i="70" s="1"/>
  <c r="E26" i="108"/>
  <c r="I30" i="78"/>
  <c r="I13" i="78"/>
  <c r="M31" i="61"/>
  <c r="M27" i="73"/>
  <c r="H111" i="93"/>
  <c r="H103" i="93"/>
  <c r="H97" i="93"/>
  <c r="H86" i="93"/>
  <c r="H73" i="93"/>
  <c r="H59" i="93"/>
  <c r="H53" i="93"/>
  <c r="H46" i="93"/>
  <c r="H43" i="93"/>
  <c r="H37" i="93"/>
  <c r="H31" i="93"/>
  <c r="H21" i="93"/>
  <c r="H11" i="93"/>
  <c r="H6" i="93"/>
  <c r="H111" i="92"/>
  <c r="H103" i="92"/>
  <c r="H97" i="92"/>
  <c r="H86" i="92"/>
  <c r="H73" i="92"/>
  <c r="H59" i="92"/>
  <c r="H53" i="92"/>
  <c r="H46" i="92"/>
  <c r="H43" i="92"/>
  <c r="H37" i="92"/>
  <c r="H31" i="92"/>
  <c r="H21" i="92"/>
  <c r="H11" i="92"/>
  <c r="H6" i="92"/>
  <c r="F112" i="91"/>
  <c r="F104" i="91"/>
  <c r="F100" i="91"/>
  <c r="F100" i="1" s="1"/>
  <c r="F99" i="91"/>
  <c r="F96" i="91"/>
  <c r="F96" i="1" s="1"/>
  <c r="F95" i="91"/>
  <c r="F95" i="1" s="1"/>
  <c r="F94" i="91"/>
  <c r="F94" i="1" s="1"/>
  <c r="F93" i="91"/>
  <c r="F93" i="1" s="1"/>
  <c r="F92" i="91"/>
  <c r="F92" i="1" s="1"/>
  <c r="F91" i="91"/>
  <c r="F91" i="1" s="1"/>
  <c r="F90" i="91"/>
  <c r="F90" i="1" s="1"/>
  <c r="F89" i="91"/>
  <c r="F89" i="1" s="1"/>
  <c r="M7" i="61" s="1"/>
  <c r="F86" i="91"/>
  <c r="F86" i="1" s="1"/>
  <c r="F84" i="91"/>
  <c r="F84" i="1" s="1"/>
  <c r="F83" i="91"/>
  <c r="F83" i="1" s="1"/>
  <c r="F82" i="91"/>
  <c r="F82" i="1" s="1"/>
  <c r="F81" i="91"/>
  <c r="F81" i="1" s="1"/>
  <c r="F80" i="91"/>
  <c r="F80" i="1" s="1"/>
  <c r="F79" i="91"/>
  <c r="F77" i="91"/>
  <c r="F77" i="1" s="1"/>
  <c r="M9" i="73" s="1"/>
  <c r="F76" i="91"/>
  <c r="F76" i="1" s="1"/>
  <c r="M8" i="73" s="1"/>
  <c r="F75" i="91"/>
  <c r="F75" i="1" s="1"/>
  <c r="M7" i="73" s="1"/>
  <c r="F74" i="91"/>
  <c r="F74" i="1" s="1"/>
  <c r="M6" i="73" s="1"/>
  <c r="F59" i="91"/>
  <c r="F53" i="91"/>
  <c r="F46" i="91"/>
  <c r="F44" i="91"/>
  <c r="F41" i="91"/>
  <c r="F37" i="91" s="1"/>
  <c r="F36" i="91"/>
  <c r="F36" i="1" s="1"/>
  <c r="F35" i="91"/>
  <c r="F35" i="1" s="1"/>
  <c r="F34" i="91"/>
  <c r="F34" i="1" s="1"/>
  <c r="F33" i="91"/>
  <c r="F33" i="1" s="1"/>
  <c r="F32" i="91"/>
  <c r="F22" i="91"/>
  <c r="F20" i="91"/>
  <c r="F20" i="1" s="1"/>
  <c r="F8" i="73" s="1"/>
  <c r="F19" i="91"/>
  <c r="F19" i="1" s="1"/>
  <c r="F18" i="91"/>
  <c r="F18" i="1" s="1"/>
  <c r="F17" i="91"/>
  <c r="F17" i="1" s="1"/>
  <c r="F16" i="91"/>
  <c r="F16" i="1" s="1"/>
  <c r="F15" i="91"/>
  <c r="F15" i="1" s="1"/>
  <c r="F14" i="91"/>
  <c r="F14" i="1" s="1"/>
  <c r="F13" i="91"/>
  <c r="F13" i="1" s="1"/>
  <c r="F12" i="91"/>
  <c r="F12" i="1" s="1"/>
  <c r="F10" i="91"/>
  <c r="F10" i="1" s="1"/>
  <c r="F9" i="91"/>
  <c r="F9" i="1" s="1"/>
  <c r="F8" i="91"/>
  <c r="F8" i="1" s="1"/>
  <c r="F7" i="91"/>
  <c r="F97" i="1"/>
  <c r="F66" i="1"/>
  <c r="F64" i="1"/>
  <c r="F63" i="1"/>
  <c r="F62" i="1"/>
  <c r="F61" i="1"/>
  <c r="F60" i="1"/>
  <c r="F58" i="1"/>
  <c r="F57" i="1"/>
  <c r="F56" i="1"/>
  <c r="F55" i="1"/>
  <c r="F54" i="1"/>
  <c r="F50" i="1"/>
  <c r="F49" i="1"/>
  <c r="F48" i="1"/>
  <c r="F7" i="61" s="1"/>
  <c r="F47" i="1"/>
  <c r="F45" i="1"/>
  <c r="F42" i="1"/>
  <c r="F40" i="1"/>
  <c r="F39" i="1"/>
  <c r="F38" i="1"/>
  <c r="F29" i="1"/>
  <c r="F27" i="1"/>
  <c r="F26" i="1"/>
  <c r="F25" i="1"/>
  <c r="F24" i="1"/>
  <c r="F23" i="1"/>
  <c r="H30" i="92" l="1"/>
  <c r="H52" i="92"/>
  <c r="H101" i="92"/>
  <c r="H30" i="93"/>
  <c r="H51" i="93" s="1"/>
  <c r="H5" i="93"/>
  <c r="H102" i="92"/>
  <c r="H102" i="93"/>
  <c r="F6" i="91"/>
  <c r="F41" i="1"/>
  <c r="F37" i="1" s="1"/>
  <c r="F13" i="61" s="1"/>
  <c r="F18" i="61" s="1"/>
  <c r="F44" i="1"/>
  <c r="F43" i="1" s="1"/>
  <c r="F12" i="73"/>
  <c r="I32" i="78"/>
  <c r="F87" i="91"/>
  <c r="F21" i="91"/>
  <c r="F22" i="1"/>
  <c r="H120" i="92"/>
  <c r="H122" i="92" s="1"/>
  <c r="F31" i="91"/>
  <c r="F30" i="91" s="1"/>
  <c r="F52" i="91"/>
  <c r="F78" i="91"/>
  <c r="F78" i="1" s="1"/>
  <c r="F98" i="91"/>
  <c r="F103" i="91"/>
  <c r="H51" i="92"/>
  <c r="H65" i="92" s="1"/>
  <c r="H67" i="92" s="1"/>
  <c r="H52" i="93"/>
  <c r="H101" i="93"/>
  <c r="H120" i="93" s="1"/>
  <c r="H122" i="93" s="1"/>
  <c r="F133" i="1"/>
  <c r="F53" i="1"/>
  <c r="F11" i="1"/>
  <c r="F7" i="73" s="1"/>
  <c r="F112" i="1"/>
  <c r="F21" i="1"/>
  <c r="H5" i="92"/>
  <c r="F104" i="1"/>
  <c r="F32" i="1"/>
  <c r="F31" i="1" s="1"/>
  <c r="F99" i="1"/>
  <c r="F98" i="1" s="1"/>
  <c r="F43" i="91"/>
  <c r="F59" i="1"/>
  <c r="F11" i="91"/>
  <c r="F7" i="1"/>
  <c r="F6" i="1" s="1"/>
  <c r="F6" i="73" s="1"/>
  <c r="F46" i="1"/>
  <c r="F79" i="1"/>
  <c r="F88" i="1"/>
  <c r="H36" i="2"/>
  <c r="H21" i="2"/>
  <c r="H18" i="2"/>
  <c r="H25" i="2"/>
  <c r="H126" i="92" l="1"/>
  <c r="F5" i="91"/>
  <c r="H65" i="93"/>
  <c r="H67" i="93" s="1"/>
  <c r="F52" i="1"/>
  <c r="F138" i="1" s="1"/>
  <c r="F137" i="1" s="1"/>
  <c r="H126" i="93"/>
  <c r="F103" i="1"/>
  <c r="F73" i="91"/>
  <c r="F102" i="91" s="1"/>
  <c r="F121" i="91" s="1"/>
  <c r="F123" i="91" s="1"/>
  <c r="F30" i="1"/>
  <c r="F51" i="1" s="1"/>
  <c r="F65" i="1" s="1"/>
  <c r="F67" i="1" s="1"/>
  <c r="F10" i="73"/>
  <c r="F18" i="73" s="1"/>
  <c r="F35" i="61"/>
  <c r="F32" i="61"/>
  <c r="F34" i="61" s="1"/>
  <c r="F51" i="91"/>
  <c r="F65" i="91" s="1"/>
  <c r="F67" i="91" s="1"/>
  <c r="F87" i="1"/>
  <c r="M6" i="61"/>
  <c r="M18" i="61" s="1"/>
  <c r="F73" i="1"/>
  <c r="M10" i="73"/>
  <c r="M18" i="73" s="1"/>
  <c r="F5" i="1"/>
  <c r="D12" i="70"/>
  <c r="D16" i="70" s="1"/>
  <c r="E35" i="84"/>
  <c r="E48" i="84" s="1"/>
  <c r="E26" i="84"/>
  <c r="E27" i="84"/>
  <c r="E36" i="103"/>
  <c r="E49" i="103" s="1"/>
  <c r="E26" i="103"/>
  <c r="E32" i="103" s="1"/>
  <c r="E95" i="3"/>
  <c r="E89" i="3"/>
  <c r="E78" i="3"/>
  <c r="E64" i="3"/>
  <c r="E24" i="3"/>
  <c r="E34" i="3"/>
  <c r="E33" i="3" s="1"/>
  <c r="E9" i="3"/>
  <c r="E8" i="3" s="1"/>
  <c r="C30" i="78"/>
  <c r="C7" i="1"/>
  <c r="C9" i="1"/>
  <c r="C10" i="1"/>
  <c r="C13" i="1"/>
  <c r="C14" i="1"/>
  <c r="C15" i="1"/>
  <c r="C17" i="1"/>
  <c r="C18" i="1"/>
  <c r="C19" i="1"/>
  <c r="E94" i="3" l="1"/>
  <c r="E31" i="84"/>
  <c r="E54" i="3"/>
  <c r="E59" i="3" s="1"/>
  <c r="F102" i="1"/>
  <c r="F121" i="1" s="1"/>
  <c r="F123" i="1" s="1"/>
  <c r="F31" i="73"/>
  <c r="F28" i="73"/>
  <c r="F30" i="73" s="1"/>
  <c r="F32" i="73"/>
  <c r="F127" i="91"/>
  <c r="M31" i="73"/>
  <c r="M28" i="73"/>
  <c r="M32" i="61"/>
  <c r="M35" i="61"/>
  <c r="E99" i="3"/>
  <c r="D22" i="109"/>
  <c r="D18" i="109"/>
  <c r="F93" i="3"/>
  <c r="F127" i="1" l="1"/>
  <c r="M32" i="73"/>
  <c r="M30" i="73"/>
  <c r="M34" i="61"/>
  <c r="F36" i="61" s="1"/>
  <c r="M36" i="61"/>
  <c r="C79" i="91"/>
  <c r="D79" i="91"/>
  <c r="C80" i="91"/>
  <c r="D80" i="91"/>
  <c r="D81" i="91"/>
  <c r="C84" i="91"/>
  <c r="C86" i="91"/>
  <c r="E90" i="91"/>
  <c r="E91" i="91"/>
  <c r="E92" i="91"/>
  <c r="E93" i="91"/>
  <c r="E94" i="91"/>
  <c r="E95" i="91"/>
  <c r="E96" i="91"/>
  <c r="E86" i="91"/>
  <c r="E100" i="91"/>
  <c r="E99" i="91"/>
  <c r="E80" i="91"/>
  <c r="E81" i="91"/>
  <c r="E82" i="91"/>
  <c r="E83" i="91"/>
  <c r="E84" i="91"/>
  <c r="E79" i="91"/>
  <c r="E89" i="91"/>
  <c r="E88" i="91"/>
  <c r="E44" i="91"/>
  <c r="E36" i="91"/>
  <c r="E33" i="91"/>
  <c r="E34" i="91"/>
  <c r="E35" i="91"/>
  <c r="E32" i="91"/>
  <c r="E20" i="91"/>
  <c r="E41" i="91"/>
  <c r="E12" i="91"/>
  <c r="E10" i="91"/>
  <c r="E8" i="91"/>
  <c r="E9" i="91"/>
  <c r="E7" i="91"/>
  <c r="E28" i="78"/>
  <c r="E30" i="78" s="1"/>
  <c r="G28" i="63"/>
  <c r="F28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H6" i="63"/>
  <c r="H5" i="63"/>
  <c r="B26" i="108"/>
  <c r="F40" i="61" l="1"/>
  <c r="D73" i="91"/>
  <c r="C73" i="91"/>
  <c r="E78" i="91"/>
  <c r="H28" i="63"/>
  <c r="H29" i="63" s="1"/>
  <c r="H30" i="63" s="1"/>
  <c r="G29" i="63"/>
  <c r="G30" i="63" s="1"/>
  <c r="F29" i="63"/>
  <c r="F30" i="63" s="1"/>
  <c r="C9" i="108" l="1"/>
  <c r="D9" i="108"/>
  <c r="F25" i="3"/>
  <c r="E22" i="91" s="1"/>
  <c r="D17" i="70"/>
  <c r="E16" i="70"/>
  <c r="E7" i="70"/>
  <c r="E17" i="70" l="1"/>
  <c r="F37" i="103"/>
  <c r="D28" i="109" l="1"/>
  <c r="D15" i="109"/>
  <c r="G5" i="2"/>
  <c r="G16" i="2" s="1"/>
  <c r="G80" i="2"/>
  <c r="G77" i="2"/>
  <c r="G71" i="2"/>
  <c r="G68" i="2"/>
  <c r="G65" i="2"/>
  <c r="G54" i="2"/>
  <c r="G50" i="2"/>
  <c r="G37" i="2"/>
  <c r="G32" i="2"/>
  <c r="G21" i="2"/>
  <c r="G20" i="2"/>
  <c r="G17" i="2" l="1"/>
  <c r="G64" i="2"/>
  <c r="G76" i="2"/>
  <c r="G53" i="2"/>
  <c r="G35" i="2" l="1"/>
  <c r="G63" i="2"/>
  <c r="G83" i="2" s="1"/>
  <c r="E82" i="1"/>
  <c r="E76" i="91"/>
  <c r="E15" i="109"/>
  <c r="C122" i="1"/>
  <c r="D29" i="73"/>
  <c r="D122" i="1"/>
  <c r="K29" i="73" s="1"/>
  <c r="E12" i="73"/>
  <c r="P39" i="61"/>
  <c r="G85" i="2" l="1"/>
  <c r="E28" i="109"/>
  <c r="F25" i="2" l="1"/>
  <c r="H6" i="78" l="1"/>
  <c r="H7" i="78"/>
  <c r="H5" i="78"/>
  <c r="F5" i="2" l="1"/>
  <c r="F20" i="2"/>
  <c r="E31" i="61"/>
  <c r="E19" i="73"/>
  <c r="E24" i="73"/>
  <c r="E75" i="91"/>
  <c r="E77" i="91"/>
  <c r="E74" i="91"/>
  <c r="E15" i="91"/>
  <c r="E16" i="91"/>
  <c r="E17" i="91"/>
  <c r="E18" i="91"/>
  <c r="E19" i="91"/>
  <c r="E13" i="91"/>
  <c r="E14" i="91"/>
  <c r="F40" i="3"/>
  <c r="E27" i="73" l="1"/>
  <c r="F27" i="103" l="1"/>
  <c r="F78" i="3"/>
  <c r="F80" i="2"/>
  <c r="F77" i="2"/>
  <c r="F71" i="2"/>
  <c r="F68" i="2"/>
  <c r="F65" i="2"/>
  <c r="F54" i="2"/>
  <c r="F50" i="2"/>
  <c r="F37" i="2"/>
  <c r="F32" i="2"/>
  <c r="F21" i="2"/>
  <c r="F18" i="2"/>
  <c r="F16" i="2"/>
  <c r="E80" i="2"/>
  <c r="E77" i="2"/>
  <c r="E71" i="2"/>
  <c r="E68" i="2"/>
  <c r="E65" i="2"/>
  <c r="E54" i="2"/>
  <c r="E50" i="2"/>
  <c r="E53" i="2" s="1"/>
  <c r="E32" i="2"/>
  <c r="E29" i="2"/>
  <c r="E25" i="2"/>
  <c r="E21" i="2"/>
  <c r="E18" i="2"/>
  <c r="E6" i="2"/>
  <c r="E5" i="2" s="1"/>
  <c r="E16" i="2" s="1"/>
  <c r="F14" i="3"/>
  <c r="D13" i="78"/>
  <c r="E13" i="78"/>
  <c r="F9" i="3"/>
  <c r="F41" i="84"/>
  <c r="F35" i="84"/>
  <c r="F27" i="84"/>
  <c r="F22" i="84"/>
  <c r="F17" i="84"/>
  <c r="F8" i="84"/>
  <c r="F42" i="103"/>
  <c r="F36" i="103"/>
  <c r="F22" i="103"/>
  <c r="F17" i="103"/>
  <c r="F8" i="103"/>
  <c r="F95" i="3"/>
  <c r="F89" i="3"/>
  <c r="F69" i="3"/>
  <c r="F55" i="3"/>
  <c r="F49" i="3"/>
  <c r="F46" i="3"/>
  <c r="F34" i="3"/>
  <c r="F24" i="3"/>
  <c r="G19" i="78"/>
  <c r="G18" i="78"/>
  <c r="G7" i="78"/>
  <c r="G6" i="78"/>
  <c r="G5" i="78"/>
  <c r="L31" i="61"/>
  <c r="L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E112" i="91"/>
  <c r="E104" i="91"/>
  <c r="E98" i="91"/>
  <c r="E87" i="91"/>
  <c r="E77" i="1"/>
  <c r="C20" i="109" s="1"/>
  <c r="E75" i="1"/>
  <c r="C18" i="109" s="1"/>
  <c r="E59" i="91"/>
  <c r="E53" i="91"/>
  <c r="E46" i="91"/>
  <c r="E43" i="91"/>
  <c r="E37" i="91"/>
  <c r="E31" i="91"/>
  <c r="E21" i="91"/>
  <c r="E11" i="91"/>
  <c r="E6" i="91"/>
  <c r="E100" i="1"/>
  <c r="E99" i="1"/>
  <c r="E97" i="1"/>
  <c r="E96" i="1"/>
  <c r="E95" i="1"/>
  <c r="E94" i="1"/>
  <c r="E93" i="1"/>
  <c r="E92" i="1"/>
  <c r="E91" i="1"/>
  <c r="E90" i="1"/>
  <c r="E89" i="1"/>
  <c r="E88" i="1"/>
  <c r="C22" i="109" s="1"/>
  <c r="E86" i="1"/>
  <c r="E85" i="1"/>
  <c r="E83" i="1"/>
  <c r="E81" i="1"/>
  <c r="E80" i="1"/>
  <c r="E79" i="1"/>
  <c r="E78" i="1"/>
  <c r="C21" i="109" s="1"/>
  <c r="E76" i="1"/>
  <c r="C19" i="109" s="1"/>
  <c r="E74" i="1"/>
  <c r="C17" i="109" s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C8" i="109" s="1"/>
  <c r="E19" i="1"/>
  <c r="E18" i="1"/>
  <c r="E17" i="1"/>
  <c r="E16" i="1"/>
  <c r="E15" i="1"/>
  <c r="E13" i="1"/>
  <c r="E12" i="1"/>
  <c r="E10" i="1"/>
  <c r="E9" i="1"/>
  <c r="E8" i="1"/>
  <c r="E7" i="1"/>
  <c r="D38" i="1"/>
  <c r="D39" i="1"/>
  <c r="D40" i="1"/>
  <c r="D41" i="1"/>
  <c r="D42" i="1"/>
  <c r="D19" i="73"/>
  <c r="D100" i="1"/>
  <c r="D19" i="1"/>
  <c r="D77" i="1"/>
  <c r="D74" i="1"/>
  <c r="K6" i="73" s="1"/>
  <c r="D7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6" i="1"/>
  <c r="D105" i="1"/>
  <c r="D99" i="1"/>
  <c r="D97" i="1"/>
  <c r="D96" i="1"/>
  <c r="D95" i="1"/>
  <c r="D94" i="1"/>
  <c r="D93" i="1"/>
  <c r="D92" i="1"/>
  <c r="D91" i="1"/>
  <c r="D90" i="1"/>
  <c r="D86" i="1"/>
  <c r="D85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19" i="6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89" i="1"/>
  <c r="K7" i="61" s="1"/>
  <c r="D76" i="1"/>
  <c r="K8" i="73" s="1"/>
  <c r="D75" i="1"/>
  <c r="K7" i="73" s="1"/>
  <c r="D36" i="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K27" i="73"/>
  <c r="D142" i="1" s="1"/>
  <c r="D24" i="73"/>
  <c r="K31" i="61"/>
  <c r="D143" i="1" s="1"/>
  <c r="D25" i="61"/>
  <c r="G10" i="64"/>
  <c r="G8" i="64"/>
  <c r="G5" i="64"/>
  <c r="C89" i="1"/>
  <c r="J7" i="61" s="1"/>
  <c r="C10" i="88"/>
  <c r="O129" i="105"/>
  <c r="O136" i="105" s="1"/>
  <c r="Q125" i="105"/>
  <c r="O125" i="105"/>
  <c r="Q123" i="105"/>
  <c r="O123" i="105"/>
  <c r="O48" i="106"/>
  <c r="F19" i="78"/>
  <c r="F18" i="78"/>
  <c r="F7" i="78"/>
  <c r="F6" i="78"/>
  <c r="F5" i="78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C76" i="1"/>
  <c r="C97" i="1"/>
  <c r="C90" i="1"/>
  <c r="C91" i="1"/>
  <c r="C92" i="1"/>
  <c r="C93" i="1"/>
  <c r="C94" i="1"/>
  <c r="C95" i="1"/>
  <c r="C96" i="1"/>
  <c r="C120" i="1"/>
  <c r="C119" i="1"/>
  <c r="C118" i="1"/>
  <c r="C117" i="1"/>
  <c r="C116" i="1"/>
  <c r="C115" i="1"/>
  <c r="C114" i="1"/>
  <c r="J22" i="61" s="1"/>
  <c r="J31" i="61" s="1"/>
  <c r="C143" i="1" s="1"/>
  <c r="C113" i="1"/>
  <c r="C105" i="1"/>
  <c r="C106" i="1"/>
  <c r="C107" i="1"/>
  <c r="J21" i="73" s="1"/>
  <c r="C108" i="1"/>
  <c r="C109" i="1"/>
  <c r="C110" i="1"/>
  <c r="C111" i="1"/>
  <c r="C99" i="1"/>
  <c r="C88" i="1"/>
  <c r="J6" i="61" s="1"/>
  <c r="C86" i="1"/>
  <c r="C80" i="1"/>
  <c r="C81" i="1"/>
  <c r="C82" i="1"/>
  <c r="C83" i="1"/>
  <c r="C85" i="1"/>
  <c r="C79" i="1"/>
  <c r="C77" i="1"/>
  <c r="C78" i="1"/>
  <c r="C75" i="1"/>
  <c r="J7" i="73" s="1"/>
  <c r="C100" i="1"/>
  <c r="C36" i="1"/>
  <c r="C32" i="1"/>
  <c r="C33" i="1"/>
  <c r="C34" i="1"/>
  <c r="C35" i="1"/>
  <c r="C66" i="1"/>
  <c r="C64" i="1"/>
  <c r="C63" i="1"/>
  <c r="C62" i="1"/>
  <c r="C61" i="1"/>
  <c r="C60" i="1"/>
  <c r="C26" i="61" s="1"/>
  <c r="C25" i="61" s="1"/>
  <c r="C55" i="1"/>
  <c r="C56" i="1"/>
  <c r="C57" i="1"/>
  <c r="C58" i="1"/>
  <c r="C54" i="1"/>
  <c r="C50" i="1"/>
  <c r="C48" i="1"/>
  <c r="C7" i="61" s="1"/>
  <c r="C49" i="1"/>
  <c r="C47" i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2" i="1"/>
  <c r="C16" i="1"/>
  <c r="C8" i="1"/>
  <c r="J27" i="73"/>
  <c r="C142" i="1" s="1"/>
  <c r="C19" i="73"/>
  <c r="C24" i="73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C6" i="92"/>
  <c r="C11" i="92"/>
  <c r="C21" i="92"/>
  <c r="C31" i="92"/>
  <c r="C37" i="92"/>
  <c r="C43" i="92"/>
  <c r="C46" i="92"/>
  <c r="C53" i="92"/>
  <c r="C59" i="92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3" i="78"/>
  <c r="C32" i="78" s="1"/>
  <c r="G7" i="64"/>
  <c r="G9" i="64"/>
  <c r="G11" i="64"/>
  <c r="G12" i="64"/>
  <c r="G13" i="64"/>
  <c r="G14" i="64"/>
  <c r="G16" i="64"/>
  <c r="G17" i="64"/>
  <c r="G18" i="64"/>
  <c r="G19" i="64"/>
  <c r="G20" i="64"/>
  <c r="G21" i="64"/>
  <c r="G22" i="64"/>
  <c r="G23" i="64"/>
  <c r="G24" i="64"/>
  <c r="G31" i="64"/>
  <c r="E38" i="64"/>
  <c r="F38" i="64"/>
  <c r="D88" i="1"/>
  <c r="K6" i="61" s="1"/>
  <c r="D5" i="92"/>
  <c r="C52" i="92" l="1"/>
  <c r="D27" i="79"/>
  <c r="D32" i="79" s="1"/>
  <c r="E103" i="91"/>
  <c r="D101" i="92"/>
  <c r="C27" i="73"/>
  <c r="C139" i="1" s="1"/>
  <c r="F39" i="64"/>
  <c r="F40" i="64" s="1"/>
  <c r="D31" i="61"/>
  <c r="L7" i="61"/>
  <c r="C23" i="109"/>
  <c r="E32" i="78"/>
  <c r="E39" i="64"/>
  <c r="E40" i="64" s="1"/>
  <c r="D87" i="1"/>
  <c r="C87" i="1"/>
  <c r="D104" i="1"/>
  <c r="F76" i="2"/>
  <c r="C102" i="93"/>
  <c r="C102" i="92"/>
  <c r="D30" i="93"/>
  <c r="D52" i="93"/>
  <c r="D65" i="93" s="1"/>
  <c r="D67" i="93" s="1"/>
  <c r="D101" i="93"/>
  <c r="D30" i="92"/>
  <c r="D52" i="92"/>
  <c r="D59" i="1"/>
  <c r="E30" i="91"/>
  <c r="E51" i="91" s="1"/>
  <c r="E52" i="91"/>
  <c r="E30" i="92"/>
  <c r="E51" i="92" s="1"/>
  <c r="E52" i="92"/>
  <c r="E101" i="92"/>
  <c r="F49" i="103"/>
  <c r="F26" i="84"/>
  <c r="F31" i="84" s="1"/>
  <c r="F48" i="84"/>
  <c r="E17" i="2"/>
  <c r="E35" i="2" s="1"/>
  <c r="E76" i="2"/>
  <c r="F53" i="2"/>
  <c r="C43" i="1"/>
  <c r="C53" i="1"/>
  <c r="C19" i="61"/>
  <c r="C31" i="61" s="1"/>
  <c r="C140" i="1" s="1"/>
  <c r="E8" i="73"/>
  <c r="L6" i="73"/>
  <c r="L8" i="73"/>
  <c r="L10" i="73"/>
  <c r="L6" i="61"/>
  <c r="L7" i="73"/>
  <c r="L9" i="73"/>
  <c r="D31" i="1"/>
  <c r="D10" i="73" s="1"/>
  <c r="F13" i="78"/>
  <c r="C52" i="93"/>
  <c r="C30" i="93"/>
  <c r="C51" i="93" s="1"/>
  <c r="C5" i="92"/>
  <c r="D48" i="90"/>
  <c r="D48" i="81"/>
  <c r="D5" i="93"/>
  <c r="D43" i="1"/>
  <c r="D46" i="1"/>
  <c r="D53" i="1"/>
  <c r="D98" i="1"/>
  <c r="D112" i="1"/>
  <c r="E102" i="92"/>
  <c r="E30" i="93"/>
  <c r="E52" i="93"/>
  <c r="E101" i="93"/>
  <c r="F17" i="2"/>
  <c r="E7" i="61"/>
  <c r="C104" i="1"/>
  <c r="C11" i="1"/>
  <c r="C59" i="1"/>
  <c r="C46" i="1"/>
  <c r="C74" i="1"/>
  <c r="J6" i="73" s="1"/>
  <c r="C22" i="1"/>
  <c r="C21" i="1" s="1"/>
  <c r="C9" i="73" s="1"/>
  <c r="E5" i="92"/>
  <c r="E21" i="93"/>
  <c r="E22" i="1"/>
  <c r="E21" i="1" s="1"/>
  <c r="C9" i="109" s="1"/>
  <c r="D22" i="1"/>
  <c r="D21" i="1" s="1"/>
  <c r="D9" i="73" s="1"/>
  <c r="J9" i="73"/>
  <c r="G38" i="64"/>
  <c r="G39" i="64" s="1"/>
  <c r="G40" i="64" s="1"/>
  <c r="D51" i="92"/>
  <c r="D126" i="92" s="1"/>
  <c r="D14" i="1"/>
  <c r="D11" i="1" s="1"/>
  <c r="D7" i="73" s="1"/>
  <c r="D27" i="73"/>
  <c r="E14" i="1"/>
  <c r="E11" i="1" s="1"/>
  <c r="C7" i="109" s="1"/>
  <c r="E120" i="92"/>
  <c r="E122" i="92" s="1"/>
  <c r="D49" i="79"/>
  <c r="D48" i="82"/>
  <c r="C37" i="1"/>
  <c r="C13" i="61" s="1"/>
  <c r="C18" i="61" s="1"/>
  <c r="C98" i="1"/>
  <c r="J11" i="73" s="1"/>
  <c r="D102" i="93"/>
  <c r="D102" i="92"/>
  <c r="D120" i="92" s="1"/>
  <c r="D122" i="92" s="1"/>
  <c r="E31" i="1"/>
  <c r="E10" i="73" s="1"/>
  <c r="E43" i="1"/>
  <c r="E46" i="1"/>
  <c r="E53" i="1"/>
  <c r="E112" i="1"/>
  <c r="E102" i="93"/>
  <c r="E120" i="93" s="1"/>
  <c r="E122" i="93" s="1"/>
  <c r="G13" i="78"/>
  <c r="F64" i="2"/>
  <c r="C31" i="1"/>
  <c r="C10" i="73" s="1"/>
  <c r="C112" i="1"/>
  <c r="H13" i="78"/>
  <c r="E64" i="2"/>
  <c r="J18" i="61"/>
  <c r="J32" i="61" s="1"/>
  <c r="J34" i="61" s="1"/>
  <c r="G16" i="89"/>
  <c r="C101" i="93"/>
  <c r="C120" i="93" s="1"/>
  <c r="C122" i="93" s="1"/>
  <c r="C5" i="93"/>
  <c r="C30" i="92"/>
  <c r="C51" i="92" s="1"/>
  <c r="C65" i="92" s="1"/>
  <c r="C67" i="92" s="1"/>
  <c r="D48" i="80"/>
  <c r="F30" i="78"/>
  <c r="E5" i="93"/>
  <c r="H30" i="78"/>
  <c r="F26" i="103"/>
  <c r="F32" i="103" s="1"/>
  <c r="D126" i="93"/>
  <c r="C101" i="92"/>
  <c r="D37" i="1"/>
  <c r="F33" i="3"/>
  <c r="F54" i="3" s="1"/>
  <c r="F59" i="3" s="1"/>
  <c r="F64" i="3"/>
  <c r="F94" i="3" s="1"/>
  <c r="F99" i="3" s="1"/>
  <c r="F8" i="3"/>
  <c r="G30" i="78"/>
  <c r="D6" i="1"/>
  <c r="J10" i="73"/>
  <c r="K18" i="61"/>
  <c r="K32" i="61" s="1"/>
  <c r="K34" i="61" s="1"/>
  <c r="E104" i="1"/>
  <c r="E73" i="91"/>
  <c r="E102" i="91" s="1"/>
  <c r="E121" i="91" s="1"/>
  <c r="E123" i="91" s="1"/>
  <c r="E37" i="1"/>
  <c r="E87" i="1"/>
  <c r="E98" i="1"/>
  <c r="E6" i="1"/>
  <c r="C6" i="109" s="1"/>
  <c r="E5" i="91"/>
  <c r="E59" i="1"/>
  <c r="E73" i="1"/>
  <c r="J8" i="73"/>
  <c r="C18" i="88"/>
  <c r="C36" i="88" s="1"/>
  <c r="D19" i="88"/>
  <c r="D18" i="88" s="1"/>
  <c r="D36" i="88" s="1"/>
  <c r="D78" i="1"/>
  <c r="K10" i="73" s="1"/>
  <c r="C6" i="1"/>
  <c r="K9" i="73"/>
  <c r="C126" i="93" l="1"/>
  <c r="E52" i="1"/>
  <c r="E138" i="1" s="1"/>
  <c r="C120" i="92"/>
  <c r="C122" i="92" s="1"/>
  <c r="F32" i="78"/>
  <c r="E63" i="2"/>
  <c r="E83" i="2" s="1"/>
  <c r="E126" i="92"/>
  <c r="E85" i="2"/>
  <c r="D120" i="93"/>
  <c r="D122" i="93" s="1"/>
  <c r="E51" i="93"/>
  <c r="D30" i="1"/>
  <c r="D51" i="1" s="1"/>
  <c r="D103" i="1"/>
  <c r="D141" i="1" s="1"/>
  <c r="C52" i="1"/>
  <c r="C138" i="1" s="1"/>
  <c r="L18" i="61"/>
  <c r="L32" i="61" s="1"/>
  <c r="L34" i="61" s="1"/>
  <c r="C12" i="109"/>
  <c r="F35" i="2"/>
  <c r="C25" i="109"/>
  <c r="C28" i="109" s="1"/>
  <c r="L11" i="73"/>
  <c r="L18" i="73" s="1"/>
  <c r="L28" i="73" s="1"/>
  <c r="L30" i="73" s="1"/>
  <c r="C11" i="109"/>
  <c r="F63" i="2"/>
  <c r="F83" i="2" s="1"/>
  <c r="F85" i="2" s="1"/>
  <c r="C103" i="1"/>
  <c r="C141" i="1" s="1"/>
  <c r="C73" i="1"/>
  <c r="C102" i="1" s="1"/>
  <c r="B13" i="76" s="1"/>
  <c r="C36" i="61"/>
  <c r="C132" i="1" s="1"/>
  <c r="C30" i="1"/>
  <c r="C51" i="1" s="1"/>
  <c r="D13" i="61"/>
  <c r="D18" i="61" s="1"/>
  <c r="D36" i="61" s="1"/>
  <c r="D132" i="1" s="1"/>
  <c r="E103" i="1"/>
  <c r="D52" i="1"/>
  <c r="D138" i="1" s="1"/>
  <c r="D65" i="92"/>
  <c r="D67" i="92" s="1"/>
  <c r="H32" i="78"/>
  <c r="E7" i="73"/>
  <c r="E6" i="73"/>
  <c r="E9" i="73"/>
  <c r="D73" i="1"/>
  <c r="D102" i="1" s="1"/>
  <c r="E65" i="92"/>
  <c r="E67" i="92" s="1"/>
  <c r="G32" i="78"/>
  <c r="C65" i="93"/>
  <c r="C67" i="93" s="1"/>
  <c r="E30" i="1"/>
  <c r="E13" i="61"/>
  <c r="E18" i="61" s="1"/>
  <c r="C7" i="73"/>
  <c r="E65" i="93"/>
  <c r="E67" i="93" s="1"/>
  <c r="E126" i="93"/>
  <c r="C126" i="92"/>
  <c r="D6" i="73"/>
  <c r="D18" i="73" s="1"/>
  <c r="D5" i="1"/>
  <c r="J36" i="61"/>
  <c r="E102" i="1"/>
  <c r="C32" i="61"/>
  <c r="C34" i="61" s="1"/>
  <c r="E5" i="1"/>
  <c r="C127" i="91"/>
  <c r="J35" i="61"/>
  <c r="C35" i="61"/>
  <c r="K18" i="73"/>
  <c r="K28" i="73" s="1"/>
  <c r="K30" i="73" s="1"/>
  <c r="K39" i="61" s="1"/>
  <c r="J18" i="73"/>
  <c r="J28" i="73" s="1"/>
  <c r="E65" i="91"/>
  <c r="E67" i="91" s="1"/>
  <c r="E127" i="91"/>
  <c r="C6" i="73"/>
  <c r="C5" i="1"/>
  <c r="E137" i="1" l="1"/>
  <c r="E121" i="1"/>
  <c r="E123" i="1" s="1"/>
  <c r="D137" i="1"/>
  <c r="D121" i="1"/>
  <c r="D123" i="1" s="1"/>
  <c r="C137" i="1"/>
  <c r="L36" i="61"/>
  <c r="D32" i="61"/>
  <c r="D34" i="61" s="1"/>
  <c r="K35" i="61"/>
  <c r="K36" i="61"/>
  <c r="C121" i="1"/>
  <c r="B14" i="76" s="1"/>
  <c r="C10" i="109"/>
  <c r="C15" i="109" s="1"/>
  <c r="E51" i="1"/>
  <c r="E127" i="1" s="1"/>
  <c r="E18" i="73"/>
  <c r="L31" i="73" s="1"/>
  <c r="C18" i="73"/>
  <c r="J31" i="73" s="1"/>
  <c r="K32" i="73"/>
  <c r="D65" i="1"/>
  <c r="D67" i="1" s="1"/>
  <c r="D35" i="61"/>
  <c r="D127" i="1"/>
  <c r="D31" i="73"/>
  <c r="K31" i="73"/>
  <c r="E32" i="61"/>
  <c r="E34" i="61" s="1"/>
  <c r="E36" i="61" s="1"/>
  <c r="E132" i="1" s="1"/>
  <c r="E35" i="61"/>
  <c r="L35" i="61"/>
  <c r="D127" i="91"/>
  <c r="D13" i="76"/>
  <c r="E13" i="76" s="1"/>
  <c r="D32" i="73"/>
  <c r="D131" i="1" s="1"/>
  <c r="D133" i="1" s="1"/>
  <c r="D28" i="73"/>
  <c r="D30" i="73" s="1"/>
  <c r="J30" i="73"/>
  <c r="D14" i="76"/>
  <c r="B6" i="76"/>
  <c r="C65" i="1"/>
  <c r="C127" i="1"/>
  <c r="C123" i="1" l="1"/>
  <c r="B15" i="76" s="1"/>
  <c r="D39" i="61"/>
  <c r="J32" i="73"/>
  <c r="C32" i="73"/>
  <c r="C131" i="1" s="1"/>
  <c r="C133" i="1" s="1"/>
  <c r="D6" i="76"/>
  <c r="E6" i="76" s="1"/>
  <c r="C28" i="73"/>
  <c r="D7" i="76" s="1"/>
  <c r="E31" i="73"/>
  <c r="L32" i="73"/>
  <c r="E32" i="73"/>
  <c r="E131" i="1" s="1"/>
  <c r="E133" i="1" s="1"/>
  <c r="E65" i="1"/>
  <c r="E67" i="1" s="1"/>
  <c r="E28" i="73"/>
  <c r="E30" i="73" s="1"/>
  <c r="D15" i="76"/>
  <c r="J39" i="61"/>
  <c r="J40" i="61" s="1"/>
  <c r="C67" i="1"/>
  <c r="B8" i="76" s="1"/>
  <c r="B7" i="76"/>
  <c r="E14" i="76"/>
  <c r="E41" i="61" l="1"/>
  <c r="C30" i="73"/>
  <c r="C39" i="61" s="1"/>
  <c r="C40" i="61" s="1"/>
  <c r="E15" i="76"/>
  <c r="E7" i="76"/>
  <c r="D8" i="76" l="1"/>
  <c r="E8" i="76" s="1"/>
</calcChain>
</file>

<file path=xl/sharedStrings.xml><?xml version="1.0" encoding="utf-8"?>
<sst xmlns="http://schemas.openxmlformats.org/spreadsheetml/2006/main" count="4145" uniqueCount="1560">
  <si>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</si>
  <si>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</si>
  <si>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</si>
  <si>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</si>
  <si>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</si>
  <si>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</si>
  <si>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</si>
  <si>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</si>
  <si>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</si>
  <si>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</si>
  <si>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</si>
  <si>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</si>
  <si>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</si>
  <si>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</si>
  <si>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</si>
  <si>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</si>
  <si>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Sor-
szám</t>
  </si>
  <si>
    <t>Kedvezmény nélkül elérhető bevétel</t>
  </si>
  <si>
    <t>Kedvezmények összege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</si>
  <si>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</si>
  <si>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</si>
  <si>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</si>
  <si>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</si>
  <si>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</si>
  <si>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</si>
  <si>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</si>
  <si>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</si>
  <si>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</si>
  <si>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</si>
  <si>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</si>
  <si>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</si>
  <si>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</si>
  <si>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</si>
  <si>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</si>
  <si>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</si>
  <si>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</si>
  <si>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</si>
  <si>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</si>
  <si>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</si>
  <si>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</si>
  <si>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</si>
  <si>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</si>
  <si>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</si>
  <si>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</si>
  <si>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</si>
  <si>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</si>
  <si>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</si>
  <si>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</si>
  <si>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</si>
  <si>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</si>
  <si>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</si>
  <si>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</si>
  <si>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</si>
  <si>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</si>
  <si>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</si>
  <si>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</si>
  <si>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</si>
  <si>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</si>
  <si>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</si>
  <si>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</si>
  <si>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</si>
  <si>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</si>
  <si>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</si>
  <si>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</si>
  <si>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</si>
  <si>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</si>
  <si>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</si>
  <si>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</si>
  <si>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</si>
  <si>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</si>
  <si>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</si>
  <si>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</si>
  <si>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</si>
  <si>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</si>
  <si>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</si>
  <si>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</si>
  <si>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</si>
  <si>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</si>
  <si>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</si>
  <si>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</si>
  <si>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</si>
  <si>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</si>
  <si>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</si>
  <si>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</si>
  <si>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</si>
  <si>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</si>
  <si>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</si>
  <si>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</si>
  <si>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</si>
  <si>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</si>
  <si>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</si>
  <si>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</si>
  <si>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</si>
  <si>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</si>
  <si>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</si>
  <si>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</si>
  <si>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</si>
  <si>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</si>
  <si>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</si>
  <si>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</si>
  <si>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</si>
  <si>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</si>
  <si>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</si>
  <si>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</si>
  <si>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</si>
  <si>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</si>
  <si>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</si>
  <si>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</si>
  <si>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</si>
  <si>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</si>
  <si>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</si>
  <si>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</si>
  <si>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</si>
  <si>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</si>
  <si>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</si>
  <si>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</si>
  <si>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</si>
  <si>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</si>
  <si>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</si>
  <si>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</si>
  <si>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</si>
  <si>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</si>
  <si>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</si>
  <si>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</si>
  <si>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</si>
  <si>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</si>
  <si>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</si>
  <si>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</si>
  <si>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</si>
  <si>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</si>
  <si>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</si>
  <si>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</si>
  <si>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</si>
  <si>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</si>
  <si>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</si>
  <si>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</si>
  <si>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</si>
  <si>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</si>
  <si>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</si>
  <si>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</si>
  <si>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</si>
  <si>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</si>
  <si>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</si>
  <si>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</si>
  <si>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</si>
  <si>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</si>
  <si>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</si>
  <si>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</si>
  <si>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</si>
  <si>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</si>
  <si>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</si>
  <si>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</si>
  <si>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</si>
  <si>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</si>
  <si>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</si>
  <si>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</si>
  <si>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</si>
  <si>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</si>
  <si>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</si>
  <si>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</si>
  <si>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</si>
  <si>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</si>
  <si>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</si>
  <si>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</si>
  <si>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</si>
  <si>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</si>
  <si>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</si>
  <si>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</si>
  <si>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</si>
  <si>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</si>
  <si>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</si>
  <si>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</si>
  <si>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</si>
  <si>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</si>
  <si>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</si>
  <si>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</si>
  <si>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2014.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</si>
  <si>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</si>
  <si>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</si>
  <si>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</si>
  <si>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</si>
  <si>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</si>
  <si>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</si>
  <si>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</si>
  <si>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</si>
  <si>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</si>
  <si>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</si>
  <si>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</si>
  <si>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</si>
  <si>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</si>
  <si>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</si>
  <si>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</si>
  <si>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</si>
  <si>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</si>
  <si>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</si>
  <si>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</si>
  <si>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</si>
  <si>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</si>
  <si>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</si>
  <si>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</si>
  <si>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</si>
  <si>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</si>
  <si>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</si>
  <si>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</si>
  <si>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</si>
  <si>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</si>
  <si>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</si>
  <si>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</si>
  <si>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</si>
  <si>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</si>
  <si>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</si>
  <si>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</si>
  <si>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</si>
  <si>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</si>
  <si>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</si>
  <si>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</si>
  <si>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</si>
  <si>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</si>
  <si>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</si>
  <si>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</si>
  <si>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</si>
  <si>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</si>
  <si>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</si>
  <si>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</si>
  <si>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</si>
  <si>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</si>
  <si>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</si>
  <si>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</si>
  <si>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</si>
  <si>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</si>
  <si>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</si>
  <si>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</si>
  <si>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</si>
  <si>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</si>
  <si>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</si>
  <si>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</si>
  <si>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</si>
  <si>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</si>
  <si>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</si>
  <si>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</si>
  <si>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</si>
  <si>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</si>
  <si>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</si>
  <si>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</si>
  <si>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</si>
  <si>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</si>
  <si>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</si>
  <si>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</si>
  <si>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</si>
  <si>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</si>
  <si>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</si>
  <si>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</si>
  <si>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</si>
  <si>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</si>
  <si>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</si>
  <si>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</si>
  <si>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</si>
  <si>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</si>
  <si>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</si>
  <si>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</si>
  <si>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</si>
  <si>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</si>
  <si>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</si>
  <si>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</si>
  <si>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</si>
  <si>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</si>
  <si>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</si>
  <si>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</si>
  <si>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</si>
  <si>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</si>
  <si>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</si>
  <si>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</si>
  <si>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</si>
  <si>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</si>
  <si>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</si>
  <si>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</si>
  <si>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</si>
  <si>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</si>
  <si>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</si>
  <si>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</si>
  <si>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</si>
  <si>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</si>
  <si>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</si>
  <si>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</si>
  <si>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</si>
  <si>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</si>
  <si>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</si>
  <si>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</si>
  <si>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</si>
  <si>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</si>
  <si>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</si>
  <si>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</si>
  <si>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</si>
  <si>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</si>
  <si>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</si>
  <si>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</si>
  <si>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</si>
  <si>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</si>
  <si>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</si>
  <si>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</si>
  <si>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</si>
  <si>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</si>
  <si>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</si>
  <si>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</si>
  <si>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</si>
  <si>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</si>
  <si>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</si>
  <si>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</si>
  <si>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</si>
  <si>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</si>
  <si>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</si>
  <si>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</si>
  <si>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</si>
  <si>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</si>
  <si>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</si>
  <si>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</si>
  <si>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</si>
  <si>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</si>
  <si>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</si>
  <si>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</si>
  <si>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</si>
  <si>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</si>
  <si>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</si>
  <si>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</si>
  <si>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</si>
  <si>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</si>
  <si>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</si>
  <si>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</si>
  <si>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</si>
  <si>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</si>
  <si>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</si>
  <si>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</si>
  <si>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</si>
  <si>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</si>
  <si>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</si>
  <si>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</si>
  <si>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</si>
  <si>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</si>
  <si>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</si>
  <si>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</si>
  <si>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</si>
  <si>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</si>
  <si>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</si>
  <si>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</si>
  <si>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</si>
  <si>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</si>
  <si>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</si>
  <si>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</si>
  <si>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</si>
  <si>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</si>
  <si>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</si>
  <si>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</si>
  <si>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</si>
  <si>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</si>
  <si>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</si>
  <si>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</si>
  <si>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</si>
  <si>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</si>
  <si>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</si>
  <si>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</si>
  <si>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</si>
  <si>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</si>
  <si>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</si>
  <si>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</si>
  <si>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</si>
  <si>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</si>
  <si>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</si>
  <si>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</si>
  <si>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</si>
  <si>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</si>
  <si>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</si>
  <si>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</si>
  <si>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</si>
  <si>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</si>
  <si>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</si>
  <si>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</si>
  <si>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</si>
  <si>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</si>
  <si>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</si>
  <si>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</si>
  <si>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</si>
  <si>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</si>
  <si>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</si>
  <si>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</si>
  <si>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</si>
  <si>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</si>
  <si>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</si>
  <si>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</si>
  <si>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</si>
  <si>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</si>
  <si>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</si>
  <si>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</si>
  <si>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</si>
  <si>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</si>
  <si>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</si>
  <si>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</si>
  <si>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</si>
  <si>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</si>
  <si>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</si>
  <si>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</si>
  <si>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</si>
  <si>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</si>
  <si>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</si>
  <si>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</si>
  <si>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</si>
  <si>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</si>
  <si>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</si>
  <si>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</si>
  <si>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</si>
  <si>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</si>
  <si>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</si>
  <si>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</si>
  <si>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</si>
  <si>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</si>
  <si>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</si>
  <si>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</si>
  <si>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</si>
  <si>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</si>
  <si>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</si>
  <si>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</si>
  <si>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</si>
  <si>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</si>
  <si>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</si>
  <si>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</si>
  <si>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</si>
  <si>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</si>
  <si>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</si>
  <si>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</si>
  <si>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</si>
  <si>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</si>
  <si>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</si>
  <si>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</si>
  <si>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</si>
  <si>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</si>
  <si>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</si>
  <si>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</si>
  <si>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</si>
  <si>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</si>
  <si>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</si>
  <si>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</si>
  <si>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</si>
  <si>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</si>
  <si>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</si>
  <si>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</si>
  <si>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</si>
  <si>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</si>
  <si>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</si>
  <si>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</si>
  <si>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</si>
  <si>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</si>
  <si>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</si>
  <si>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</si>
  <si>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</si>
  <si>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</si>
  <si>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</si>
  <si>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</si>
  <si>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</si>
  <si>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</si>
  <si>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</si>
  <si>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</si>
  <si>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</si>
  <si>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</si>
  <si>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</si>
  <si>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</si>
  <si>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</si>
  <si>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</si>
  <si>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</si>
  <si>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</si>
  <si>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</si>
  <si>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</si>
  <si>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</si>
  <si>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</si>
  <si>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</si>
  <si>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</si>
  <si>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</si>
  <si>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</si>
  <si>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</si>
  <si>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</si>
  <si>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</si>
  <si>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</si>
  <si>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</si>
  <si>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</si>
  <si>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</si>
  <si>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</si>
  <si>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</si>
  <si>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</si>
  <si>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</si>
  <si>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</si>
  <si>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</si>
  <si>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</si>
  <si>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</si>
  <si>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</si>
  <si>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</si>
  <si>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</si>
  <si>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</si>
  <si>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</si>
  <si>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</si>
  <si>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</si>
  <si>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</si>
  <si>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</si>
  <si>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</si>
  <si>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</si>
  <si>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</si>
  <si>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</si>
  <si>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</si>
  <si>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</si>
  <si>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</si>
  <si>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</si>
  <si>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</si>
  <si>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</si>
  <si>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</si>
  <si>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</si>
  <si>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</si>
  <si>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</si>
  <si>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</si>
  <si>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</si>
  <si>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</si>
  <si>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</si>
  <si>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</si>
  <si>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</si>
  <si>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</si>
  <si>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</si>
  <si>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</si>
  <si>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</si>
  <si>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</si>
  <si>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</si>
  <si>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</si>
  <si>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</si>
  <si>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</si>
  <si>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</si>
  <si>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</si>
  <si>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</si>
  <si>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</si>
  <si>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</si>
  <si>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</si>
  <si>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</si>
  <si>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</si>
  <si>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</si>
  <si>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</si>
  <si>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</si>
  <si>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</si>
  <si>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</si>
  <si>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</si>
  <si>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</si>
  <si>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</si>
  <si>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</si>
  <si>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</si>
  <si>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</si>
  <si>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</si>
  <si>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</si>
  <si>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</si>
  <si>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</si>
  <si>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</si>
  <si>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</si>
  <si>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</si>
  <si>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</si>
  <si>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</si>
  <si>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</si>
  <si>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</si>
  <si>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</si>
  <si>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</si>
  <si>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</si>
  <si>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</si>
  <si>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</si>
  <si>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</si>
  <si>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</si>
  <si>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</si>
  <si>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</si>
  <si>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</si>
  <si>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</si>
  <si>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</si>
  <si>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</si>
  <si>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</si>
  <si>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</si>
  <si>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</si>
  <si>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</si>
  <si>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</si>
  <si>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</si>
  <si>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</si>
  <si>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</si>
  <si>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</si>
  <si>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</si>
  <si>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</si>
  <si>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</si>
  <si>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</si>
  <si>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</si>
  <si>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</si>
  <si>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</si>
  <si>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</si>
  <si>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</si>
  <si>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</si>
  <si>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</si>
  <si>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</si>
  <si>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</si>
  <si>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</si>
  <si>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</si>
  <si>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</si>
  <si>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</si>
  <si>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</si>
  <si>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</si>
  <si>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</si>
  <si>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</si>
  <si>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</si>
  <si>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</si>
  <si>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</si>
  <si>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</si>
  <si>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</si>
  <si>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</si>
  <si>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</si>
  <si>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</si>
  <si>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</si>
  <si>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</si>
  <si>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</si>
  <si>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</si>
  <si>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</si>
  <si>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</si>
  <si>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</si>
  <si>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</si>
  <si>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</si>
  <si>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</si>
  <si>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</si>
  <si>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</si>
  <si>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</si>
  <si>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</si>
  <si>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</si>
  <si>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</si>
  <si>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</si>
  <si>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</si>
  <si>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</si>
  <si>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</si>
  <si>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</si>
  <si>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</si>
  <si>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</si>
  <si>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</si>
  <si>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</si>
  <si>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</si>
  <si>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</si>
  <si>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</si>
  <si>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</si>
  <si>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</si>
  <si>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</si>
  <si>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</si>
  <si>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</si>
  <si>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</si>
  <si>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</si>
  <si>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</si>
  <si>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</si>
  <si>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</si>
  <si>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Szociális ellátás megnevezése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</si>
  <si>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</si>
  <si>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</si>
  <si>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</si>
  <si>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</si>
  <si>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</si>
  <si>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</si>
  <si>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</si>
  <si>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</si>
  <si>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</si>
  <si>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</si>
  <si>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</si>
  <si>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</si>
  <si>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</si>
  <si>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</si>
  <si>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</si>
  <si>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</si>
  <si>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</si>
  <si>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</si>
  <si>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</si>
  <si>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</si>
  <si>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</si>
  <si>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</si>
  <si>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</si>
  <si>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</si>
  <si>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</si>
  <si>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</si>
  <si>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</si>
  <si>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</si>
  <si>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</si>
  <si>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</si>
  <si>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</si>
  <si>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</si>
  <si>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</si>
  <si>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</si>
  <si>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</si>
  <si>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</si>
  <si>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</si>
  <si>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</si>
  <si>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</si>
  <si>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</si>
  <si>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</si>
  <si>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</si>
  <si>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</si>
  <si>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</si>
  <si>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</si>
  <si>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</si>
  <si>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</si>
  <si>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</si>
  <si>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</si>
  <si>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</si>
  <si>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</si>
  <si>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</si>
  <si>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</si>
  <si>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</si>
  <si>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</si>
  <si>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</si>
  <si>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</si>
  <si>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</si>
  <si>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</si>
  <si>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</si>
  <si>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</si>
  <si>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</si>
  <si>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</si>
  <si>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</si>
  <si>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</si>
  <si>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</si>
  <si>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</si>
  <si>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</si>
  <si>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</si>
  <si>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</si>
  <si>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</si>
  <si>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</si>
  <si>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</si>
  <si>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</si>
  <si>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</si>
  <si>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</si>
  <si>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</si>
  <si>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</si>
  <si>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</si>
  <si>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</si>
  <si>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</si>
  <si>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</si>
  <si>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</si>
  <si>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</si>
  <si>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</si>
  <si>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</si>
  <si>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</si>
  <si>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</si>
  <si>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</si>
  <si>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</si>
  <si>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</si>
  <si>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</si>
  <si>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</si>
  <si>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</si>
  <si>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</si>
  <si>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</si>
  <si>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</si>
  <si>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</si>
  <si>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</si>
  <si>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</si>
  <si>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</si>
  <si>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</si>
  <si>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</si>
  <si>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</si>
  <si>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</si>
  <si>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</si>
  <si>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</si>
  <si>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</si>
  <si>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</si>
  <si>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</si>
  <si>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</si>
  <si>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</si>
  <si>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</si>
  <si>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</si>
  <si>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</si>
  <si>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</si>
  <si>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</si>
  <si>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</si>
  <si>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</si>
  <si>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</si>
  <si>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</si>
  <si>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</si>
  <si>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</si>
  <si>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</si>
  <si>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</si>
  <si>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</si>
  <si>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</si>
  <si>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</si>
  <si>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</si>
  <si>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</si>
  <si>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</si>
  <si>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</si>
  <si>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</si>
  <si>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</si>
  <si>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</si>
  <si>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</si>
  <si>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</si>
  <si>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</si>
  <si>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</si>
  <si>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</si>
  <si>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</si>
  <si>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</si>
  <si>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</si>
  <si>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</si>
  <si>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</si>
  <si>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</si>
  <si>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</si>
  <si>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</si>
  <si>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</si>
  <si>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</si>
  <si>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</si>
  <si>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</si>
  <si>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</si>
  <si>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</si>
  <si>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</si>
  <si>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</si>
  <si>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</si>
  <si>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</si>
  <si>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</si>
  <si>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</si>
  <si>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</si>
  <si>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</si>
  <si>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</si>
  <si>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</si>
  <si>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</si>
  <si>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</si>
  <si>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</si>
  <si>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</si>
  <si>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</si>
  <si>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</si>
  <si>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</si>
  <si>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</si>
  <si>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</si>
  <si>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</si>
  <si>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</si>
  <si>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</si>
  <si>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</si>
  <si>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</si>
  <si>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</si>
  <si>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</si>
  <si>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</si>
  <si>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</si>
  <si>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</si>
  <si>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</si>
  <si>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</si>
  <si>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</si>
  <si>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</si>
  <si>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</si>
  <si>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</si>
  <si>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</si>
  <si>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</si>
  <si>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</si>
  <si>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</si>
  <si>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</si>
  <si>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</si>
  <si>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</si>
  <si>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</si>
  <si>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</si>
  <si>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</si>
  <si>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</si>
  <si>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</si>
  <si>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</si>
  <si>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</si>
  <si>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</si>
  <si>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</si>
  <si>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</si>
  <si>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</si>
  <si>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</si>
  <si>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</si>
  <si>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</si>
  <si>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</si>
  <si>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</si>
  <si>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</si>
  <si>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</si>
  <si>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</si>
  <si>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</si>
  <si>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</si>
  <si>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</si>
  <si>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</si>
  <si>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</si>
  <si>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</si>
  <si>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</si>
  <si>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</si>
  <si>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</si>
  <si>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</si>
  <si>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</si>
  <si>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</si>
  <si>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</si>
  <si>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</si>
  <si>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</si>
  <si>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</si>
  <si>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</si>
  <si>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</si>
  <si>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</si>
  <si>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</si>
  <si>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</si>
  <si>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</si>
  <si>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</si>
  <si>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</si>
  <si>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</si>
  <si>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</si>
  <si>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</si>
  <si>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</si>
  <si>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</si>
  <si>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</si>
  <si>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</si>
  <si>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</si>
  <si>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</si>
  <si>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</si>
  <si>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</si>
  <si>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</si>
  <si>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Eredeti előirányzat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</si>
  <si>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</si>
  <si>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</si>
  <si>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</si>
  <si>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</si>
  <si>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</si>
  <si>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</si>
  <si>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</si>
  <si>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</si>
  <si>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</si>
  <si>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</si>
  <si>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</si>
  <si>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</si>
  <si>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Időskorúak rendkívüli seg</t>
  </si>
  <si>
    <t>2014. évi terv</t>
  </si>
  <si>
    <t>Felhasználás
2013. XII.31-ig</t>
  </si>
  <si>
    <t>2014. év utáni szükséglet
(6=2 - 4 - 5)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</si>
  <si>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</si>
  <si>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</si>
  <si>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</si>
  <si>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</si>
  <si>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K I M U T A T Á S
a 2014. évi működési célú pénzeszközátadásokról, céljellegű támogatásokról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</si>
  <si>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</si>
  <si>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</si>
  <si>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</si>
  <si>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</si>
  <si>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2013. évi  terv</t>
  </si>
  <si>
    <t>CIVIL ALAP</t>
  </si>
  <si>
    <t>Köztemetés</t>
  </si>
  <si>
    <t>tető felújítás</t>
  </si>
  <si>
    <t>lépcsők javítása</t>
  </si>
  <si>
    <t>fűtés korszerűsítés</t>
  </si>
  <si>
    <t>két bejárati ajtó csere</t>
  </si>
  <si>
    <t>gyerekpad és asztal</t>
  </si>
  <si>
    <t>Települési önkormányzatok köznevelési feladatainak egyéb támogatása</t>
  </si>
  <si>
    <t>2013. évi   terv</t>
  </si>
  <si>
    <t>4. számú tájékoztató tábla</t>
  </si>
  <si>
    <t>3. számú tájékoztató tábla</t>
  </si>
  <si>
    <t xml:space="preserve">     - Működési támogatás átadás (Civil Alap 2014)</t>
  </si>
  <si>
    <t>2015 évi terv</t>
  </si>
  <si>
    <t>2016 évi terv</t>
  </si>
  <si>
    <t>2015. évi előirányzat</t>
  </si>
  <si>
    <t xml:space="preserve">i/1.Környezetvédelmi tájékoztatók </t>
  </si>
  <si>
    <t>2015. évi terv</t>
  </si>
  <si>
    <t>Az általános működés és ágazati feladatok támogatásának alakulása jogcímenként</t>
  </si>
  <si>
    <t>Beszámítás összege (2015 kiegészítő támogatás)</t>
  </si>
  <si>
    <t>2014. évről áthúzódó bérkompoenzáció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</si>
  <si>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</si>
  <si>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</si>
  <si>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</si>
  <si>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</si>
  <si>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</si>
  <si>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</si>
  <si>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</si>
  <si>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</si>
  <si>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2017 évi terv</t>
  </si>
  <si>
    <t>Gördülő költségvetési terv 2015-2017 évekre</t>
  </si>
  <si>
    <t>2014. évi   teljesítés</t>
  </si>
  <si>
    <t>Családsegító Szolgálat  feladatellátás támogatás</t>
  </si>
  <si>
    <t>Családsegítő Szolgálat állami tám.átadás</t>
  </si>
  <si>
    <t>Csobogó sétány játszótér (391/2 hrsz)</t>
  </si>
  <si>
    <t>kerítés felújítás, megerősítés</t>
  </si>
  <si>
    <t>új bejárati kapu</t>
  </si>
  <si>
    <t>kerékpártároló</t>
  </si>
  <si>
    <t>homok pótlás</t>
  </si>
  <si>
    <t>víz bevezetés felső ingatlanról</t>
  </si>
  <si>
    <t>elektromos áram kialakítása</t>
  </si>
  <si>
    <t xml:space="preserve">térfigyelő kamera </t>
  </si>
  <si>
    <t>csúszda pótlás</t>
  </si>
  <si>
    <t xml:space="preserve">Óvoda Fő út 11. (614 hrsz) </t>
  </si>
  <si>
    <t xml:space="preserve">védőkorlát </t>
  </si>
  <si>
    <t xml:space="preserve">Hivatal Fő út 1. (618/1 hrsz) </t>
  </si>
  <si>
    <t>ablakcserék</t>
  </si>
  <si>
    <t>külső lábazat javítás</t>
  </si>
  <si>
    <t>bejárati ajtó árajánlat többlet</t>
  </si>
  <si>
    <t>riasztó rendszer korszerűsítése</t>
  </si>
  <si>
    <t>szertár ajtó csere</t>
  </si>
  <si>
    <t>Garázs köz (661/1)</t>
  </si>
  <si>
    <t xml:space="preserve">Mese lépcső (648 hrsz) </t>
  </si>
  <si>
    <t>Általános Iskola Vörösvári út 12. (940 hrsz)</t>
  </si>
  <si>
    <t xml:space="preserve">Sportpálya (406/125 hrsz) </t>
  </si>
  <si>
    <t xml:space="preserve">kispálya labdafogó </t>
  </si>
  <si>
    <t>2 kosár palánk</t>
  </si>
  <si>
    <t>Közösségi ház és könyvtár -  Béke út 4. (961/3 hrsz)</t>
  </si>
  <si>
    <t>mobil színpad</t>
  </si>
  <si>
    <t>tornaszoba</t>
  </si>
  <si>
    <t>Nemzetiségek háza Béke út 8.</t>
  </si>
  <si>
    <t>riasztó rendszer távfelügyelettel</t>
  </si>
  <si>
    <t>Áfonya utca (607/17)</t>
  </si>
  <si>
    <t xml:space="preserve">vízellátás </t>
  </si>
  <si>
    <t>Gyurgyalag utca (912)</t>
  </si>
  <si>
    <t>Margitliget</t>
  </si>
  <si>
    <t>világítás a 2 buszmegállónál</t>
  </si>
  <si>
    <t>turisztikai irányjelző oszlop 5</t>
  </si>
  <si>
    <t xml:space="preserve">5 db közterületi kamera </t>
  </si>
  <si>
    <t>3 kamera pótlása</t>
  </si>
  <si>
    <t>2 db fedett buszmegálló</t>
  </si>
  <si>
    <t>Fő téri emlékműhöz koszorútartó</t>
  </si>
  <si>
    <t>2013. évi teljesítés</t>
  </si>
  <si>
    <t>2014. évi   várható</t>
  </si>
  <si>
    <t>2013. évi   tény</t>
  </si>
  <si>
    <t>2014. évi várható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</si>
  <si>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</si>
  <si>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</si>
  <si>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</si>
  <si>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</si>
  <si>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</si>
  <si>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Helyi építési szabályzat</t>
  </si>
  <si>
    <t>ASP kiegészítő beruházások (szerver)</t>
  </si>
  <si>
    <t>Fűnyíró (2db), fűkasza beszerzés (2db)</t>
  </si>
  <si>
    <t>Szóróanyag tárolók beszerzése</t>
  </si>
  <si>
    <t>Közösségi Ház informatikai besz. internethez</t>
  </si>
  <si>
    <t>Vis maior I.</t>
  </si>
  <si>
    <t>Vis maior II.</t>
  </si>
  <si>
    <t>Községgazdálkodás</t>
  </si>
  <si>
    <t xml:space="preserve"> Környezetvédelmi Intézkedési Terve</t>
  </si>
  <si>
    <t>a 2015. évi költségvetés Környezetvédelmi Alapjának felhasználására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</si>
  <si>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</si>
  <si>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</si>
  <si>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</si>
  <si>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 xml:space="preserve">b/3. Mobil WC telepítése az Oszoly pihenőhöz </t>
  </si>
  <si>
    <t>b/4 10 db közterületi hulladékgyűjtőedényzet beszerzése</t>
  </si>
  <si>
    <t>c/1. A HÉSZ-ben szereplő helyi jelentőségű védett természeti emlékek tényleges védelembe vételének költségei</t>
  </si>
  <si>
    <t>c/2. A Csobánkai Tanösvény karbantartása, megrongálódott tábláinak pótlása</t>
  </si>
  <si>
    <t>d/1 1956-os kopjafa elkészítése, telepítése</t>
  </si>
  <si>
    <t>e/1 Szabad-felhasználású pályázati alap környezetvédelemi akciók támogatására – pályázat házi komposztálóra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</si>
  <si>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</si>
  <si>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</si>
  <si>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h/1. Virágosítás</t>
  </si>
  <si>
    <t xml:space="preserve">h/2. Közterületi fák karbantartása, fenntartása  </t>
  </si>
  <si>
    <t xml:space="preserve">h/3. Díszfák és gyümölcsfák telepítése – Plandics tér, Mária utca teteje, Szabadsághegy utca   </t>
  </si>
  <si>
    <t xml:space="preserve">i/1. Veszélyes hulladékok összegyűjtése és elszállítása </t>
  </si>
  <si>
    <t>b/5 Közterületi padok beszerzése, elhelyezése</t>
  </si>
  <si>
    <t>2014</t>
  </si>
  <si>
    <t>Kivitelezés tervezett kezdése</t>
  </si>
  <si>
    <t>2015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</si>
  <si>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</si>
  <si>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</si>
  <si>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</si>
  <si>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</si>
  <si>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</si>
  <si>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</si>
  <si>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</si>
  <si>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 xml:space="preserve">A szociális ellátások alakulása 2015. évben </t>
  </si>
  <si>
    <t>2013.évi ellátás tény</t>
  </si>
  <si>
    <t>2014. évi ellátás várható</t>
  </si>
  <si>
    <t>2013.évi támogatás tény</t>
  </si>
  <si>
    <t>2014.évi támogatás várható</t>
  </si>
  <si>
    <t>2015. évi támogatás terv</t>
  </si>
  <si>
    <t>Önkormányzati hatáskörbe tartozó szociális ellátások</t>
  </si>
  <si>
    <t>Természetben nyújtott átmeneti segély (Utalvány/tüzifa)</t>
  </si>
  <si>
    <t>Települési támogatás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</si>
  <si>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</si>
  <si>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</si>
  <si>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</si>
  <si>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</si>
  <si>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</si>
  <si>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</si>
  <si>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</si>
  <si>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</si>
  <si>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</si>
  <si>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</si>
  <si>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</si>
  <si>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2015. évi Környezetvédelmi Alap</t>
  </si>
  <si>
    <t>FHT</t>
  </si>
  <si>
    <t>LAKÁS FENNTART</t>
  </si>
  <si>
    <t>RENDSZ.SZOC</t>
  </si>
  <si>
    <t>2015. évi módosított  ei.</t>
  </si>
  <si>
    <t>2015. évi mód.ei.</t>
  </si>
  <si>
    <t>adatok forintban</t>
  </si>
  <si>
    <t>2015. évi  módosított előirányzat</t>
  </si>
  <si>
    <t>Módosított előirányzat</t>
  </si>
  <si>
    <t>2015. évi mód.ei</t>
  </si>
  <si>
    <t>Működési célú finanszírozási kiadások (Áht-n belüli megelőlegezés visszafizetés)</t>
  </si>
  <si>
    <t xml:space="preserve">     - Garancia és kezességvállalásból származó kifizetés (letétek)</t>
  </si>
  <si>
    <t>2015. évi módosított  előirányzat</t>
  </si>
  <si>
    <t>2015. évi ellátás eredeti ei.</t>
  </si>
  <si>
    <t>2015. évi ellátás mód.ei.</t>
  </si>
  <si>
    <t>2015. évi eredeti ei.</t>
  </si>
  <si>
    <t xml:space="preserve">   Államháztartáson belüli megelőlegezés visszafizetése</t>
  </si>
  <si>
    <t>Céltartalékként elkülönített</t>
  </si>
  <si>
    <t>Államháztartáson belüli megelőlegezés visszavfiz</t>
  </si>
  <si>
    <t xml:space="preserve">   - Civil Alap</t>
  </si>
  <si>
    <t>Belterületi utak járdák felújtása önerő</t>
  </si>
  <si>
    <t>Tornaszoba felújítás önerő</t>
  </si>
  <si>
    <t>Közművelődési érdekeltség növelő pályázat önerő</t>
  </si>
  <si>
    <t>Közvilágítás fejlesztés</t>
  </si>
  <si>
    <t>b/6 Komposztáló láda beszerzése</t>
  </si>
  <si>
    <t>Vízelvezetés vízjogi eng. Terv (86/2015. (VIII.27) KT-határozat)</t>
  </si>
  <si>
    <t>Jegyzői lakás fűtés (nettó)</t>
  </si>
  <si>
    <t xml:space="preserve">KEOP pályázat </t>
  </si>
  <si>
    <t>ereszcsatornák cseréje</t>
  </si>
  <si>
    <t>Óvodai ktgvetés / mosógép beszerzés</t>
  </si>
  <si>
    <t>2015. évi teljesítés
(Ft)</t>
  </si>
  <si>
    <t>2015. évi teljesítés
(%)</t>
  </si>
  <si>
    <t>2015. évi teljesítés 
(Ft)</t>
  </si>
  <si>
    <t>2015. évi teljesítés 
(%)</t>
  </si>
  <si>
    <t>Karácsonyi díszkivilágítás</t>
  </si>
  <si>
    <t>Polgármesteri Hivatal (Fő út 1.)</t>
  </si>
  <si>
    <t>Microhullámú sűtő, porszívó beszerzés</t>
  </si>
  <si>
    <t>játszótéri eszköz beszerzés</t>
  </si>
  <si>
    <t>DMRV ívóvíz hálózat kiépítése</t>
  </si>
  <si>
    <t>607/2,3,6,7,10,12, 605/2 hrsz.</t>
  </si>
  <si>
    <t xml:space="preserve">CSOBÁNKA KÖZSÉG ÖNKORMÁNYZATA ÉS INTÉZMÉNYEI </t>
  </si>
  <si>
    <t>MARADVÁNYKIMUTATÁSA</t>
  </si>
  <si>
    <t>Önkormányzat</t>
  </si>
  <si>
    <t>Polgármesteri Hivatal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</si>
  <si>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</si>
  <si>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</si>
  <si>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</si>
  <si>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</si>
  <si>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</si>
  <si>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</si>
  <si>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</si>
  <si>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</si>
  <si>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</si>
  <si>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</si>
  <si>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</si>
  <si>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</si>
  <si>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</si>
  <si>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</si>
  <si>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</si>
  <si>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</si>
  <si>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</si>
  <si>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</si>
  <si>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</si>
  <si>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</si>
  <si>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</si>
  <si>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</si>
  <si>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</si>
  <si>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</si>
  <si>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</si>
  <si>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</si>
  <si>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</si>
  <si>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</si>
  <si>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</si>
  <si>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</si>
  <si>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</si>
  <si>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</si>
  <si>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</si>
  <si>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</si>
  <si>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Csobánka Község Önkormányzat saját bevételeinek részletezése az adósságot keletkeztető ügyletből származó tárgyévi fizetési kötelezettség megállapításához</t>
  </si>
  <si>
    <t>Bevételi jogcímek</t>
  </si>
  <si>
    <t>2014. évi előirányzat</t>
  </si>
  <si>
    <t>2016. évi előirányzat</t>
  </si>
  <si>
    <t>Az önkormányzati vagyon és az önkormányzatot megillető vagyoni értékű jog értékesítéséből és hasznosításából származó bevétel</t>
  </si>
  <si>
    <t>Díjak, pótlékok bírságok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</si>
  <si>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</si>
  <si>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</si>
  <si>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</si>
  <si>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</si>
  <si>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</si>
  <si>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Csobánka Község Önkormányzat adósságot keletkeztető ügyletekből és kezességvállalásokból fennálló kötelezettségei</t>
  </si>
  <si>
    <t>MEGNEVEZÉS</t>
  </si>
  <si>
    <t>Évek</t>
  </si>
  <si>
    <t>Összesen
(6=3+4+5)</t>
  </si>
  <si>
    <t>2016.</t>
  </si>
  <si>
    <t>ÖSSZES KÖTELEZETTSÉG</t>
  </si>
  <si>
    <t>Hivatal</t>
  </si>
  <si>
    <t>Óvoda</t>
  </si>
  <si>
    <t>3+4+5</t>
  </si>
  <si>
    <t/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</si>
  <si>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</si>
  <si>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</si>
  <si>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</si>
  <si>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</si>
  <si>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</si>
  <si>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</si>
  <si>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</si>
  <si>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</si>
  <si>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</si>
  <si>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</si>
  <si>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</si>
  <si>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</si>
  <si>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</si>
  <si>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</si>
  <si>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</si>
  <si>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</si>
  <si>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</si>
  <si>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</si>
  <si>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</si>
  <si>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</si>
  <si>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</si>
  <si>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</si>
  <si>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</si>
  <si>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</si>
  <si>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</si>
  <si>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</si>
  <si>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</si>
  <si>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</si>
  <si>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</si>
  <si>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</si>
  <si>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</si>
  <si>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</si>
  <si>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</si>
  <si>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</si>
  <si>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</si>
  <si>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</si>
  <si>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</si>
  <si>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</si>
  <si>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</si>
  <si>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</si>
  <si>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</si>
  <si>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</si>
  <si>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</si>
  <si>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</si>
  <si>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</si>
  <si>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</si>
  <si>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</si>
  <si>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</si>
  <si>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</si>
  <si>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</si>
  <si>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</si>
  <si>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</si>
  <si>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</si>
  <si>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</si>
  <si>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</si>
  <si>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</si>
  <si>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</si>
  <si>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</si>
  <si>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</si>
  <si>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</si>
  <si>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</si>
  <si>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</si>
  <si>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</si>
  <si>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</si>
  <si>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</si>
  <si>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</si>
  <si>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</si>
  <si>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</si>
  <si>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</si>
  <si>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</si>
  <si>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</si>
  <si>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</si>
  <si>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</si>
  <si>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</si>
  <si>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</si>
  <si>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</si>
  <si>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</si>
  <si>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</si>
  <si>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</si>
  <si>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</si>
  <si>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</si>
  <si>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</si>
  <si>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</si>
  <si>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</si>
  <si>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</si>
  <si>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</si>
  <si>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</si>
  <si>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</si>
  <si>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</si>
  <si>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</si>
  <si>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</si>
  <si>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</si>
  <si>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</si>
  <si>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</si>
  <si>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</si>
  <si>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</si>
  <si>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</si>
  <si>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</si>
  <si>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</si>
  <si>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</si>
  <si>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</si>
  <si>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</si>
  <si>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</si>
  <si>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</si>
  <si>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</si>
  <si>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</si>
  <si>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</si>
  <si>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</si>
  <si>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</si>
  <si>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</si>
  <si>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</si>
  <si>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</si>
  <si>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</si>
  <si>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</si>
  <si>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</si>
  <si>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</si>
  <si>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</si>
  <si>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</si>
  <si>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</si>
  <si>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</si>
  <si>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</si>
  <si>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</si>
  <si>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</si>
  <si>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</si>
  <si>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</si>
  <si>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</si>
  <si>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</si>
  <si>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</si>
  <si>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</si>
  <si>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</si>
  <si>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</si>
  <si>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</si>
  <si>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</si>
  <si>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</si>
  <si>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</si>
  <si>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</si>
  <si>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</si>
  <si>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</si>
  <si>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</si>
  <si>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</si>
  <si>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</si>
  <si>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</si>
  <si>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</si>
  <si>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</si>
  <si>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</si>
  <si>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</si>
  <si>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</si>
  <si>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</si>
  <si>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</si>
  <si>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</si>
  <si>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</si>
  <si>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</si>
  <si>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</si>
  <si>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</si>
  <si>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</si>
  <si>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</si>
  <si>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</si>
  <si>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</si>
  <si>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</si>
  <si>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</si>
  <si>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</si>
  <si>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</si>
  <si>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</si>
  <si>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</si>
  <si>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FORRÁSOK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</si>
  <si>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</si>
  <si>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</si>
  <si>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</si>
  <si>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</si>
  <si>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</si>
  <si>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</si>
  <si>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</si>
  <si>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</si>
  <si>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</si>
  <si>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</si>
  <si>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</si>
  <si>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</si>
  <si>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</si>
  <si>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</si>
  <si>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</si>
  <si>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</si>
  <si>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</si>
  <si>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</si>
  <si>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</si>
  <si>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</si>
  <si>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</si>
  <si>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</si>
  <si>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</si>
  <si>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</si>
  <si>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</si>
  <si>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</si>
  <si>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</si>
  <si>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</si>
  <si>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</si>
  <si>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</si>
  <si>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</si>
  <si>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</si>
  <si>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</si>
  <si>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</si>
  <si>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</si>
  <si>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</si>
  <si>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</si>
  <si>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</si>
  <si>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</si>
  <si>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</si>
  <si>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</si>
  <si>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</si>
  <si>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</si>
  <si>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</si>
  <si>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</si>
  <si>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</si>
  <si>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</si>
  <si>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</si>
  <si>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</si>
  <si>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</si>
  <si>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</si>
  <si>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</si>
  <si>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</si>
  <si>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</si>
  <si>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</si>
  <si>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</si>
  <si>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</si>
  <si>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</si>
  <si>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</si>
  <si>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</si>
  <si>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</si>
  <si>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</si>
  <si>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</si>
  <si>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</si>
  <si>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</si>
  <si>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</si>
  <si>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</si>
  <si>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</si>
  <si>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</si>
  <si>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</si>
  <si>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</si>
  <si>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</si>
  <si>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</si>
  <si>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</si>
  <si>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</si>
  <si>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</si>
  <si>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</si>
  <si>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</si>
  <si>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</si>
  <si>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</si>
  <si>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</si>
  <si>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</si>
  <si>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</si>
  <si>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</si>
  <si>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</si>
  <si>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</si>
  <si>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</si>
  <si>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</si>
  <si>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</si>
  <si>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</si>
  <si>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</si>
  <si>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</si>
  <si>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</si>
  <si>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</si>
  <si>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</si>
  <si>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</si>
  <si>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</si>
  <si>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</si>
  <si>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</si>
  <si>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</si>
  <si>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</si>
  <si>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</si>
  <si>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</si>
  <si>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</si>
  <si>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</si>
  <si>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</si>
  <si>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</si>
  <si>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</si>
  <si>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</si>
  <si>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</si>
  <si>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</si>
  <si>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</si>
  <si>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</si>
  <si>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</si>
  <si>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</si>
  <si>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</si>
  <si>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</si>
  <si>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</si>
  <si>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</si>
  <si>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</si>
  <si>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</si>
  <si>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</si>
  <si>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</si>
  <si>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</si>
  <si>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</si>
  <si>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</si>
  <si>
    <t>2013. évi   várható</t>
  </si>
  <si>
    <t>I. sz. mód.</t>
  </si>
  <si>
    <t>II.sz.mód.</t>
  </si>
  <si>
    <t>III.sz.mód.</t>
  </si>
  <si>
    <t>Iskolaorvosi ell / OEP fin továbbítása</t>
  </si>
  <si>
    <t>Gyermekorvosi ell. támogatása</t>
  </si>
  <si>
    <t>Családsegító Szolg.tám I.féléves szerz.</t>
  </si>
  <si>
    <t>Vadvirág nyugdíjas Klub</t>
  </si>
  <si>
    <t>Működési támogatás</t>
  </si>
  <si>
    <t xml:space="preserve">Peter Cerny Alapítvány Beteg Koraszülöttek Gyógyításért közhasznú szervezet </t>
  </si>
  <si>
    <t>Csepp Alapítvány</t>
  </si>
  <si>
    <t>táboroztatás ktg-e</t>
  </si>
  <si>
    <t>Szent Anna Plébánia</t>
  </si>
  <si>
    <t>Anna-napi búcsú</t>
  </si>
  <si>
    <t>Pomáz Város Önkormányzata</t>
  </si>
  <si>
    <t>gyermekjóléti feladatellátás tám</t>
  </si>
  <si>
    <t>Családsegító Szolg. feladatellátási szerz.</t>
  </si>
  <si>
    <t>dr Kiss Annamária</t>
  </si>
  <si>
    <t>fogorvosi alapellátás</t>
  </si>
  <si>
    <t>Szabadidősport feladatok, utánpótlás nevelés</t>
  </si>
  <si>
    <t>ÖSSZESEN:</t>
  </si>
  <si>
    <t>adatok Ft-ban</t>
  </si>
  <si>
    <t>aa)</t>
  </si>
  <si>
    <t>ab)</t>
  </si>
  <si>
    <t>Beszámítás összege</t>
  </si>
  <si>
    <r>
      <t>Megyei önkormányzatok működésének támogatása</t>
    </r>
    <r>
      <rPr>
        <sz val="10"/>
        <color indexed="8"/>
        <rFont val="Times New Roman"/>
        <family val="1"/>
        <charset val="238"/>
      </rPr>
      <t xml:space="preserve">  </t>
    </r>
  </si>
  <si>
    <t>aaa)</t>
  </si>
  <si>
    <t>aab)</t>
  </si>
  <si>
    <t>aba)</t>
  </si>
  <si>
    <t>abb)</t>
  </si>
  <si>
    <t>ba)</t>
  </si>
  <si>
    <t>bb)</t>
  </si>
  <si>
    <t>bc)</t>
  </si>
  <si>
    <t>bd)</t>
  </si>
  <si>
    <t>ca)</t>
  </si>
  <si>
    <t>caa)</t>
  </si>
  <si>
    <t>cab)</t>
  </si>
  <si>
    <t>cb)</t>
  </si>
  <si>
    <t>cba)</t>
  </si>
  <si>
    <t>cbb)</t>
  </si>
  <si>
    <t>Helyi önkormányzatok kiegészítő támogatásai</t>
  </si>
  <si>
    <t>2015. évi teljesítés</t>
  </si>
  <si>
    <t>Csobánka Község Intézményeinek 2015.12.31.-i mérlege</t>
  </si>
  <si>
    <t>2015. évi módosított ei.</t>
  </si>
  <si>
    <t>K I M U T A T Á S
a 2015. évi működési célú pénzeszközátadásokról, céljellegű támogatásokról</t>
  </si>
  <si>
    <t>Csobánka Község Roma Nemzetiségi Önkormányzat</t>
  </si>
  <si>
    <t>Máriacell kirándulás buszköltség</t>
  </si>
  <si>
    <t>tábor költségei</t>
  </si>
  <si>
    <t>A 2014. évről áthúzódó bérkompenzáció támogatása</t>
  </si>
  <si>
    <t>2015/2016 tanév</t>
  </si>
  <si>
    <t>Kiegészítő támogatás az óvodapedagógusok minősítéséből adódó többletkiadásokhoz</t>
  </si>
  <si>
    <t>Óvodapedagógusok pótlólagos bértámogatása 9-12 hó</t>
  </si>
  <si>
    <t>A köznevelési intézémnyek működtetéséhez kapcsolódó támogatás</t>
  </si>
  <si>
    <t>Szociális ágazati pótlék</t>
  </si>
  <si>
    <t>2015. évi bérkompenzáció</t>
  </si>
  <si>
    <t>Szociális ágazati pótlék kiegészítő támogatása</t>
  </si>
  <si>
    <t>A helyi önk.szoc.célú tűzifavásárláshoz kapcs.kieg.tám.</t>
  </si>
  <si>
    <t>Működési célű költségvetési támogatások és kiegészítő támogatások</t>
  </si>
  <si>
    <t>A 2015. évi általános működés és ágazati feladatok támogatásának alakulása jogcímenként</t>
  </si>
  <si>
    <t>Csobánka Község vagyonmérlege</t>
  </si>
  <si>
    <t>Előző időszak</t>
  </si>
  <si>
    <t>Tárgyi időszak</t>
  </si>
  <si>
    <t>Változás  %</t>
  </si>
  <si>
    <t>Csobánka Község Önkormányzat költségvetési szervei engedélyezett álláshelyeinek száma</t>
  </si>
  <si>
    <t>2015.01.01-jétől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</si>
  <si>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</si>
  <si>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</si>
  <si>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</si>
  <si>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</si>
  <si>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</si>
  <si>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</si>
  <si>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</si>
  <si>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</si>
  <si>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</si>
  <si>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karbantartó</t>
  </si>
  <si>
    <t>2 fő</t>
  </si>
  <si>
    <t>(munkavállalók - Mt. szerinti alkalmazottak)</t>
  </si>
  <si>
    <t>takarító</t>
  </si>
  <si>
    <t>0,5 fő</t>
  </si>
  <si>
    <t>Petőfi Sándor Általános Iskola</t>
  </si>
  <si>
    <t>takarító és konyhai kisegítő</t>
  </si>
  <si>
    <t>(Kjt. szerinti közalkalmazott)</t>
  </si>
  <si>
    <t>Baross Péter Közösségi Ház és Könyvtár</t>
  </si>
  <si>
    <t>közművelődési igazgatási ügyintéző</t>
  </si>
  <si>
    <t>könyvtáros</t>
  </si>
  <si>
    <t>Védőnői Szolgálat</t>
  </si>
  <si>
    <t>védőnő</t>
  </si>
  <si>
    <t>Gyermekjóléti Szolgálat</t>
  </si>
  <si>
    <t>önálló családgondozó</t>
  </si>
  <si>
    <t>köztisztviselők</t>
  </si>
  <si>
    <t>hivatalvezető</t>
  </si>
  <si>
    <t>(Kttv. szerint)</t>
  </si>
  <si>
    <t>9,75 fő</t>
  </si>
  <si>
    <t>közalkalmazottak</t>
  </si>
  <si>
    <t>óvodavezető</t>
  </si>
  <si>
    <t>(Kjt. szerint)</t>
  </si>
  <si>
    <t>óvodapedagógus</t>
  </si>
  <si>
    <t>10 fő</t>
  </si>
  <si>
    <t>pedagógiai asszisztens</t>
  </si>
  <si>
    <t>dajka</t>
  </si>
  <si>
    <t>5 fő</t>
  </si>
  <si>
    <t>óvodatitkár</t>
  </si>
  <si>
    <t>1. számú tájékoztató tábla</t>
  </si>
  <si>
    <t xml:space="preserve">riasztó rendszer többlet </t>
  </si>
  <si>
    <t>1. melléklet a 3/2016. (IV.29.) önkormányzati rendelethez</t>
  </si>
  <si>
    <t xml:space="preserve">2.1. melléklet a 3/2016. (IV.29.) önkormányzati rendelethez     </t>
  </si>
  <si>
    <t xml:space="preserve">2.2. melléklet a 3/2016. (IV.29.)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</si>
</sst>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.0%"/>
    <numFmt numFmtId="167" formatCode="0.0"/>
  </numFmts>
  <fonts count="10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74" fillId="0" borderId="0"/>
    <xf numFmtId="9" fontId="1" fillId="0" borderId="0" applyFont="0" applyFill="0" applyBorder="0" applyAlignment="0" applyProtection="0"/>
    <xf numFmtId="0" fontId="103" fillId="0" borderId="0"/>
    <xf numFmtId="0" fontId="1" fillId="0" borderId="0"/>
  </cellStyleXfs>
  <cellXfs count="1834">
    <xf numFmtId="0" fontId="0" fillId="0" borderId="0" xfId="0"/>
    <xf numFmtId="0" fontId="14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0" fontId="21" fillId="0" borderId="7" xfId="4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49" fontId="21" fillId="0" borderId="13" xfId="4" applyNumberFormat="1" applyFont="1" applyFill="1" applyBorder="1" applyAlignment="1" applyProtection="1">
      <alignment horizontal="left" vertical="center" wrapText="1" indent="1"/>
    </xf>
    <xf numFmtId="49" fontId="21" fillId="0" borderId="14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19" fillId="0" borderId="16" xfId="4" applyFont="1" applyFill="1" applyBorder="1" applyAlignment="1" applyProtection="1">
      <alignment horizontal="left" vertical="center" wrapText="1" indent="1"/>
    </xf>
    <xf numFmtId="0" fontId="19" fillId="0" borderId="17" xfId="4" applyFont="1" applyFill="1" applyBorder="1" applyAlignment="1" applyProtection="1">
      <alignment horizontal="left" vertical="center" wrapText="1" inden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22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vertical="center" wrapText="1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1" fillId="0" borderId="0" xfId="4" applyFill="1"/>
    <xf numFmtId="0" fontId="21" fillId="0" borderId="0" xfId="4" applyFont="1" applyFill="1"/>
    <xf numFmtId="164" fontId="0" fillId="0" borderId="0" xfId="0" applyNumberFormat="1" applyFill="1" applyAlignment="1">
      <alignment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7" fillId="0" borderId="0" xfId="0" applyFont="1" applyFill="1" applyAlignment="1">
      <alignment vertical="center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19" fillId="0" borderId="3" xfId="0" applyNumberFormat="1" applyFont="1" applyFill="1" applyBorder="1" applyAlignment="1" applyProtection="1">
      <alignment horizontal="center" vertical="center" wrapText="1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9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32" xfId="0" applyFont="1" applyFill="1" applyBorder="1" applyAlignment="1" applyProtection="1">
      <alignment vertical="center" wrapText="1"/>
      <protection locked="0"/>
    </xf>
    <xf numFmtId="164" fontId="2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7" xfId="5" applyFont="1" applyFill="1" applyBorder="1" applyAlignment="1" applyProtection="1">
      <alignment horizontal="center" vertical="center" wrapText="1"/>
    </xf>
    <xf numFmtId="0" fontId="30" fillId="0" borderId="18" xfId="5" applyFont="1" applyFill="1" applyBorder="1" applyAlignment="1" applyProtection="1">
      <alignment horizontal="center" vertical="center"/>
    </xf>
    <xf numFmtId="0" fontId="30" fillId="0" borderId="34" xfId="5" applyFont="1" applyFill="1" applyBorder="1" applyAlignment="1" applyProtection="1">
      <alignment horizontal="center" vertical="center"/>
    </xf>
    <xf numFmtId="0" fontId="11" fillId="0" borderId="0" xfId="5" applyFill="1" applyProtection="1"/>
    <xf numFmtId="0" fontId="21" fillId="0" borderId="15" xfId="5" applyFont="1" applyFill="1" applyBorder="1" applyAlignment="1" applyProtection="1">
      <alignment horizontal="left" vertical="center" indent="1"/>
    </xf>
    <xf numFmtId="0" fontId="11" fillId="0" borderId="0" xfId="5" applyFill="1" applyAlignment="1" applyProtection="1">
      <alignment vertical="center"/>
    </xf>
    <xf numFmtId="0" fontId="21" fillId="0" borderId="8" xfId="5" applyFont="1" applyFill="1" applyBorder="1" applyAlignment="1" applyProtection="1">
      <alignment horizontal="left" vertical="center" indent="1"/>
    </xf>
    <xf numFmtId="0" fontId="21" fillId="0" borderId="1" xfId="5" applyFont="1" applyFill="1" applyBorder="1" applyAlignment="1" applyProtection="1">
      <alignment horizontal="left" vertical="center" indent="1"/>
    </xf>
    <xf numFmtId="164" fontId="21" fillId="0" borderId="1" xfId="5" applyNumberFormat="1" applyFont="1" applyFill="1" applyBorder="1" applyAlignment="1" applyProtection="1">
      <alignment vertical="center"/>
      <protection locked="0"/>
    </xf>
    <xf numFmtId="0" fontId="21" fillId="0" borderId="9" xfId="5" applyFont="1" applyFill="1" applyBorder="1" applyAlignment="1" applyProtection="1">
      <alignment horizontal="left" vertical="center" indent="1"/>
    </xf>
    <xf numFmtId="164" fontId="21" fillId="0" borderId="2" xfId="5" applyNumberFormat="1" applyFont="1" applyFill="1" applyBorder="1" applyAlignment="1" applyProtection="1">
      <alignment vertical="center"/>
      <protection locked="0"/>
    </xf>
    <xf numFmtId="0" fontId="11" fillId="0" borderId="0" xfId="5" applyFill="1" applyAlignment="1" applyProtection="1">
      <alignment vertical="center"/>
      <protection locked="0"/>
    </xf>
    <xf numFmtId="164" fontId="21" fillId="0" borderId="4" xfId="5" applyNumberFormat="1" applyFont="1" applyFill="1" applyBorder="1" applyAlignment="1" applyProtection="1">
      <alignment vertical="center"/>
      <protection locked="0"/>
    </xf>
    <xf numFmtId="164" fontId="19" fillId="0" borderId="16" xfId="5" applyNumberFormat="1" applyFont="1" applyFill="1" applyBorder="1" applyAlignment="1" applyProtection="1">
      <alignment vertical="center"/>
    </xf>
    <xf numFmtId="164" fontId="19" fillId="0" borderId="23" xfId="5" applyNumberFormat="1" applyFont="1" applyFill="1" applyBorder="1" applyAlignment="1" applyProtection="1">
      <alignment vertical="center"/>
    </xf>
    <xf numFmtId="0" fontId="21" fillId="0" borderId="11" xfId="5" applyFont="1" applyFill="1" applyBorder="1" applyAlignment="1" applyProtection="1">
      <alignment horizontal="left" vertical="center" indent="1"/>
    </xf>
    <xf numFmtId="0" fontId="19" fillId="0" borderId="15" xfId="5" applyFont="1" applyFill="1" applyBorder="1" applyAlignment="1" applyProtection="1">
      <alignment horizontal="left" vertical="center" indent="1"/>
    </xf>
    <xf numFmtId="0" fontId="11" fillId="0" borderId="0" xfId="5" applyFill="1" applyProtection="1">
      <protection locked="0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6" xfId="4" applyFont="1" applyFill="1" applyBorder="1" applyAlignment="1" applyProtection="1">
      <alignment horizontal="left" vertical="center" wrapText="1" indent="1"/>
    </xf>
    <xf numFmtId="0" fontId="23" fillId="0" borderId="0" xfId="4" applyFont="1" applyFill="1"/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6" xfId="4" applyFont="1" applyFill="1" applyBorder="1" applyAlignment="1" applyProtection="1">
      <alignment horizontal="left" vertical="center" wrapText="1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29" fillId="0" borderId="5" xfId="4" applyFont="1" applyFill="1" applyBorder="1" applyAlignment="1" applyProtection="1">
      <alignment horizontal="left" vertical="center" wrapText="1" inden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7" xfId="4" applyFont="1" applyFill="1" applyBorder="1" applyAlignment="1" applyProtection="1">
      <alignment horizontal="left" vertical="center" wrapText="1" indent="6"/>
    </xf>
    <xf numFmtId="0" fontId="21" fillId="0" borderId="32" xfId="4" applyFont="1" applyFill="1" applyBorder="1" applyAlignment="1" applyProtection="1">
      <alignment horizontal="left" vertical="center" wrapText="1" indent="6"/>
    </xf>
    <xf numFmtId="0" fontId="45" fillId="0" borderId="0" xfId="0" applyFont="1" applyFill="1"/>
    <xf numFmtId="0" fontId="46" fillId="0" borderId="0" xfId="0" applyFont="1"/>
    <xf numFmtId="49" fontId="21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49" fontId="21" fillId="0" borderId="4" xfId="4" applyNumberFormat="1" applyFont="1" applyFill="1" applyBorder="1" applyAlignment="1" applyProtection="1">
      <alignment horizontal="left" vertical="center" wrapText="1" indent="1"/>
    </xf>
    <xf numFmtId="49" fontId="21" fillId="0" borderId="5" xfId="4" applyNumberFormat="1" applyFont="1" applyFill="1" applyBorder="1" applyAlignment="1" applyProtection="1">
      <alignment horizontal="left" vertical="center" wrapText="1" indent="1"/>
    </xf>
    <xf numFmtId="49" fontId="21" fillId="0" borderId="32" xfId="4" applyNumberFormat="1" applyFont="1" applyFill="1" applyBorder="1" applyAlignment="1" applyProtection="1">
      <alignment horizontal="left" vertical="center" wrapText="1" indent="1"/>
    </xf>
    <xf numFmtId="49" fontId="28" fillId="0" borderId="16" xfId="4" applyNumberFormat="1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0" fontId="43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4" fillId="0" borderId="0" xfId="0" applyFont="1" applyFill="1"/>
    <xf numFmtId="164" fontId="29" fillId="0" borderId="4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1" fillId="0" borderId="16" xfId="4" applyNumberFormat="1" applyFont="1" applyFill="1" applyBorder="1" applyAlignment="1" applyProtection="1">
      <alignment horizontal="left" vertical="center" wrapText="1" indent="1"/>
    </xf>
    <xf numFmtId="165" fontId="14" fillId="0" borderId="4" xfId="1" applyNumberFormat="1" applyFont="1" applyFill="1" applyBorder="1" applyProtection="1">
      <protection locked="0"/>
    </xf>
    <xf numFmtId="165" fontId="14" fillId="0" borderId="2" xfId="1" applyNumberFormat="1" applyFont="1" applyFill="1" applyBorder="1" applyProtection="1">
      <protection locked="0"/>
    </xf>
    <xf numFmtId="165" fontId="14" fillId="0" borderId="7" xfId="1" applyNumberFormat="1" applyFont="1" applyFill="1" applyBorder="1" applyProtection="1">
      <protection locked="0"/>
    </xf>
    <xf numFmtId="0" fontId="28" fillId="0" borderId="13" xfId="4" applyFont="1" applyFill="1" applyBorder="1" applyAlignment="1" applyProtection="1">
      <alignment horizontal="center" vertical="center" wrapText="1"/>
    </xf>
    <xf numFmtId="0" fontId="29" fillId="0" borderId="15" xfId="4" applyFont="1" applyFill="1" applyBorder="1" applyAlignment="1" applyProtection="1">
      <alignment horizontal="center" vertical="center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9" xfId="4" applyFont="1" applyFill="1" applyBorder="1" applyAlignment="1" applyProtection="1">
      <alignment horizontal="center" vertical="center"/>
    </xf>
    <xf numFmtId="0" fontId="29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center" vertical="center" wrapText="1"/>
    </xf>
    <xf numFmtId="0" fontId="26" fillId="0" borderId="36" xfId="0" applyFont="1" applyFill="1" applyBorder="1" applyAlignment="1" applyProtection="1">
      <alignment horizontal="left" vertical="center" wrapText="1" indent="1"/>
    </xf>
    <xf numFmtId="0" fontId="26" fillId="0" borderId="6" xfId="0" applyFont="1" applyFill="1" applyBorder="1" applyAlignment="1" applyProtection="1">
      <alignment horizontal="left" vertical="center" wrapText="1" indent="1"/>
    </xf>
    <xf numFmtId="0" fontId="26" fillId="0" borderId="6" xfId="0" applyFont="1" applyFill="1" applyBorder="1" applyAlignment="1" applyProtection="1">
      <alignment horizontal="left" vertical="center" wrapText="1" indent="8"/>
    </xf>
    <xf numFmtId="0" fontId="29" fillId="0" borderId="4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5" xfId="0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vertical="center" wrapText="1"/>
    </xf>
    <xf numFmtId="164" fontId="28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8" fillId="0" borderId="16" xfId="0" applyFont="1" applyFill="1" applyBorder="1" applyAlignment="1" applyProtection="1">
      <alignment horizontal="left" vertical="center" wrapText="1" indent="1"/>
    </xf>
    <xf numFmtId="0" fontId="19" fillId="0" borderId="9" xfId="0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 wrapText="1"/>
    </xf>
    <xf numFmtId="49" fontId="21" fillId="0" borderId="16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2" fillId="0" borderId="18" xfId="0" applyFont="1" applyFill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40" fillId="0" borderId="44" xfId="0" applyFont="1" applyBorder="1" applyAlignment="1" applyProtection="1">
      <alignment horizontal="center" wrapText="1"/>
    </xf>
    <xf numFmtId="0" fontId="41" fillId="0" borderId="44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45" xfId="0" applyFont="1" applyFill="1" applyBorder="1" applyAlignment="1" applyProtection="1">
      <alignment horizontal="center" vertical="center" wrapText="1"/>
    </xf>
    <xf numFmtId="0" fontId="19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4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right" vertical="top"/>
      <protection locked="0"/>
    </xf>
    <xf numFmtId="164" fontId="18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4" fillId="0" borderId="0" xfId="0" applyFont="1" applyFill="1" applyProtection="1"/>
    <xf numFmtId="0" fontId="29" fillId="0" borderId="11" xfId="0" applyFont="1" applyFill="1" applyBorder="1" applyAlignment="1" applyProtection="1">
      <alignment horizontal="center" vertical="center"/>
    </xf>
    <xf numFmtId="164" fontId="28" fillId="0" borderId="31" xfId="0" applyNumberFormat="1" applyFont="1" applyFill="1" applyBorder="1" applyAlignment="1" applyProtection="1">
      <alignment vertical="center"/>
    </xf>
    <xf numFmtId="0" fontId="29" fillId="0" borderId="9" xfId="0" applyFont="1" applyFill="1" applyBorder="1" applyAlignment="1" applyProtection="1">
      <alignment horizontal="center" vertical="center"/>
    </xf>
    <xf numFmtId="164" fontId="28" fillId="0" borderId="19" xfId="0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 applyProtection="1">
      <alignment horizontal="center" vertical="center"/>
    </xf>
    <xf numFmtId="0" fontId="29" fillId="0" borderId="7" xfId="0" applyFont="1" applyFill="1" applyBorder="1" applyAlignment="1" applyProtection="1">
      <alignment vertical="center" wrapText="1"/>
    </xf>
    <xf numFmtId="164" fontId="28" fillId="0" borderId="21" xfId="0" applyNumberFormat="1" applyFont="1" applyFill="1" applyBorder="1" applyAlignment="1" applyProtection="1">
      <alignment vertical="center"/>
    </xf>
    <xf numFmtId="0" fontId="28" fillId="0" borderId="15" xfId="0" applyFont="1" applyFill="1" applyBorder="1" applyAlignment="1" applyProtection="1">
      <alignment horizontal="center" vertical="center"/>
    </xf>
    <xf numFmtId="0" fontId="30" fillId="0" borderId="16" xfId="0" applyFont="1" applyFill="1" applyBorder="1" applyAlignment="1" applyProtection="1">
      <alignment vertical="center" wrapText="1"/>
    </xf>
    <xf numFmtId="164" fontId="28" fillId="0" borderId="16" xfId="0" applyNumberFormat="1" applyFont="1" applyFill="1" applyBorder="1" applyAlignment="1" applyProtection="1">
      <alignment vertical="center"/>
    </xf>
    <xf numFmtId="164" fontId="28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4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0" fontId="21" fillId="0" borderId="2" xfId="5" applyFont="1" applyFill="1" applyBorder="1" applyAlignment="1" applyProtection="1">
      <alignment horizontal="left" vertical="center" indent="1"/>
    </xf>
    <xf numFmtId="0" fontId="21" fillId="0" borderId="4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4" xfId="5" applyFont="1" applyFill="1" applyBorder="1" applyAlignment="1" applyProtection="1">
      <alignment horizontal="left" vertical="center" indent="1"/>
    </xf>
    <xf numFmtId="0" fontId="19" fillId="0" borderId="45" xfId="4" applyFont="1" applyFill="1" applyBorder="1" applyAlignment="1" applyProtection="1">
      <alignment horizontal="left" vertical="center" wrapText="1" indent="1"/>
    </xf>
    <xf numFmtId="49" fontId="21" fillId="0" borderId="53" xfId="4" applyNumberFormat="1" applyFont="1" applyFill="1" applyBorder="1" applyAlignment="1" applyProtection="1">
      <alignment horizontal="left" vertical="center" wrapText="1" indent="1"/>
    </xf>
    <xf numFmtId="49" fontId="21" fillId="0" borderId="54" xfId="4" applyNumberFormat="1" applyFont="1" applyFill="1" applyBorder="1" applyAlignment="1" applyProtection="1">
      <alignment horizontal="left" vertical="center" wrapText="1" indent="1"/>
    </xf>
    <xf numFmtId="49" fontId="21" fillId="0" borderId="41" xfId="4" applyNumberFormat="1" applyFont="1" applyFill="1" applyBorder="1" applyAlignment="1" applyProtection="1">
      <alignment horizontal="left" vertical="center" wrapText="1" indent="1"/>
    </xf>
    <xf numFmtId="0" fontId="19" fillId="0" borderId="8" xfId="4" applyFont="1" applyFill="1" applyBorder="1" applyAlignment="1" applyProtection="1">
      <alignment horizontal="left" vertical="center" wrapText="1" indent="1"/>
    </xf>
    <xf numFmtId="0" fontId="31" fillId="0" borderId="1" xfId="4" applyFont="1" applyFill="1" applyBorder="1" applyAlignment="1" applyProtection="1">
      <alignment horizontal="left" vertical="center" wrapText="1" indent="1"/>
    </xf>
    <xf numFmtId="0" fontId="11" fillId="0" borderId="0" xfId="4" applyFill="1" applyAlignment="1">
      <alignment horizontal="left" vertical="center" indent="1"/>
    </xf>
    <xf numFmtId="0" fontId="27" fillId="0" borderId="16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47" fillId="0" borderId="2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indent="1"/>
    </xf>
    <xf numFmtId="0" fontId="26" fillId="0" borderId="32" xfId="0" applyFont="1" applyBorder="1" applyAlignment="1" applyProtection="1">
      <alignment horizontal="left" vertical="center" indent="1"/>
    </xf>
    <xf numFmtId="0" fontId="27" fillId="0" borderId="15" xfId="0" applyFont="1" applyBorder="1" applyAlignment="1" applyProtection="1">
      <alignment horizontal="left" vertical="center" wrapText="1" indent="1"/>
    </xf>
    <xf numFmtId="49" fontId="26" fillId="0" borderId="9" xfId="0" applyNumberFormat="1" applyFont="1" applyBorder="1" applyAlignment="1" applyProtection="1">
      <alignment horizontal="left" vertical="center" wrapText="1" indent="2"/>
    </xf>
    <xf numFmtId="49" fontId="27" fillId="0" borderId="9" xfId="0" applyNumberFormat="1" applyFont="1" applyBorder="1" applyAlignment="1" applyProtection="1">
      <alignment horizontal="left" vertical="center" wrapText="1" indent="1"/>
    </xf>
    <xf numFmtId="49" fontId="26" fillId="0" borderId="14" xfId="0" applyNumberFormat="1" applyFont="1" applyBorder="1" applyAlignment="1" applyProtection="1">
      <alignment horizontal="left" vertical="center" wrapText="1" indent="2"/>
    </xf>
    <xf numFmtId="0" fontId="26" fillId="0" borderId="32" xfId="0" applyFont="1" applyBorder="1" applyAlignment="1" applyProtection="1">
      <alignment horizontal="left" vertical="center" wrapText="1" indent="1"/>
    </xf>
    <xf numFmtId="0" fontId="25" fillId="0" borderId="15" xfId="0" applyFont="1" applyBorder="1" applyAlignment="1" applyProtection="1">
      <alignment horizontal="left" vertical="center" wrapText="1" indent="1"/>
    </xf>
    <xf numFmtId="0" fontId="42" fillId="0" borderId="10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26" fillId="0" borderId="11" xfId="0" applyNumberFormat="1" applyFont="1" applyBorder="1" applyAlignment="1" applyProtection="1">
      <alignment horizontal="left" vertical="center" wrapText="1" indent="2"/>
    </xf>
    <xf numFmtId="0" fontId="26" fillId="0" borderId="4" xfId="0" applyFont="1" applyBorder="1" applyAlignment="1" applyProtection="1">
      <alignment horizontal="left" vertical="center" wrapText="1" indent="1"/>
    </xf>
    <xf numFmtId="49" fontId="26" fillId="0" borderId="12" xfId="0" applyNumberFormat="1" applyFont="1" applyBorder="1" applyAlignment="1" applyProtection="1">
      <alignment horizontal="left" vertical="center" wrapText="1" indent="2"/>
    </xf>
    <xf numFmtId="0" fontId="26" fillId="0" borderId="7" xfId="0" applyFont="1" applyBorder="1" applyAlignment="1" applyProtection="1">
      <alignment horizontal="left" vertical="center" wrapText="1" indent="1"/>
    </xf>
    <xf numFmtId="0" fontId="27" fillId="0" borderId="10" xfId="0" applyFont="1" applyBorder="1" applyAlignment="1" applyProtection="1">
      <alignment horizontal="left" vertical="center" wrapText="1" indent="1"/>
    </xf>
    <xf numFmtId="0" fontId="48" fillId="0" borderId="16" xfId="0" applyFont="1" applyBorder="1" applyAlignment="1" applyProtection="1">
      <alignment horizontal="left" vertical="center" wrapText="1" indent="1"/>
    </xf>
    <xf numFmtId="49" fontId="26" fillId="0" borderId="15" xfId="0" applyNumberFormat="1" applyFont="1" applyBorder="1" applyAlignment="1" applyProtection="1">
      <alignment horizontal="left" vertical="center" wrapText="1" indent="1"/>
    </xf>
    <xf numFmtId="49" fontId="47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1" fillId="0" borderId="0" xfId="4" applyFill="1" applyAlignment="1"/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1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56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9" xfId="0" quotePrefix="1" applyNumberFormat="1" applyFont="1" applyFill="1" applyBorder="1" applyAlignment="1" applyProtection="1">
      <alignment horizontal="left" vertical="center" wrapText="1" indent="6"/>
    </xf>
    <xf numFmtId="164" fontId="29" fillId="0" borderId="9" xfId="0" quotePrefix="1" applyNumberFormat="1" applyFont="1" applyFill="1" applyBorder="1" applyAlignment="1" applyProtection="1">
      <alignment horizontal="left" vertical="center" wrapText="1" indent="6"/>
    </xf>
    <xf numFmtId="164" fontId="21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4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11" xfId="0" applyNumberFormat="1" applyFont="1" applyFill="1" applyBorder="1" applyAlignment="1" applyProtection="1">
      <alignment horizontal="left" vertical="center" wrapText="1" indent="1"/>
    </xf>
    <xf numFmtId="164" fontId="21" fillId="0" borderId="11" xfId="0" applyNumberFormat="1" applyFont="1" applyFill="1" applyBorder="1" applyAlignment="1" applyProtection="1">
      <alignment horizontal="left" vertical="center" wrapText="1" indent="2"/>
    </xf>
    <xf numFmtId="164" fontId="21" fillId="0" borderId="12" xfId="0" applyNumberFormat="1" applyFont="1" applyFill="1" applyBorder="1" applyAlignment="1" applyProtection="1">
      <alignment horizontal="left" vertical="center" wrapText="1" indent="2"/>
    </xf>
    <xf numFmtId="0" fontId="28" fillId="0" borderId="1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38" xfId="0" applyNumberFormat="1" applyFont="1" applyFill="1" applyBorder="1" applyAlignment="1" applyProtection="1">
      <alignment horizontal="right" vertical="center" wrapText="1" indent="1"/>
    </xf>
    <xf numFmtId="164" fontId="19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39" fillId="0" borderId="44" xfId="0" applyFont="1" applyBorder="1" applyAlignment="1" applyProtection="1">
      <alignment horizontal="center" wrapText="1"/>
    </xf>
    <xf numFmtId="0" fontId="28" fillId="0" borderId="44" xfId="4" applyFont="1" applyFill="1" applyBorder="1" applyAlignment="1" applyProtection="1">
      <alignment horizontal="left" vertical="center" wrapText="1" indent="1"/>
    </xf>
    <xf numFmtId="0" fontId="27" fillId="0" borderId="17" xfId="0" applyFont="1" applyBorder="1" applyAlignment="1" applyProtection="1">
      <alignment horizontal="center" vertical="center" wrapText="1"/>
    </xf>
    <xf numFmtId="0" fontId="29" fillId="0" borderId="32" xfId="4" applyFont="1" applyFill="1" applyBorder="1" applyAlignment="1" applyProtection="1">
      <alignment horizontal="left" vertical="center" wrapText="1" indent="1"/>
    </xf>
    <xf numFmtId="0" fontId="28" fillId="0" borderId="18" xfId="4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9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32" fillId="0" borderId="17" xfId="0" applyFont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47" fillId="0" borderId="4" xfId="0" applyFont="1" applyBorder="1" applyAlignment="1" applyProtection="1">
      <alignment horizontal="left" vertical="center" wrapText="1" indent="1"/>
    </xf>
    <xf numFmtId="0" fontId="27" fillId="0" borderId="32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0" fontId="26" fillId="0" borderId="2" xfId="0" quotePrefix="1" applyFont="1" applyBorder="1" applyAlignment="1" applyProtection="1">
      <alignment horizontal="left" vertical="center" wrapText="1" indent="6"/>
    </xf>
    <xf numFmtId="0" fontId="26" fillId="0" borderId="32" xfId="0" quotePrefix="1" applyFont="1" applyBorder="1" applyAlignment="1" applyProtection="1">
      <alignment horizontal="left" vertical="center" wrapText="1" indent="6"/>
    </xf>
    <xf numFmtId="0" fontId="47" fillId="0" borderId="16" xfId="0" applyFont="1" applyBorder="1" applyAlignment="1" applyProtection="1">
      <alignment horizontal="left" vertical="center" wrapText="1" indent="1"/>
    </xf>
    <xf numFmtId="0" fontId="11" fillId="0" borderId="0" xfId="4" applyFont="1" applyFill="1" applyProtection="1"/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51" fillId="0" borderId="16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11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59" fillId="0" borderId="0" xfId="0" applyFont="1"/>
    <xf numFmtId="0" fontId="58" fillId="0" borderId="0" xfId="0" applyFont="1" applyFill="1" applyAlignment="1">
      <alignment horizontal="center"/>
    </xf>
    <xf numFmtId="3" fontId="60" fillId="0" borderId="7" xfId="0" applyNumberFormat="1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 wrapText="1"/>
    </xf>
    <xf numFmtId="3" fontId="60" fillId="0" borderId="7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vertical="center"/>
    </xf>
    <xf numFmtId="0" fontId="59" fillId="0" borderId="0" xfId="0" applyFont="1" applyFill="1" applyAlignment="1">
      <alignment vertical="center"/>
    </xf>
    <xf numFmtId="0" fontId="60" fillId="0" borderId="4" xfId="0" applyFont="1" applyFill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center" vertical="center" wrapText="1"/>
    </xf>
    <xf numFmtId="3" fontId="60" fillId="0" borderId="4" xfId="0" applyNumberFormat="1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3" fontId="58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top" wrapText="1"/>
    </xf>
    <xf numFmtId="0" fontId="60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1" fillId="4" borderId="2" xfId="0" applyNumberFormat="1" applyFont="1" applyFill="1" applyBorder="1"/>
    <xf numFmtId="3" fontId="58" fillId="4" borderId="2" xfId="0" applyNumberFormat="1" applyFont="1" applyFill="1" applyBorder="1"/>
    <xf numFmtId="3" fontId="63" fillId="5" borderId="2" xfId="0" applyNumberFormat="1" applyFont="1" applyFill="1" applyBorder="1"/>
    <xf numFmtId="3" fontId="64" fillId="5" borderId="2" xfId="0" applyNumberFormat="1" applyFont="1" applyFill="1" applyBorder="1"/>
    <xf numFmtId="0" fontId="54" fillId="0" borderId="2" xfId="0" applyFont="1" applyBorder="1" applyAlignment="1">
      <alignment horizontal="center" vertical="top" wrapText="1"/>
    </xf>
    <xf numFmtId="0" fontId="54" fillId="0" borderId="6" xfId="0" applyFont="1" applyBorder="1" applyAlignment="1">
      <alignment horizontal="left" vertical="top" wrapText="1"/>
    </xf>
    <xf numFmtId="3" fontId="54" fillId="3" borderId="2" xfId="0" applyNumberFormat="1" applyFont="1" applyFill="1" applyBorder="1"/>
    <xf numFmtId="0" fontId="54" fillId="0" borderId="0" xfId="0" applyFont="1"/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61" fillId="3" borderId="2" xfId="0" applyNumberFormat="1" applyFont="1" applyFill="1" applyBorder="1"/>
    <xf numFmtId="0" fontId="65" fillId="0" borderId="0" xfId="0" applyFont="1"/>
    <xf numFmtId="0" fontId="61" fillId="0" borderId="6" xfId="0" applyFont="1" applyBorder="1" applyAlignment="1">
      <alignment horizontal="left" vertical="top" wrapText="1" indent="5"/>
    </xf>
    <xf numFmtId="3" fontId="60" fillId="3" borderId="2" xfId="0" applyNumberFormat="1" applyFont="1" applyFill="1" applyBorder="1"/>
    <xf numFmtId="0" fontId="62" fillId="6" borderId="2" xfId="0" applyFont="1" applyFill="1" applyBorder="1" applyAlignment="1">
      <alignment horizontal="center" vertical="top" wrapText="1"/>
    </xf>
    <xf numFmtId="0" fontId="62" fillId="6" borderId="6" xfId="0" applyFont="1" applyFill="1" applyBorder="1" applyAlignment="1">
      <alignment horizontal="left" vertical="top" wrapText="1"/>
    </xf>
    <xf numFmtId="3" fontId="62" fillId="6" borderId="6" xfId="0" applyNumberFormat="1" applyFont="1" applyFill="1" applyBorder="1" applyAlignment="1">
      <alignment horizontal="right" vertical="center" wrapText="1"/>
    </xf>
    <xf numFmtId="0" fontId="67" fillId="0" borderId="0" xfId="0" applyFont="1"/>
    <xf numFmtId="3" fontId="68" fillId="0" borderId="0" xfId="0" applyNumberFormat="1" applyFont="1"/>
    <xf numFmtId="0" fontId="61" fillId="0" borderId="0" xfId="0" applyFont="1"/>
    <xf numFmtId="3" fontId="58" fillId="3" borderId="2" xfId="0" applyNumberFormat="1" applyFont="1" applyFill="1" applyBorder="1"/>
    <xf numFmtId="0" fontId="58" fillId="0" borderId="0" xfId="0" applyFont="1"/>
    <xf numFmtId="0" fontId="61" fillId="0" borderId="6" xfId="0" quotePrefix="1" applyFont="1" applyBorder="1" applyAlignment="1">
      <alignment horizontal="left" vertical="top" wrapText="1" indent="10"/>
    </xf>
    <xf numFmtId="0" fontId="67" fillId="0" borderId="2" xfId="0" applyFont="1" applyBorder="1" applyAlignment="1">
      <alignment horizontal="center" vertical="top" wrapText="1"/>
    </xf>
    <xf numFmtId="3" fontId="67" fillId="3" borderId="2" xfId="0" applyNumberFormat="1" applyFont="1" applyFill="1" applyBorder="1"/>
    <xf numFmtId="0" fontId="68" fillId="0" borderId="0" xfId="0" applyFont="1"/>
    <xf numFmtId="3" fontId="56" fillId="0" borderId="0" xfId="0" applyNumberFormat="1" applyFont="1"/>
    <xf numFmtId="0" fontId="56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0" fontId="61" fillId="7" borderId="6" xfId="0" applyFont="1" applyFill="1" applyBorder="1" applyAlignment="1">
      <alignment horizontal="left" vertical="top" wrapText="1" indent="5"/>
    </xf>
    <xf numFmtId="3" fontId="61" fillId="3" borderId="2" xfId="0" applyNumberFormat="1" applyFont="1" applyFill="1" applyBorder="1" applyProtection="1">
      <protection locked="0"/>
    </xf>
    <xf numFmtId="3" fontId="56" fillId="3" borderId="2" xfId="0" applyNumberFormat="1" applyFont="1" applyFill="1" applyBorder="1"/>
    <xf numFmtId="0" fontId="67" fillId="0" borderId="6" xfId="0" applyFont="1" applyBorder="1" applyAlignment="1">
      <alignment horizontal="left" vertical="top" wrapText="1" indent="5"/>
    </xf>
    <xf numFmtId="0" fontId="62" fillId="6" borderId="6" xfId="0" applyFont="1" applyFill="1" applyBorder="1" applyAlignment="1" applyProtection="1">
      <alignment horizontal="left" vertical="top" wrapText="1"/>
      <protection locked="0"/>
    </xf>
    <xf numFmtId="3" fontId="62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6" xfId="0" quotePrefix="1" applyFont="1" applyBorder="1" applyAlignment="1" applyProtection="1">
      <alignment horizontal="left" vertical="top" wrapText="1" indent="10"/>
      <protection locked="0"/>
    </xf>
    <xf numFmtId="0" fontId="61" fillId="0" borderId="6" xfId="0" applyFont="1" applyBorder="1" applyAlignment="1">
      <alignment horizontal="left" vertical="top" wrapText="1" indent="10"/>
    </xf>
    <xf numFmtId="0" fontId="61" fillId="7" borderId="6" xfId="0" applyFont="1" applyFill="1" applyBorder="1" applyAlignment="1" applyProtection="1">
      <alignment horizontal="left" vertical="top" wrapText="1" indent="5"/>
      <protection locked="0"/>
    </xf>
    <xf numFmtId="0" fontId="60" fillId="7" borderId="6" xfId="0" applyFont="1" applyFill="1" applyBorder="1" applyAlignment="1">
      <alignment horizontal="left" vertical="top" wrapText="1"/>
    </xf>
    <xf numFmtId="0" fontId="60" fillId="0" borderId="0" xfId="0" applyFont="1" applyAlignment="1">
      <alignment horizontal="center" vertical="top" wrapText="1"/>
    </xf>
    <xf numFmtId="3" fontId="61" fillId="0" borderId="0" xfId="0" applyNumberFormat="1" applyFont="1"/>
    <xf numFmtId="3" fontId="58" fillId="0" borderId="0" xfId="0" applyNumberFormat="1" applyFont="1"/>
    <xf numFmtId="3" fontId="0" fillId="0" borderId="0" xfId="0" applyNumberFormat="1"/>
    <xf numFmtId="0" fontId="60" fillId="0" borderId="0" xfId="0" applyFont="1"/>
    <xf numFmtId="0" fontId="60" fillId="7" borderId="0" xfId="0" applyFont="1" applyFill="1"/>
    <xf numFmtId="0" fontId="0" fillId="7" borderId="0" xfId="0" applyFont="1" applyFill="1"/>
    <xf numFmtId="49" fontId="52" fillId="0" borderId="15" xfId="0" applyNumberFormat="1" applyFont="1" applyBorder="1" applyAlignment="1" applyProtection="1">
      <alignment horizontal="left" vertical="center" wrapText="1" indent="1"/>
    </xf>
    <xf numFmtId="0" fontId="69" fillId="0" borderId="0" xfId="4" applyFont="1" applyFill="1"/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79" fillId="0" borderId="0" xfId="0" applyFont="1"/>
    <xf numFmtId="0" fontId="79" fillId="0" borderId="2" xfId="0" applyFont="1" applyBorder="1" applyAlignment="1">
      <alignment horizontal="justify" vertical="center" wrapText="1"/>
    </xf>
    <xf numFmtId="0" fontId="81" fillId="0" borderId="2" xfId="0" applyFont="1" applyBorder="1" applyAlignment="1">
      <alignment horizontal="left" vertical="center" wrapText="1" indent="2"/>
    </xf>
    <xf numFmtId="0" fontId="81" fillId="0" borderId="2" xfId="0" applyFont="1" applyBorder="1" applyAlignment="1">
      <alignment horizontal="left" vertical="center" wrapText="1" indent="4"/>
    </xf>
    <xf numFmtId="0" fontId="80" fillId="0" borderId="0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left" vertical="center" wrapText="1"/>
    </xf>
    <xf numFmtId="3" fontId="80" fillId="0" borderId="0" xfId="0" applyNumberFormat="1" applyFont="1" applyFill="1" applyBorder="1" applyAlignment="1">
      <alignment horizontal="right" vertical="center"/>
    </xf>
    <xf numFmtId="3" fontId="70" fillId="0" borderId="19" xfId="0" applyNumberFormat="1" applyFont="1" applyFill="1" applyBorder="1" applyAlignment="1">
      <alignment horizontal="right" wrapText="1"/>
    </xf>
    <xf numFmtId="3" fontId="71" fillId="0" borderId="19" xfId="0" applyNumberFormat="1" applyFont="1" applyFill="1" applyBorder="1" applyAlignment="1">
      <alignment horizontal="right" wrapText="1"/>
    </xf>
    <xf numFmtId="3" fontId="79" fillId="0" borderId="19" xfId="0" applyNumberFormat="1" applyFont="1" applyFill="1" applyBorder="1" applyAlignment="1">
      <alignment horizontal="right" vertical="center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0" fillId="0" borderId="33" xfId="0" applyNumberFormat="1" applyFont="1" applyFill="1" applyBorder="1" applyAlignment="1">
      <alignment horizontal="right" vertical="center"/>
    </xf>
    <xf numFmtId="3" fontId="49" fillId="0" borderId="23" xfId="0" applyNumberFormat="1" applyFont="1" applyFill="1" applyBorder="1" applyAlignment="1">
      <alignment horizontal="center" vertical="center" wrapText="1"/>
    </xf>
    <xf numFmtId="3" fontId="80" fillId="0" borderId="22" xfId="0" applyNumberFormat="1" applyFont="1" applyFill="1" applyBorder="1" applyAlignment="1">
      <alignment horizontal="right" vertical="center"/>
    </xf>
    <xf numFmtId="0" fontId="80" fillId="0" borderId="0" xfId="0" applyFont="1" applyBorder="1" applyAlignment="1">
      <alignment horizontal="justify" vertical="center" wrapText="1"/>
    </xf>
    <xf numFmtId="0" fontId="80" fillId="0" borderId="13" xfId="0" applyFont="1" applyBorder="1" applyAlignment="1">
      <alignment horizontal="center" vertical="center"/>
    </xf>
    <xf numFmtId="0" fontId="80" fillId="0" borderId="14" xfId="0" applyFont="1" applyBorder="1" applyAlignment="1">
      <alignment horizontal="center" vertical="center"/>
    </xf>
    <xf numFmtId="0" fontId="80" fillId="0" borderId="7" xfId="0" applyFont="1" applyBorder="1" applyAlignment="1">
      <alignment horizontal="center" wrapText="1"/>
    </xf>
    <xf numFmtId="3" fontId="80" fillId="0" borderId="21" xfId="0" applyNumberFormat="1" applyFont="1" applyBorder="1" applyAlignment="1">
      <alignment horizontal="right" vertical="center"/>
    </xf>
    <xf numFmtId="3" fontId="80" fillId="0" borderId="23" xfId="0" applyNumberFormat="1" applyFont="1" applyBorder="1" applyAlignment="1">
      <alignment horizontal="right" vertical="center"/>
    </xf>
    <xf numFmtId="0" fontId="79" fillId="0" borderId="7" xfId="0" applyFont="1" applyBorder="1" applyAlignment="1">
      <alignment horizontal="justify" vertical="center" wrapText="1"/>
    </xf>
    <xf numFmtId="3" fontId="79" fillId="0" borderId="21" xfId="0" applyNumberFormat="1" applyFont="1" applyFill="1" applyBorder="1" applyAlignment="1">
      <alignment horizontal="right" vertical="center"/>
    </xf>
    <xf numFmtId="3" fontId="80" fillId="0" borderId="23" xfId="0" applyNumberFormat="1" applyFont="1" applyFill="1" applyBorder="1" applyAlignment="1">
      <alignment horizontal="right" vertical="center"/>
    </xf>
    <xf numFmtId="0" fontId="81" fillId="0" borderId="7" xfId="0" applyFont="1" applyBorder="1" applyAlignment="1">
      <alignment horizontal="left" vertical="center" wrapText="1" indent="4"/>
    </xf>
    <xf numFmtId="3" fontId="81" fillId="0" borderId="21" xfId="0" applyNumberFormat="1" applyFont="1" applyFill="1" applyBorder="1" applyAlignment="1">
      <alignment horizontal="right" vertical="center"/>
    </xf>
    <xf numFmtId="3" fontId="80" fillId="0" borderId="25" xfId="0" applyNumberFormat="1" applyFont="1" applyFill="1" applyBorder="1" applyAlignment="1">
      <alignment horizontal="right" vertical="center"/>
    </xf>
    <xf numFmtId="3" fontId="60" fillId="0" borderId="0" xfId="0" applyNumberFormat="1" applyFont="1"/>
    <xf numFmtId="0" fontId="62" fillId="0" borderId="0" xfId="0" applyFont="1"/>
    <xf numFmtId="0" fontId="0" fillId="0" borderId="0" xfId="0" applyFont="1" applyFill="1" applyBorder="1"/>
    <xf numFmtId="0" fontId="28" fillId="0" borderId="61" xfId="4" applyFont="1" applyFill="1" applyBorder="1" applyAlignment="1" applyProtection="1">
      <alignment horizontal="center" vertical="center" wrapText="1"/>
    </xf>
    <xf numFmtId="0" fontId="29" fillId="0" borderId="35" xfId="4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 applyProtection="1">
      <alignment horizontal="center" vertical="center"/>
    </xf>
    <xf numFmtId="3" fontId="55" fillId="3" borderId="2" xfId="0" applyNumberFormat="1" applyFont="1" applyFill="1" applyBorder="1"/>
    <xf numFmtId="3" fontId="61" fillId="5" borderId="2" xfId="0" applyNumberFormat="1" applyFont="1" applyFill="1" applyBorder="1"/>
    <xf numFmtId="3" fontId="58" fillId="5" borderId="2" xfId="0" applyNumberFormat="1" applyFont="1" applyFill="1" applyBorder="1"/>
    <xf numFmtId="0" fontId="58" fillId="0" borderId="0" xfId="0" applyFont="1" applyFill="1" applyAlignment="1"/>
    <xf numFmtId="0" fontId="60" fillId="0" borderId="0" xfId="0" applyFont="1" applyAlignment="1">
      <alignment horizontal="center"/>
    </xf>
    <xf numFmtId="3" fontId="62" fillId="0" borderId="0" xfId="0" applyNumberFormat="1" applyFont="1"/>
    <xf numFmtId="0" fontId="74" fillId="0" borderId="7" xfId="0" applyFont="1" applyFill="1" applyBorder="1" applyAlignment="1">
      <alignment horizontal="center" vertical="center" wrapText="1"/>
    </xf>
    <xf numFmtId="0" fontId="74" fillId="0" borderId="63" xfId="0" applyFont="1" applyFill="1" applyBorder="1" applyAlignment="1">
      <alignment horizontal="center" vertical="center" wrapText="1"/>
    </xf>
    <xf numFmtId="3" fontId="60" fillId="0" borderId="2" xfId="0" applyNumberFormat="1" applyFont="1" applyFill="1" applyBorder="1" applyAlignment="1">
      <alignment horizontal="center" vertical="center" wrapText="1"/>
    </xf>
    <xf numFmtId="0" fontId="75" fillId="0" borderId="0" xfId="0" applyFont="1"/>
    <xf numFmtId="0" fontId="74" fillId="0" borderId="4" xfId="0" applyFont="1" applyFill="1" applyBorder="1" applyAlignment="1">
      <alignment horizontal="center" vertical="center" wrapText="1"/>
    </xf>
    <xf numFmtId="0" fontId="74" fillId="0" borderId="36" xfId="0" applyFont="1" applyFill="1" applyBorder="1" applyAlignment="1">
      <alignment horizontal="center" vertical="center" wrapText="1"/>
    </xf>
    <xf numFmtId="0" fontId="74" fillId="0" borderId="4" xfId="0" applyFont="1" applyBorder="1" applyAlignment="1">
      <alignment horizontal="center" vertical="top" wrapText="1"/>
    </xf>
    <xf numFmtId="0" fontId="74" fillId="7" borderId="4" xfId="0" applyFont="1" applyFill="1" applyBorder="1" applyAlignment="1">
      <alignment horizontal="left" vertical="top" wrapText="1"/>
    </xf>
    <xf numFmtId="0" fontId="74" fillId="0" borderId="2" xfId="0" applyFont="1" applyBorder="1" applyAlignment="1">
      <alignment horizontal="center" vertical="top" wrapText="1"/>
    </xf>
    <xf numFmtId="0" fontId="74" fillId="0" borderId="2" xfId="0" applyFont="1" applyBorder="1" applyAlignment="1">
      <alignment horizontal="left" vertical="top" wrapText="1"/>
    </xf>
    <xf numFmtId="3" fontId="62" fillId="6" borderId="6" xfId="0" applyNumberFormat="1" applyFont="1" applyFill="1" applyBorder="1" applyAlignment="1">
      <alignment horizontal="right" vertical="top" wrapText="1"/>
    </xf>
    <xf numFmtId="0" fontId="60" fillId="0" borderId="0" xfId="0" applyFont="1" applyAlignment="1">
      <alignment vertical="center"/>
    </xf>
    <xf numFmtId="0" fontId="76" fillId="0" borderId="2" xfId="0" applyFont="1" applyBorder="1" applyAlignment="1">
      <alignment horizontal="center" vertical="top" wrapText="1"/>
    </xf>
    <xf numFmtId="0" fontId="76" fillId="0" borderId="2" xfId="0" applyFont="1" applyBorder="1" applyAlignment="1">
      <alignment horizontal="left" vertical="top" wrapText="1" indent="5"/>
    </xf>
    <xf numFmtId="0" fontId="76" fillId="0" borderId="2" xfId="0" quotePrefix="1" applyFont="1" applyBorder="1" applyAlignment="1">
      <alignment horizontal="center" vertical="top" wrapText="1"/>
    </xf>
    <xf numFmtId="0" fontId="76" fillId="0" borderId="2" xfId="0" quotePrefix="1" applyFont="1" applyBorder="1" applyAlignment="1">
      <alignment horizontal="left" vertical="top" wrapText="1" indent="10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66" fillId="0" borderId="0" xfId="0" applyFont="1" applyAlignment="1">
      <alignment horizontal="left" indent="13"/>
    </xf>
    <xf numFmtId="0" fontId="57" fillId="0" borderId="0" xfId="0" applyFont="1"/>
    <xf numFmtId="0" fontId="74" fillId="7" borderId="2" xfId="0" applyFont="1" applyFill="1" applyBorder="1" applyAlignment="1">
      <alignment horizontal="left" vertical="top" wrapText="1"/>
    </xf>
    <xf numFmtId="0" fontId="76" fillId="0" borderId="2" xfId="0" applyFont="1" applyFill="1" applyBorder="1" applyAlignment="1">
      <alignment horizontal="left" vertical="top" wrapText="1" indent="5"/>
    </xf>
    <xf numFmtId="164" fontId="83" fillId="0" borderId="0" xfId="0" applyNumberFormat="1" applyFont="1" applyFill="1" applyAlignment="1">
      <alignment vertical="center" wrapText="1"/>
    </xf>
    <xf numFmtId="0" fontId="84" fillId="0" borderId="0" xfId="0" applyFont="1" applyFill="1" applyAlignment="1">
      <alignment vertical="center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 wrapText="1"/>
    </xf>
    <xf numFmtId="0" fontId="84" fillId="0" borderId="0" xfId="0" applyFont="1" applyFill="1" applyAlignment="1">
      <alignment horizontal="center" vertical="center" wrapText="1"/>
    </xf>
    <xf numFmtId="0" fontId="87" fillId="0" borderId="0" xfId="0" applyFont="1" applyFill="1" applyAlignment="1">
      <alignment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86" fillId="0" borderId="0" xfId="0" applyFont="1" applyFill="1" applyAlignment="1" applyProtection="1">
      <alignment horizontal="left" vertical="center" wrapText="1"/>
    </xf>
    <xf numFmtId="0" fontId="86" fillId="0" borderId="0" xfId="0" applyFont="1" applyFill="1" applyAlignment="1" applyProtection="1">
      <alignment vertical="center" wrapText="1"/>
    </xf>
    <xf numFmtId="0" fontId="86" fillId="0" borderId="0" xfId="0" applyFont="1" applyFill="1" applyAlignment="1" applyProtection="1">
      <alignment horizontal="right" vertical="center" wrapText="1" indent="1"/>
    </xf>
    <xf numFmtId="0" fontId="85" fillId="0" borderId="15" xfId="0" applyFont="1" applyFill="1" applyBorder="1" applyAlignment="1" applyProtection="1">
      <alignment horizontal="left" vertical="center"/>
    </xf>
    <xf numFmtId="0" fontId="90" fillId="0" borderId="46" xfId="0" applyFont="1" applyFill="1" applyBorder="1" applyAlignment="1" applyProtection="1">
      <alignment vertical="center" wrapText="1"/>
    </xf>
    <xf numFmtId="0" fontId="85" fillId="0" borderId="44" xfId="0" applyFont="1" applyFill="1" applyBorder="1" applyAlignment="1" applyProtection="1">
      <alignment vertical="center" wrapText="1"/>
    </xf>
    <xf numFmtId="3" fontId="8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6" fillId="0" borderId="0" xfId="0" applyFont="1" applyFill="1" applyAlignment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19" fillId="0" borderId="35" xfId="0" applyFont="1" applyFill="1" applyBorder="1" applyAlignment="1" applyProtection="1">
      <alignment horizontal="center" vertical="center" wrapText="1"/>
    </xf>
    <xf numFmtId="0" fontId="50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center" wrapText="1"/>
    </xf>
    <xf numFmtId="164" fontId="32" fillId="0" borderId="46" xfId="0" applyNumberFormat="1" applyFont="1" applyFill="1" applyBorder="1" applyAlignment="1" applyProtection="1">
      <alignment horizontal="righ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32" fillId="0" borderId="16" xfId="0" applyNumberFormat="1" applyFont="1" applyFill="1" applyBorder="1" applyAlignment="1" applyProtection="1">
      <alignment horizontal="right" vertical="center" wrapText="1" indent="1"/>
    </xf>
    <xf numFmtId="0" fontId="29" fillId="0" borderId="61" xfId="4" applyFont="1" applyFill="1" applyBorder="1" applyProtection="1">
      <protection locked="0"/>
    </xf>
    <xf numFmtId="0" fontId="29" fillId="0" borderId="55" xfId="4" applyFont="1" applyFill="1" applyBorder="1" applyProtection="1">
      <protection locked="0"/>
    </xf>
    <xf numFmtId="0" fontId="29" fillId="0" borderId="62" xfId="4" applyFont="1" applyFill="1" applyBorder="1" applyProtection="1">
      <protection locked="0"/>
    </xf>
    <xf numFmtId="0" fontId="28" fillId="0" borderId="35" xfId="4" applyFont="1" applyFill="1" applyBorder="1" applyAlignment="1" applyProtection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1" fillId="0" borderId="40" xfId="4" applyNumberFormat="1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0" fontId="21" fillId="0" borderId="61" xfId="4" applyFont="1" applyFill="1" applyBorder="1" applyAlignment="1" applyProtection="1">
      <alignment horizontal="left" vertical="center" wrapText="1" indent="1"/>
    </xf>
    <xf numFmtId="0" fontId="21" fillId="0" borderId="55" xfId="4" applyFont="1" applyFill="1" applyBorder="1" applyAlignment="1" applyProtection="1">
      <alignment horizontal="left" vertical="center" wrapText="1" indent="1"/>
    </xf>
    <xf numFmtId="0" fontId="21" fillId="0" borderId="29" xfId="4" applyFont="1" applyFill="1" applyBorder="1" applyAlignment="1" applyProtection="1">
      <alignment horizontal="left" vertical="center" wrapText="1" indent="1"/>
    </xf>
    <xf numFmtId="0" fontId="21" fillId="0" borderId="69" xfId="4" applyFont="1" applyFill="1" applyBorder="1" applyAlignment="1" applyProtection="1">
      <alignment horizontal="left" vertical="center" wrapText="1" indent="1"/>
    </xf>
    <xf numFmtId="0" fontId="28" fillId="0" borderId="35" xfId="4" applyFont="1" applyFill="1" applyBorder="1" applyAlignment="1" applyProtection="1">
      <alignment horizontal="left" vertical="center" wrapText="1" indent="1"/>
    </xf>
    <xf numFmtId="0" fontId="29" fillId="0" borderId="61" xfId="4" applyFont="1" applyFill="1" applyBorder="1" applyAlignment="1" applyProtection="1">
      <alignment horizontal="left" vertical="center" wrapText="1" indent="1"/>
    </xf>
    <xf numFmtId="0" fontId="29" fillId="0" borderId="68" xfId="4" applyFont="1" applyFill="1" applyBorder="1" applyAlignment="1" applyProtection="1">
      <alignment horizontal="left" vertical="center" wrapText="1" indent="1"/>
    </xf>
    <xf numFmtId="0" fontId="28" fillId="0" borderId="67" xfId="4" applyFont="1" applyFill="1" applyBorder="1" applyAlignment="1" applyProtection="1">
      <alignment horizontal="left" vertical="center" wrapText="1" indent="1"/>
    </xf>
    <xf numFmtId="0" fontId="29" fillId="0" borderId="62" xfId="4" applyFont="1" applyFill="1" applyBorder="1" applyAlignment="1" applyProtection="1">
      <alignment horizontal="left" vertical="center" wrapText="1" indent="1"/>
    </xf>
    <xf numFmtId="0" fontId="29" fillId="0" borderId="77" xfId="4" applyFont="1" applyFill="1" applyBorder="1" applyAlignment="1" applyProtection="1">
      <alignment horizontal="left" vertical="center" wrapText="1" indent="1"/>
    </xf>
    <xf numFmtId="0" fontId="28" fillId="0" borderId="46" xfId="4" applyFont="1" applyFill="1" applyBorder="1" applyAlignment="1" applyProtection="1">
      <alignment horizontal="left" vertical="center" wrapText="1" indent="1"/>
    </xf>
    <xf numFmtId="0" fontId="41" fillId="0" borderId="46" xfId="0" applyFont="1" applyBorder="1" applyAlignment="1" applyProtection="1">
      <alignment horizontal="left" wrapText="1" indent="1"/>
    </xf>
    <xf numFmtId="0" fontId="19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29" fillId="0" borderId="52" xfId="4" applyFont="1" applyFill="1" applyBorder="1" applyAlignment="1" applyProtection="1">
      <alignment horizontal="left" vertical="center" wrapText="1" indent="1"/>
    </xf>
    <xf numFmtId="0" fontId="25" fillId="0" borderId="46" xfId="0" applyFont="1" applyBorder="1" applyAlignment="1" applyProtection="1">
      <alignment horizontal="left" wrapText="1" indent="1"/>
    </xf>
    <xf numFmtId="0" fontId="32" fillId="0" borderId="59" xfId="0" applyFont="1" applyBorder="1" applyAlignment="1" applyProtection="1">
      <alignment horizontal="center" vertical="center" wrapText="1"/>
    </xf>
    <xf numFmtId="3" fontId="29" fillId="0" borderId="49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Fill="1" applyBorder="1" applyAlignment="1" applyProtection="1">
      <alignment horizontal="right" vertical="center" indent="1"/>
    </xf>
    <xf numFmtId="0" fontId="72" fillId="0" borderId="2" xfId="0" applyFont="1" applyBorder="1" applyAlignment="1">
      <alignment horizontal="justify" vertical="center" wrapText="1"/>
    </xf>
    <xf numFmtId="0" fontId="70" fillId="0" borderId="2" xfId="0" applyFont="1" applyBorder="1" applyAlignment="1">
      <alignment horizontal="justify" vertical="center" wrapText="1"/>
    </xf>
    <xf numFmtId="3" fontId="70" fillId="0" borderId="19" xfId="0" applyNumberFormat="1" applyFont="1" applyBorder="1" applyAlignment="1">
      <alignment horizontal="right" vertical="center"/>
    </xf>
    <xf numFmtId="0" fontId="71" fillId="0" borderId="2" xfId="0" applyFont="1" applyBorder="1" applyAlignment="1">
      <alignment horizontal="left" vertical="center" wrapText="1" indent="3"/>
    </xf>
    <xf numFmtId="3" fontId="71" fillId="0" borderId="19" xfId="0" applyNumberFormat="1" applyFont="1" applyBorder="1" applyAlignment="1">
      <alignment horizontal="right" vertical="center"/>
    </xf>
    <xf numFmtId="0" fontId="70" fillId="0" borderId="2" xfId="0" applyFont="1" applyFill="1" applyBorder="1" applyAlignment="1">
      <alignment horizontal="left" vertical="center" wrapText="1"/>
    </xf>
    <xf numFmtId="0" fontId="71" fillId="0" borderId="2" xfId="0" applyFont="1" applyFill="1" applyBorder="1" applyAlignment="1">
      <alignment horizontal="left" vertical="center" wrapText="1" indent="3"/>
    </xf>
    <xf numFmtId="3" fontId="70" fillId="0" borderId="19" xfId="0" applyNumberFormat="1" applyFont="1" applyFill="1" applyBorder="1" applyAlignment="1">
      <alignment horizontal="right" vertical="center"/>
    </xf>
    <xf numFmtId="3" fontId="72" fillId="0" borderId="19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4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4" applyNumberFormat="1" applyFont="1" applyFill="1" applyBorder="1" applyAlignment="1" applyProtection="1">
      <alignment horizontal="right" vertical="center" wrapText="1" indent="1"/>
    </xf>
    <xf numFmtId="164" fontId="17" fillId="0" borderId="4" xfId="4" applyNumberFormat="1" applyFont="1" applyFill="1" applyBorder="1" applyAlignment="1" applyProtection="1">
      <alignment horizontal="right" vertical="center" wrapText="1" indent="1"/>
    </xf>
    <xf numFmtId="164" fontId="17" fillId="0" borderId="64" xfId="4" applyNumberFormat="1" applyFont="1" applyFill="1" applyBorder="1" applyAlignment="1" applyProtection="1">
      <alignment horizontal="right" vertical="center" wrapText="1" indent="1"/>
    </xf>
    <xf numFmtId="164" fontId="17" fillId="0" borderId="2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32" fillId="0" borderId="35" xfId="4" applyNumberFormat="1" applyFont="1" applyFill="1" applyBorder="1" applyAlignment="1" applyProtection="1">
      <alignment horizontal="right" vertical="center" wrapText="1" indent="1"/>
    </xf>
    <xf numFmtId="164" fontId="32" fillId="0" borderId="16" xfId="4" applyNumberFormat="1" applyFont="1" applyFill="1" applyBorder="1" applyAlignment="1" applyProtection="1">
      <alignment horizontal="right" vertical="center" wrapText="1" indent="1"/>
    </xf>
    <xf numFmtId="164" fontId="17" fillId="0" borderId="69" xfId="4" applyNumberFormat="1" applyFont="1" applyFill="1" applyBorder="1" applyAlignment="1" applyProtection="1">
      <alignment horizontal="right" vertical="center" wrapText="1" indent="1"/>
    </xf>
    <xf numFmtId="164" fontId="17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4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4" applyNumberFormat="1" applyFont="1" applyFill="1" applyBorder="1" applyAlignment="1" applyProtection="1">
      <alignment horizontal="right" vertical="center" wrapText="1" indent="1"/>
    </xf>
    <xf numFmtId="164" fontId="17" fillId="0" borderId="16" xfId="4" applyNumberFormat="1" applyFont="1" applyFill="1" applyBorder="1" applyAlignment="1" applyProtection="1">
      <alignment horizontal="right" vertical="center" wrapText="1" indent="1"/>
    </xf>
    <xf numFmtId="0" fontId="70" fillId="0" borderId="69" xfId="0" applyFont="1" applyBorder="1" applyAlignment="1" applyProtection="1">
      <alignment horizontal="right" vertical="center" wrapText="1" indent="1"/>
      <protection locked="0"/>
    </xf>
    <xf numFmtId="0" fontId="70" fillId="0" borderId="4" xfId="0" applyFont="1" applyBorder="1" applyAlignment="1" applyProtection="1">
      <alignment horizontal="right" vertical="center" wrapText="1" indent="1"/>
      <protection locked="0"/>
    </xf>
    <xf numFmtId="0" fontId="70" fillId="0" borderId="55" xfId="0" applyFont="1" applyBorder="1" applyAlignment="1" applyProtection="1">
      <alignment horizontal="right" vertical="center" wrapText="1" indent="1"/>
      <protection locked="0"/>
    </xf>
    <xf numFmtId="0" fontId="70" fillId="0" borderId="2" xfId="0" applyFont="1" applyBorder="1" applyAlignment="1" applyProtection="1">
      <alignment horizontal="right" vertical="center" wrapText="1" indent="1"/>
      <protection locked="0"/>
    </xf>
    <xf numFmtId="0" fontId="70" fillId="0" borderId="62" xfId="0" applyFont="1" applyBorder="1" applyAlignment="1" applyProtection="1">
      <alignment horizontal="right" vertical="center" wrapText="1" indent="1"/>
      <protection locked="0"/>
    </xf>
    <xf numFmtId="0" fontId="70" fillId="0" borderId="7" xfId="0" applyFont="1" applyBorder="1" applyAlignment="1" applyProtection="1">
      <alignment horizontal="right" vertical="center" wrapText="1" indent="1"/>
      <protection locked="0"/>
    </xf>
    <xf numFmtId="164" fontId="49" fillId="0" borderId="35" xfId="0" applyNumberFormat="1" applyFont="1" applyBorder="1" applyAlignment="1" applyProtection="1">
      <alignment horizontal="right" vertical="center" wrapText="1" indent="1"/>
    </xf>
    <xf numFmtId="164" fontId="49" fillId="0" borderId="16" xfId="0" applyNumberFormat="1" applyFont="1" applyBorder="1" applyAlignment="1" applyProtection="1">
      <alignment horizontal="right" vertical="center" wrapText="1" indent="1"/>
    </xf>
    <xf numFmtId="0" fontId="49" fillId="0" borderId="35" xfId="0" quotePrefix="1" applyFont="1" applyBorder="1" applyAlignment="1" applyProtection="1">
      <alignment horizontal="right" vertical="center" wrapText="1" indent="1"/>
      <protection locked="0"/>
    </xf>
    <xf numFmtId="0" fontId="49" fillId="0" borderId="16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49" fillId="0" borderId="23" xfId="0" applyNumberFormat="1" applyFont="1" applyBorder="1" applyAlignment="1" applyProtection="1">
      <alignment horizontal="right" vertical="center" wrapText="1" indent="1"/>
    </xf>
    <xf numFmtId="164" fontId="70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0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4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3" fillId="0" borderId="0" xfId="0" applyNumberFormat="1" applyFont="1" applyFill="1" applyAlignment="1" applyProtection="1">
      <alignment horizontal="right" vertical="center"/>
    </xf>
    <xf numFmtId="164" fontId="32" fillId="0" borderId="35" xfId="0" applyNumberFormat="1" applyFont="1" applyFill="1" applyBorder="1" applyAlignment="1" applyProtection="1">
      <alignment horizontal="center" vertical="center" wrapText="1"/>
    </xf>
    <xf numFmtId="164" fontId="32" fillId="0" borderId="16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horizontal="centerContinuous" vertical="center" wrapText="1"/>
    </xf>
    <xf numFmtId="164" fontId="32" fillId="0" borderId="44" xfId="0" applyNumberFormat="1" applyFont="1" applyFill="1" applyBorder="1" applyAlignment="1" applyProtection="1">
      <alignment horizontal="centerContinuous" vertical="center" wrapText="1"/>
    </xf>
    <xf numFmtId="164" fontId="32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164" fontId="17" fillId="0" borderId="55" xfId="0" applyNumberFormat="1" applyFont="1" applyFill="1" applyBorder="1" applyAlignment="1" applyProtection="1">
      <alignment horizontal="righ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/>
    </xf>
    <xf numFmtId="0" fontId="4" fillId="0" borderId="70" xfId="4" applyFont="1" applyFill="1" applyBorder="1" applyAlignment="1" applyProtection="1">
      <alignment horizontal="center" vertical="center" wrapText="1"/>
    </xf>
    <xf numFmtId="0" fontId="14" fillId="0" borderId="45" xfId="4" applyFont="1" applyFill="1" applyBorder="1" applyAlignment="1" applyProtection="1">
      <alignment horizontal="center" vertical="center"/>
    </xf>
    <xf numFmtId="165" fontId="14" fillId="0" borderId="70" xfId="1" applyNumberFormat="1" applyFont="1" applyFill="1" applyBorder="1" applyProtection="1">
      <protection locked="0"/>
    </xf>
    <xf numFmtId="165" fontId="14" fillId="0" borderId="54" xfId="1" applyNumberFormat="1" applyFont="1" applyFill="1" applyBorder="1" applyProtection="1">
      <protection locked="0"/>
    </xf>
    <xf numFmtId="165" fontId="14" fillId="0" borderId="41" xfId="1" applyNumberFormat="1" applyFont="1" applyFill="1" applyBorder="1" applyProtection="1">
      <protection locked="0"/>
    </xf>
    <xf numFmtId="165" fontId="14" fillId="0" borderId="45" xfId="1" applyNumberFormat="1" applyFont="1" applyFill="1" applyBorder="1" applyProtection="1"/>
    <xf numFmtId="165" fontId="4" fillId="0" borderId="35" xfId="1" applyNumberFormat="1" applyFont="1" applyFill="1" applyBorder="1" applyProtection="1"/>
    <xf numFmtId="0" fontId="14" fillId="0" borderId="46" xfId="4" applyFont="1" applyFill="1" applyBorder="1"/>
    <xf numFmtId="0" fontId="70" fillId="0" borderId="0" xfId="0" applyFont="1" applyAlignment="1" applyProtection="1">
      <alignment horizontal="right" vertical="top"/>
      <protection locked="0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 indent="1"/>
    </xf>
    <xf numFmtId="164" fontId="1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0" applyNumberFormat="1" applyFont="1" applyFill="1" applyBorder="1" applyAlignment="1" applyProtection="1">
      <alignment horizontal="right" vertical="center" wrapText="1" indent="1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right" vertical="center" wrapText="1" indent="1"/>
    </xf>
    <xf numFmtId="164" fontId="32" fillId="0" borderId="45" xfId="0" applyNumberFormat="1" applyFont="1" applyFill="1" applyBorder="1" applyAlignment="1" applyProtection="1">
      <alignment horizontal="right" vertical="center" wrapText="1" indent="1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74" xfId="0" applyNumberFormat="1" applyFont="1" applyFill="1" applyBorder="1" applyAlignment="1" applyProtection="1">
      <alignment horizontal="right" vertical="center" wrapText="1" indent="1"/>
    </xf>
    <xf numFmtId="164" fontId="32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5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0" fillId="0" borderId="0" xfId="0" applyNumberFormat="1" applyFont="1" applyFill="1" applyAlignment="1">
      <alignment vertical="center" wrapTex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16" xfId="0" applyNumberFormat="1" applyFont="1" applyBorder="1" applyAlignment="1" applyProtection="1">
      <alignment horizontal="center" vertical="center" wrapText="1"/>
    </xf>
    <xf numFmtId="3" fontId="32" fillId="0" borderId="16" xfId="0" applyNumberFormat="1" applyFont="1" applyFill="1" applyBorder="1" applyAlignment="1" applyProtection="1">
      <alignment horizontal="right" vertical="center" indent="1"/>
    </xf>
    <xf numFmtId="164" fontId="14" fillId="0" borderId="0" xfId="4" applyNumberFormat="1" applyFont="1" applyFill="1"/>
    <xf numFmtId="0" fontId="70" fillId="0" borderId="69" xfId="0" applyFont="1" applyFill="1" applyBorder="1" applyAlignment="1" applyProtection="1">
      <alignment horizontal="right" vertical="center" wrapText="1" indent="1"/>
      <protection locked="0"/>
    </xf>
    <xf numFmtId="0" fontId="70" fillId="0" borderId="55" xfId="0" applyFont="1" applyFill="1" applyBorder="1" applyAlignment="1" applyProtection="1">
      <alignment horizontal="right" vertical="center" wrapText="1" indent="1"/>
      <protection locked="0"/>
    </xf>
    <xf numFmtId="0" fontId="70" fillId="0" borderId="62" xfId="0" applyFont="1" applyFill="1" applyBorder="1" applyAlignment="1" applyProtection="1">
      <alignment horizontal="right" vertical="center" wrapText="1" indent="1"/>
      <protection locked="0"/>
    </xf>
    <xf numFmtId="164" fontId="49" fillId="0" borderId="3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70" fillId="0" borderId="0" xfId="0" applyFont="1" applyFill="1" applyAlignment="1" applyProtection="1">
      <alignment horizontal="right" vertical="top"/>
      <protection locked="0"/>
    </xf>
    <xf numFmtId="0" fontId="50" fillId="0" borderId="16" xfId="0" applyFont="1" applyFill="1" applyBorder="1" applyAlignment="1" applyProtection="1">
      <alignment horizontal="center" wrapText="1"/>
    </xf>
    <xf numFmtId="0" fontId="26" fillId="0" borderId="2" xfId="0" applyFont="1" applyFill="1" applyBorder="1" applyAlignment="1" applyProtection="1">
      <alignment horizontal="left" vertical="center" wrapText="1" indent="1"/>
    </xf>
    <xf numFmtId="0" fontId="26" fillId="0" borderId="2" xfId="0" quotePrefix="1" applyFont="1" applyFill="1" applyBorder="1" applyAlignment="1" applyProtection="1">
      <alignment horizontal="left" vertical="center" wrapText="1" indent="6"/>
    </xf>
    <xf numFmtId="0" fontId="26" fillId="0" borderId="32" xfId="0" quotePrefix="1" applyFont="1" applyFill="1" applyBorder="1" applyAlignment="1" applyProtection="1">
      <alignment horizontal="left" vertical="center" wrapText="1" indent="6"/>
    </xf>
    <xf numFmtId="0" fontId="27" fillId="0" borderId="15" xfId="0" applyFont="1" applyFill="1" applyBorder="1" applyAlignment="1" applyProtection="1">
      <alignment horizontal="left" vertical="center" wrapText="1" indent="1"/>
    </xf>
    <xf numFmtId="0" fontId="27" fillId="0" borderId="16" xfId="0" applyFont="1" applyFill="1" applyBorder="1" applyAlignment="1" applyProtection="1">
      <alignment horizontal="left" vertical="center" wrapText="1" indent="1"/>
    </xf>
    <xf numFmtId="49" fontId="47" fillId="0" borderId="15" xfId="0" applyNumberFormat="1" applyFont="1" applyFill="1" applyBorder="1" applyAlignment="1" applyProtection="1">
      <alignment horizontal="left" vertical="center" wrapText="1" indent="1"/>
    </xf>
    <xf numFmtId="0" fontId="47" fillId="0" borderId="16" xfId="0" applyFont="1" applyFill="1" applyBorder="1" applyAlignment="1" applyProtection="1">
      <alignment horizontal="left" vertical="center" wrapText="1" indent="1"/>
    </xf>
    <xf numFmtId="49" fontId="26" fillId="0" borderId="11" xfId="0" applyNumberFormat="1" applyFont="1" applyFill="1" applyBorder="1" applyAlignment="1" applyProtection="1">
      <alignment horizontal="left" vertical="center" wrapText="1" indent="2"/>
    </xf>
    <xf numFmtId="0" fontId="26" fillId="0" borderId="4" xfId="0" applyFont="1" applyFill="1" applyBorder="1" applyAlignment="1" applyProtection="1">
      <alignment horizontal="left" vertical="center" wrapText="1" indent="1"/>
    </xf>
    <xf numFmtId="49" fontId="26" fillId="0" borderId="9" xfId="0" applyNumberFormat="1" applyFont="1" applyFill="1" applyBorder="1" applyAlignment="1" applyProtection="1">
      <alignment horizontal="left" vertical="center" wrapText="1" indent="2"/>
    </xf>
    <xf numFmtId="49" fontId="26" fillId="0" borderId="12" xfId="0" applyNumberFormat="1" applyFont="1" applyFill="1" applyBorder="1" applyAlignment="1" applyProtection="1">
      <alignment horizontal="left" vertical="center" wrapText="1" indent="2"/>
    </xf>
    <xf numFmtId="0" fontId="26" fillId="0" borderId="7" xfId="0" applyFont="1" applyFill="1" applyBorder="1" applyAlignment="1" applyProtection="1">
      <alignment horizontal="left" vertical="center" wrapText="1" indent="1"/>
    </xf>
    <xf numFmtId="0" fontId="25" fillId="0" borderId="16" xfId="0" applyFont="1" applyFill="1" applyBorder="1" applyAlignment="1" applyProtection="1">
      <alignment horizontal="left" vertical="center" wrapText="1" indent="1"/>
    </xf>
    <xf numFmtId="0" fontId="27" fillId="0" borderId="10" xfId="0" applyFont="1" applyFill="1" applyBorder="1" applyAlignment="1" applyProtection="1">
      <alignment horizontal="left" vertical="center" wrapText="1" indent="1"/>
    </xf>
    <xf numFmtId="0" fontId="25" fillId="0" borderId="3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29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92" fillId="0" borderId="2" xfId="0" applyFont="1" applyBorder="1" applyAlignment="1">
      <alignment horizontal="left" vertical="center" wrapText="1" indent="3"/>
    </xf>
    <xf numFmtId="3" fontId="92" fillId="0" borderId="19" xfId="0" applyNumberFormat="1" applyFont="1" applyBorder="1" applyAlignment="1">
      <alignment horizontal="right" vertical="center"/>
    </xf>
    <xf numFmtId="0" fontId="93" fillId="0" borderId="0" xfId="0" applyFont="1" applyFill="1"/>
    <xf numFmtId="0" fontId="93" fillId="0" borderId="0" xfId="0" applyFont="1" applyFill="1" applyAlignment="1" applyProtection="1">
      <alignment vertical="center"/>
    </xf>
    <xf numFmtId="3" fontId="92" fillId="0" borderId="21" xfId="0" applyNumberFormat="1" applyFont="1" applyBorder="1" applyAlignment="1">
      <alignment horizontal="right" vertical="center"/>
    </xf>
    <xf numFmtId="0" fontId="92" fillId="0" borderId="3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3" fontId="49" fillId="0" borderId="19" xfId="0" applyNumberFormat="1" applyFont="1" applyBorder="1" applyAlignment="1">
      <alignment horizontal="right" vertical="center"/>
    </xf>
    <xf numFmtId="0" fontId="32" fillId="0" borderId="0" xfId="0" applyFont="1" applyFill="1"/>
    <xf numFmtId="0" fontId="49" fillId="0" borderId="5" xfId="0" applyFont="1" applyBorder="1" applyAlignment="1">
      <alignment horizontal="center" vertical="center" wrapText="1"/>
    </xf>
    <xf numFmtId="3" fontId="49" fillId="0" borderId="22" xfId="0" applyNumberFormat="1" applyFont="1" applyBorder="1" applyAlignment="1">
      <alignment horizontal="right" vertical="center"/>
    </xf>
    <xf numFmtId="0" fontId="36" fillId="0" borderId="0" xfId="0" applyFont="1" applyAlignment="1" applyProtection="1">
      <alignment horizontal="right"/>
    </xf>
    <xf numFmtId="3" fontId="0" fillId="0" borderId="0" xfId="0" applyNumberFormat="1" applyFill="1"/>
    <xf numFmtId="0" fontId="94" fillId="0" borderId="0" xfId="0" applyFont="1" applyFill="1" applyBorder="1" applyAlignment="1" applyProtection="1">
      <alignment horizontal="right"/>
    </xf>
    <xf numFmtId="0" fontId="96" fillId="0" borderId="0" xfId="4" applyFont="1" applyFill="1"/>
    <xf numFmtId="0" fontId="80" fillId="0" borderId="8" xfId="0" applyFont="1" applyBorder="1" applyAlignment="1">
      <alignment horizontal="center" vertical="center"/>
    </xf>
    <xf numFmtId="3" fontId="80" fillId="0" borderId="20" xfId="0" applyNumberFormat="1" applyFont="1" applyFill="1" applyBorder="1" applyAlignment="1">
      <alignment horizontal="right" vertical="center"/>
    </xf>
    <xf numFmtId="3" fontId="7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4" applyNumberFormat="1" applyFont="1" applyFill="1" applyBorder="1" applyAlignment="1" applyProtection="1">
      <alignment horizontal="right" vertical="center" wrapText="1" indent="1"/>
    </xf>
    <xf numFmtId="3" fontId="7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1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7" xfId="0" applyNumberFormat="1" applyFont="1" applyFill="1" applyBorder="1" applyAlignment="1" applyProtection="1">
      <alignment horizontal="right" vertical="center" wrapText="1" indent="1"/>
    </xf>
    <xf numFmtId="164" fontId="1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3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4" xfId="0" applyFont="1" applyFill="1" applyBorder="1" applyAlignment="1" applyProtection="1">
      <alignment horizontal="left" vertical="center" wrapText="1" indent="1"/>
    </xf>
    <xf numFmtId="0" fontId="47" fillId="0" borderId="2" xfId="0" applyFont="1" applyFill="1" applyBorder="1" applyAlignment="1" applyProtection="1">
      <alignment horizontal="left" vertical="center" wrapText="1" indent="1"/>
    </xf>
    <xf numFmtId="0" fontId="26" fillId="0" borderId="2" xfId="0" applyFont="1" applyFill="1" applyBorder="1" applyAlignment="1" applyProtection="1">
      <alignment horizontal="left" vertical="center" indent="1"/>
    </xf>
    <xf numFmtId="0" fontId="26" fillId="0" borderId="3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6" fillId="0" borderId="32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1"/>
    </xf>
    <xf numFmtId="0" fontId="25" fillId="0" borderId="15" xfId="0" applyFont="1" applyFill="1" applyBorder="1" applyAlignment="1" applyProtection="1">
      <alignment horizontal="left" vertical="center" wrapText="1" indent="1"/>
    </xf>
    <xf numFmtId="0" fontId="42" fillId="0" borderId="10" xfId="0" applyFont="1" applyFill="1" applyBorder="1" applyAlignment="1" applyProtection="1">
      <alignment horizontal="left" vertical="center" wrapText="1" indent="1"/>
    </xf>
    <xf numFmtId="164" fontId="14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4" applyNumberFormat="1" applyFont="1" applyFill="1" applyBorder="1" applyAlignment="1" applyProtection="1">
      <alignment horizontal="right" vertical="center" wrapText="1" indent="1"/>
    </xf>
    <xf numFmtId="0" fontId="70" fillId="0" borderId="4" xfId="0" applyFont="1" applyFill="1" applyBorder="1" applyAlignment="1" applyProtection="1">
      <alignment horizontal="right" vertical="center" wrapText="1" indent="1"/>
      <protection locked="0"/>
    </xf>
    <xf numFmtId="0" fontId="70" fillId="0" borderId="2" xfId="0" applyFont="1" applyFill="1" applyBorder="1" applyAlignment="1" applyProtection="1">
      <alignment horizontal="right" vertical="center" wrapText="1" indent="1"/>
      <protection locked="0"/>
    </xf>
    <xf numFmtId="3" fontId="7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4" applyNumberFormat="1" applyFont="1" applyFill="1" applyBorder="1" applyAlignment="1" applyProtection="1">
      <alignment horizontal="right" vertical="center" wrapText="1" indent="1"/>
    </xf>
    <xf numFmtId="3" fontId="7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0" fillId="0" borderId="7" xfId="0" applyFont="1" applyFill="1" applyBorder="1" applyAlignment="1" applyProtection="1">
      <alignment horizontal="right" vertical="center" wrapText="1" indent="1"/>
      <protection locked="0"/>
    </xf>
    <xf numFmtId="164" fontId="49" fillId="0" borderId="16" xfId="0" applyNumberFormat="1" applyFont="1" applyFill="1" applyBorder="1" applyAlignment="1" applyProtection="1">
      <alignment horizontal="right" vertical="center" wrapText="1" indent="1"/>
    </xf>
    <xf numFmtId="3" fontId="49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49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/>
    <xf numFmtId="164" fontId="49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indent="1"/>
    </xf>
    <xf numFmtId="164" fontId="70" fillId="0" borderId="23" xfId="0" applyNumberFormat="1" applyFont="1" applyFill="1" applyBorder="1" applyAlignment="1" applyProtection="1">
      <alignment horizontal="right" vertical="center" wrapText="1" indent="1"/>
    </xf>
    <xf numFmtId="3" fontId="71" fillId="0" borderId="23" xfId="0" applyNumberFormat="1" applyFont="1" applyFill="1" applyBorder="1" applyAlignment="1" applyProtection="1">
      <alignment horizontal="right" vertical="center" wrapText="1" indent="1"/>
    </xf>
    <xf numFmtId="164" fontId="71" fillId="0" borderId="23" xfId="0" applyNumberFormat="1" applyFont="1" applyFill="1" applyBorder="1" applyAlignment="1" applyProtection="1">
      <alignment horizontal="right" vertical="center" wrapText="1" indent="1"/>
    </xf>
    <xf numFmtId="0" fontId="70" fillId="0" borderId="23" xfId="0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vertical="center" wrapText="1"/>
    </xf>
    <xf numFmtId="164" fontId="11" fillId="0" borderId="0" xfId="4" applyNumberFormat="1" applyFill="1"/>
    <xf numFmtId="164" fontId="1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19" xfId="0" applyNumberFormat="1" applyFont="1" applyFill="1" applyBorder="1" applyAlignment="1">
      <alignment horizontal="right" vertical="center"/>
    </xf>
    <xf numFmtId="3" fontId="80" fillId="0" borderId="21" xfId="0" applyNumberFormat="1" applyFont="1" applyFill="1" applyBorder="1" applyAlignment="1">
      <alignment horizontal="right" vertical="center"/>
    </xf>
    <xf numFmtId="3" fontId="92" fillId="0" borderId="19" xfId="0" applyNumberFormat="1" applyFont="1" applyFill="1" applyBorder="1" applyAlignment="1">
      <alignment horizontal="right" vertical="center"/>
    </xf>
    <xf numFmtId="3" fontId="92" fillId="0" borderId="21" xfId="0" applyNumberFormat="1" applyFont="1" applyFill="1" applyBorder="1" applyAlignment="1">
      <alignment horizontal="right" vertical="center"/>
    </xf>
    <xf numFmtId="3" fontId="49" fillId="0" borderId="22" xfId="0" applyNumberFormat="1" applyFont="1" applyFill="1" applyBorder="1" applyAlignment="1">
      <alignment horizontal="right" vertical="center"/>
    </xf>
    <xf numFmtId="3" fontId="49" fillId="0" borderId="19" xfId="0" applyNumberFormat="1" applyFont="1" applyFill="1" applyBorder="1" applyAlignment="1">
      <alignment horizontal="right" vertical="center"/>
    </xf>
    <xf numFmtId="3" fontId="49" fillId="0" borderId="33" xfId="0" applyNumberFormat="1" applyFont="1" applyFill="1" applyBorder="1" applyAlignment="1">
      <alignment horizontal="right" vertical="center"/>
    </xf>
    <xf numFmtId="0" fontId="70" fillId="0" borderId="7" xfId="0" applyFont="1" applyFill="1" applyBorder="1" applyAlignment="1">
      <alignment horizontal="center" vertical="center" wrapText="1"/>
    </xf>
    <xf numFmtId="0" fontId="70" fillId="0" borderId="63" xfId="0" applyFont="1" applyBorder="1" applyAlignment="1">
      <alignment horizontal="justify" vertical="center" wrapText="1"/>
    </xf>
    <xf numFmtId="3" fontId="70" fillId="0" borderId="21" xfId="0" applyNumberFormat="1" applyFont="1" applyBorder="1" applyAlignment="1">
      <alignment horizontal="right" vertical="center"/>
    </xf>
    <xf numFmtId="3" fontId="70" fillId="0" borderId="21" xfId="0" applyNumberFormat="1" applyFont="1" applyFill="1" applyBorder="1" applyAlignment="1">
      <alignment horizontal="right" vertical="center"/>
    </xf>
    <xf numFmtId="3" fontId="49" fillId="0" borderId="22" xfId="0" applyNumberFormat="1" applyFont="1" applyFill="1" applyBorder="1" applyAlignment="1">
      <alignment horizontal="right" wrapText="1"/>
    </xf>
    <xf numFmtId="49" fontId="79" fillId="0" borderId="0" xfId="0" applyNumberFormat="1" applyFont="1"/>
    <xf numFmtId="49" fontId="70" fillId="0" borderId="2" xfId="0" applyNumberFormat="1" applyFont="1" applyFill="1" applyBorder="1" applyAlignment="1">
      <alignment horizontal="center" vertical="center" wrapText="1"/>
    </xf>
    <xf numFmtId="49" fontId="70" fillId="0" borderId="2" xfId="0" applyNumberFormat="1" applyFont="1" applyBorder="1" applyAlignment="1">
      <alignment horizontal="right" vertical="center" wrapText="1"/>
    </xf>
    <xf numFmtId="49" fontId="70" fillId="0" borderId="2" xfId="0" applyNumberFormat="1" applyFont="1" applyBorder="1" applyAlignment="1">
      <alignment horizontal="center" vertical="center" wrapText="1"/>
    </xf>
    <xf numFmtId="49" fontId="70" fillId="0" borderId="62" xfId="0" applyNumberFormat="1" applyFont="1" applyBorder="1" applyAlignment="1">
      <alignment horizontal="center" vertical="center" wrapText="1"/>
    </xf>
    <xf numFmtId="49" fontId="91" fillId="0" borderId="2" xfId="0" applyNumberFormat="1" applyFont="1" applyBorder="1" applyAlignment="1">
      <alignment horizontal="right" vertical="center" wrapText="1"/>
    </xf>
    <xf numFmtId="49" fontId="91" fillId="0" borderId="2" xfId="0" applyNumberFormat="1" applyFont="1" applyBorder="1" applyAlignment="1">
      <alignment vertical="center" wrapText="1"/>
    </xf>
    <xf numFmtId="49" fontId="91" fillId="0" borderId="32" xfId="0" applyNumberFormat="1" applyFont="1" applyBorder="1" applyAlignment="1">
      <alignment vertical="center" wrapText="1"/>
    </xf>
    <xf numFmtId="49" fontId="79" fillId="0" borderId="2" xfId="0" applyNumberFormat="1" applyFont="1" applyBorder="1" applyAlignment="1">
      <alignment horizontal="center" vertical="center" wrapText="1"/>
    </xf>
    <xf numFmtId="49" fontId="79" fillId="0" borderId="7" xfId="0" applyNumberFormat="1" applyFont="1" applyBorder="1" applyAlignment="1">
      <alignment horizontal="center" vertical="center" wrapText="1"/>
    </xf>
    <xf numFmtId="49" fontId="72" fillId="0" borderId="2" xfId="0" applyNumberFormat="1" applyFont="1" applyBorder="1" applyAlignment="1">
      <alignment horizontal="center" vertical="center" wrapText="1"/>
    </xf>
    <xf numFmtId="49" fontId="80" fillId="0" borderId="0" xfId="0" applyNumberFormat="1" applyFont="1" applyBorder="1" applyAlignment="1">
      <alignment horizontal="left" vertical="center" wrapText="1"/>
    </xf>
    <xf numFmtId="49" fontId="8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7" fillId="0" borderId="0" xfId="0" applyFont="1" applyFill="1"/>
    <xf numFmtId="49" fontId="49" fillId="0" borderId="2" xfId="0" applyNumberFormat="1" applyFont="1" applyBorder="1" applyAlignment="1">
      <alignment horizontal="center" vertical="center" wrapText="1"/>
    </xf>
    <xf numFmtId="0" fontId="49" fillId="0" borderId="55" xfId="0" applyFont="1" applyBorder="1" applyAlignment="1">
      <alignment vertical="center" wrapText="1"/>
    </xf>
    <xf numFmtId="0" fontId="98" fillId="0" borderId="2" xfId="0" applyFont="1" applyBorder="1" applyAlignment="1">
      <alignment horizontal="left" vertical="center" wrapText="1" indent="3"/>
    </xf>
    <xf numFmtId="3" fontId="98" fillId="0" borderId="19" xfId="0" applyNumberFormat="1" applyFont="1" applyBorder="1" applyAlignment="1">
      <alignment horizontal="right" vertical="center"/>
    </xf>
    <xf numFmtId="3" fontId="98" fillId="0" borderId="19" xfId="0" applyNumberFormat="1" applyFont="1" applyFill="1" applyBorder="1" applyAlignment="1">
      <alignment horizontal="right" vertical="center"/>
    </xf>
    <xf numFmtId="0" fontId="49" fillId="0" borderId="2" xfId="0" applyFont="1" applyBorder="1" applyAlignment="1">
      <alignment horizontal="center" vertical="center" wrapText="1"/>
    </xf>
    <xf numFmtId="3" fontId="73" fillId="0" borderId="22" xfId="0" applyNumberFormat="1" applyFont="1" applyFill="1" applyBorder="1" applyAlignment="1">
      <alignment horizontal="right" vertical="center"/>
    </xf>
    <xf numFmtId="3" fontId="70" fillId="0" borderId="2" xfId="6" applyNumberFormat="1" applyFont="1" applyFill="1" applyBorder="1" applyAlignment="1">
      <alignment horizontal="right" vertical="center"/>
    </xf>
    <xf numFmtId="3" fontId="70" fillId="0" borderId="7" xfId="6" applyNumberFormat="1" applyFont="1" applyFill="1" applyBorder="1" applyAlignment="1">
      <alignment horizontal="right" vertical="center"/>
    </xf>
    <xf numFmtId="164" fontId="4" fillId="0" borderId="46" xfId="0" applyNumberFormat="1" applyFont="1" applyFill="1" applyBorder="1" applyAlignment="1" applyProtection="1">
      <alignment horizontal="right" vertical="center" wrapText="1" indent="1"/>
    </xf>
    <xf numFmtId="0" fontId="29" fillId="0" borderId="11" xfId="0" applyFont="1" applyBorder="1" applyAlignment="1" applyProtection="1">
      <alignment horizontal="right" vertical="center" indent="1"/>
    </xf>
    <xf numFmtId="0" fontId="29" fillId="0" borderId="4" xfId="0" applyFont="1" applyBorder="1" applyAlignment="1" applyProtection="1">
      <alignment horizontal="left" vertical="center" indent="1"/>
      <protection locked="0"/>
    </xf>
    <xf numFmtId="3" fontId="29" fillId="0" borderId="51" xfId="0" applyNumberFormat="1" applyFont="1" applyBorder="1" applyAlignment="1" applyProtection="1">
      <alignment horizontal="right" vertical="center" indent="1"/>
      <protection locked="0"/>
    </xf>
    <xf numFmtId="0" fontId="29" fillId="0" borderId="17" xfId="0" applyFont="1" applyBorder="1" applyAlignment="1" applyProtection="1">
      <alignment horizontal="right" vertical="center" indent="1"/>
    </xf>
    <xf numFmtId="0" fontId="29" fillId="0" borderId="18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Border="1" applyAlignment="1" applyProtection="1">
      <alignment horizontal="right" vertical="center" indent="1"/>
      <protection locked="0"/>
    </xf>
    <xf numFmtId="3" fontId="29" fillId="0" borderId="59" xfId="0" applyNumberFormat="1" applyFont="1" applyBorder="1" applyAlignment="1" applyProtection="1">
      <alignment horizontal="right" vertical="center" indent="1"/>
      <protection locked="0"/>
    </xf>
    <xf numFmtId="3" fontId="29" fillId="8" borderId="4" xfId="0" applyNumberFormat="1" applyFont="1" applyFill="1" applyBorder="1" applyAlignment="1" applyProtection="1">
      <alignment horizontal="right" vertical="center" indent="1"/>
      <protection locked="0"/>
    </xf>
    <xf numFmtId="3" fontId="28" fillId="0" borderId="16" xfId="0" applyNumberFormat="1" applyFont="1" applyBorder="1" applyAlignment="1" applyProtection="1">
      <alignment horizontal="right" vertical="center" indent="1"/>
      <protection locked="0"/>
    </xf>
    <xf numFmtId="3" fontId="28" fillId="0" borderId="38" xfId="0" applyNumberFormat="1" applyFont="1" applyBorder="1" applyAlignment="1" applyProtection="1">
      <alignment horizontal="right" vertical="center" indent="1"/>
      <protection locked="0"/>
    </xf>
    <xf numFmtId="0" fontId="32" fillId="0" borderId="0" xfId="0" applyFont="1"/>
    <xf numFmtId="0" fontId="70" fillId="0" borderId="0" xfId="0" applyFont="1" applyFill="1"/>
    <xf numFmtId="3" fontId="70" fillId="0" borderId="5" xfId="6" applyNumberFormat="1" applyFont="1" applyFill="1" applyBorder="1" applyAlignment="1">
      <alignment horizontal="right" vertical="center"/>
    </xf>
    <xf numFmtId="0" fontId="49" fillId="0" borderId="15" xfId="0" applyFont="1" applyFill="1" applyBorder="1"/>
    <xf numFmtId="0" fontId="49" fillId="0" borderId="15" xfId="6" applyFont="1" applyFill="1" applyBorder="1" applyAlignment="1">
      <alignment horizontal="center" vertical="center" wrapText="1"/>
    </xf>
    <xf numFmtId="0" fontId="49" fillId="0" borderId="23" xfId="6" applyFont="1" applyFill="1" applyBorder="1" applyAlignment="1">
      <alignment horizontal="center" vertical="center" wrapText="1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63" xfId="0" applyNumberFormat="1" applyFont="1" applyFill="1" applyBorder="1" applyAlignment="1" applyProtection="1">
      <alignment vertical="center" wrapText="1"/>
      <protection locked="0"/>
    </xf>
    <xf numFmtId="164" fontId="38" fillId="0" borderId="44" xfId="0" applyNumberFormat="1" applyFont="1" applyFill="1" applyBorder="1" applyAlignment="1" applyProtection="1">
      <alignment vertical="center" wrapText="1"/>
    </xf>
    <xf numFmtId="164" fontId="38" fillId="0" borderId="21" xfId="0" applyNumberFormat="1" applyFont="1" applyFill="1" applyBorder="1" applyAlignment="1" applyProtection="1">
      <alignment vertical="center" wrapText="1"/>
    </xf>
    <xf numFmtId="164" fontId="70" fillId="0" borderId="0" xfId="0" applyNumberFormat="1" applyFont="1" applyFill="1" applyAlignment="1" applyProtection="1">
      <alignment horizontal="center" vertical="center" wrapText="1"/>
    </xf>
    <xf numFmtId="164" fontId="70" fillId="0" borderId="2" xfId="0" applyNumberFormat="1" applyFont="1" applyFill="1" applyBorder="1" applyAlignment="1">
      <alignment horizontal="center" vertical="center" wrapText="1"/>
    </xf>
    <xf numFmtId="164" fontId="49" fillId="0" borderId="58" xfId="0" applyNumberFormat="1" applyFont="1" applyFill="1" applyBorder="1" applyAlignment="1">
      <alignment horizontal="center" vertical="center" wrapText="1"/>
    </xf>
    <xf numFmtId="164" fontId="70" fillId="0" borderId="0" xfId="0" applyNumberFormat="1" applyFont="1" applyFill="1" applyAlignment="1">
      <alignment horizontal="center" vertical="center" wrapText="1"/>
    </xf>
    <xf numFmtId="164" fontId="70" fillId="0" borderId="0" xfId="0" applyNumberFormat="1" applyFont="1" applyFill="1" applyAlignment="1">
      <alignment horizontal="left" vertical="center" wrapText="1"/>
    </xf>
    <xf numFmtId="164" fontId="70" fillId="0" borderId="13" xfId="0" applyNumberFormat="1" applyFont="1" applyFill="1" applyBorder="1" applyAlignment="1">
      <alignment horizontal="left" vertical="center" wrapText="1"/>
    </xf>
    <xf numFmtId="164" fontId="70" fillId="0" borderId="9" xfId="0" applyNumberFormat="1" applyFont="1" applyFill="1" applyBorder="1" applyAlignment="1">
      <alignment horizontal="left" vertical="center" wrapText="1"/>
    </xf>
    <xf numFmtId="164" fontId="49" fillId="0" borderId="39" xfId="0" applyNumberFormat="1" applyFont="1" applyFill="1" applyBorder="1" applyAlignment="1">
      <alignment horizontal="left" vertical="center" wrapText="1"/>
    </xf>
    <xf numFmtId="164" fontId="7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0" fillId="0" borderId="2" xfId="0" applyNumberFormat="1" applyFont="1" applyFill="1" applyBorder="1" applyAlignment="1" applyProtection="1">
      <alignment horizontal="center" vertical="center" wrapText="1"/>
    </xf>
    <xf numFmtId="49" fontId="32" fillId="0" borderId="16" xfId="0" applyNumberFormat="1" applyFont="1" applyFill="1" applyBorder="1" applyAlignment="1" applyProtection="1">
      <alignment horizontal="center" vertical="center" wrapText="1"/>
    </xf>
    <xf numFmtId="49" fontId="32" fillId="0" borderId="3" xfId="0" applyNumberFormat="1" applyFont="1" applyFill="1" applyBorder="1" applyAlignment="1" applyProtection="1">
      <alignment horizontal="center" vertical="center" wrapText="1"/>
    </xf>
    <xf numFmtId="164" fontId="32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54" xfId="0" applyNumberFormat="1" applyFont="1" applyFill="1" applyBorder="1" applyAlignment="1">
      <alignment horizontal="left" vertical="center" wrapText="1"/>
    </xf>
    <xf numFmtId="164" fontId="49" fillId="0" borderId="49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 applyProtection="1">
      <alignment vertical="center" wrapText="1"/>
    </xf>
    <xf numFmtId="164" fontId="0" fillId="0" borderId="64" xfId="0" applyNumberFormat="1" applyFill="1" applyBorder="1" applyAlignment="1">
      <alignment vertical="center" wrapText="1"/>
    </xf>
    <xf numFmtId="164" fontId="32" fillId="0" borderId="2" xfId="0" applyNumberFormat="1" applyFont="1" applyFill="1" applyBorder="1" applyAlignment="1" applyProtection="1">
      <alignment vertical="center" wrapText="1"/>
    </xf>
    <xf numFmtId="164" fontId="32" fillId="0" borderId="32" xfId="0" applyNumberFormat="1" applyFont="1" applyFill="1" applyBorder="1" applyAlignment="1" applyProtection="1">
      <alignment vertical="center" wrapText="1"/>
    </xf>
    <xf numFmtId="164" fontId="8" fillId="0" borderId="38" xfId="0" applyNumberFormat="1" applyFont="1" applyFill="1" applyBorder="1" applyAlignment="1" applyProtection="1">
      <alignment vertical="center" wrapText="1"/>
    </xf>
    <xf numFmtId="164" fontId="70" fillId="0" borderId="12" xfId="0" applyNumberFormat="1" applyFont="1" applyFill="1" applyBorder="1" applyAlignment="1">
      <alignment horizontal="left" vertical="center" wrapText="1"/>
    </xf>
    <xf numFmtId="164" fontId="70" fillId="0" borderId="7" xfId="0" applyNumberFormat="1" applyFont="1" applyFill="1" applyBorder="1" applyAlignment="1">
      <alignment horizontal="center" vertical="center" wrapText="1"/>
    </xf>
    <xf numFmtId="164" fontId="49" fillId="0" borderId="70" xfId="0" applyNumberFormat="1" applyFont="1" applyFill="1" applyBorder="1" applyAlignment="1">
      <alignment horizontal="left" vertical="center" wrapText="1"/>
    </xf>
    <xf numFmtId="164" fontId="49" fillId="0" borderId="57" xfId="0" applyNumberFormat="1" applyFont="1" applyFill="1" applyBorder="1" applyAlignment="1">
      <alignment horizontal="center" vertical="center" wrapText="1"/>
    </xf>
    <xf numFmtId="164" fontId="0" fillId="0" borderId="75" xfId="0" applyNumberFormat="1" applyFill="1" applyBorder="1" applyAlignment="1">
      <alignment vertical="center" wrapText="1"/>
    </xf>
    <xf numFmtId="164" fontId="32" fillId="0" borderId="22" xfId="0" applyNumberFormat="1" applyFont="1" applyFill="1" applyBorder="1" applyAlignment="1" applyProtection="1">
      <alignment vertical="center" wrapText="1"/>
    </xf>
    <xf numFmtId="164" fontId="32" fillId="0" borderId="19" xfId="0" applyNumberFormat="1" applyFont="1" applyFill="1" applyBorder="1" applyAlignment="1" applyProtection="1">
      <alignment vertical="center" wrapText="1"/>
    </xf>
    <xf numFmtId="164" fontId="0" fillId="0" borderId="77" xfId="0" applyNumberFormat="1" applyFill="1" applyBorder="1" applyAlignment="1">
      <alignment vertical="center" wrapText="1"/>
    </xf>
    <xf numFmtId="164" fontId="32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2" fillId="2" borderId="5" xfId="0" applyNumberFormat="1" applyFont="1" applyFill="1" applyBorder="1" applyAlignment="1" applyProtection="1">
      <alignment horizontal="center" vertical="center" wrapText="1"/>
    </xf>
    <xf numFmtId="49" fontId="32" fillId="2" borderId="2" xfId="0" applyNumberFormat="1" applyFont="1" applyFill="1" applyBorder="1" applyAlignment="1" applyProtection="1">
      <alignment horizontal="center" vertical="center" wrapText="1"/>
    </xf>
    <xf numFmtId="49" fontId="32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29" xfId="4" applyFont="1" applyFill="1" applyBorder="1" applyProtection="1">
      <protection locked="0"/>
    </xf>
    <xf numFmtId="165" fontId="14" fillId="0" borderId="56" xfId="1" applyNumberFormat="1" applyFont="1" applyFill="1" applyBorder="1" applyProtection="1">
      <protection locked="0"/>
    </xf>
    <xf numFmtId="164" fontId="21" fillId="0" borderId="20" xfId="5" applyNumberFormat="1" applyFont="1" applyFill="1" applyBorder="1" applyAlignment="1" applyProtection="1">
      <alignment vertical="center"/>
      <protection locked="0"/>
    </xf>
    <xf numFmtId="164" fontId="21" fillId="0" borderId="19" xfId="5" applyNumberFormat="1" applyFont="1" applyFill="1" applyBorder="1" applyAlignment="1" applyProtection="1">
      <alignment vertical="center"/>
      <protection locked="0"/>
    </xf>
    <xf numFmtId="164" fontId="21" fillId="0" borderId="31" xfId="5" applyNumberFormat="1" applyFont="1" applyFill="1" applyBorder="1" applyAlignment="1" applyProtection="1">
      <alignment vertical="center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0" fontId="29" fillId="0" borderId="9" xfId="0" applyFont="1" applyFill="1" applyBorder="1" applyAlignment="1" applyProtection="1">
      <alignment horizontal="right" vertical="center" indent="1"/>
    </xf>
    <xf numFmtId="0" fontId="29" fillId="0" borderId="2" xfId="0" applyFont="1" applyFill="1" applyBorder="1" applyAlignment="1" applyProtection="1">
      <alignment horizontal="left" vertical="center" indent="1"/>
      <protection locked="0"/>
    </xf>
    <xf numFmtId="3" fontId="29" fillId="0" borderId="2" xfId="0" applyNumberFormat="1" applyFont="1" applyFill="1" applyBorder="1" applyAlignment="1" applyProtection="1">
      <alignment horizontal="right" vertical="center" indent="1"/>
      <protection locked="0"/>
    </xf>
    <xf numFmtId="3" fontId="29" fillId="0" borderId="49" xfId="0" applyNumberFormat="1" applyFont="1" applyFill="1" applyBorder="1" applyAlignment="1" applyProtection="1">
      <alignment horizontal="right" vertical="center" indent="1"/>
      <protection locked="0"/>
    </xf>
    <xf numFmtId="3" fontId="29" fillId="0" borderId="32" xfId="0" applyNumberFormat="1" applyFont="1" applyFill="1" applyBorder="1" applyAlignment="1" applyProtection="1">
      <alignment horizontal="right" vertical="center" indent="1"/>
      <protection locked="0"/>
    </xf>
    <xf numFmtId="3" fontId="29" fillId="0" borderId="58" xfId="0" applyNumberFormat="1" applyFont="1" applyFill="1" applyBorder="1" applyAlignment="1" applyProtection="1">
      <alignment horizontal="right" vertical="center" indent="1"/>
      <protection locked="0"/>
    </xf>
    <xf numFmtId="0" fontId="29" fillId="0" borderId="14" xfId="0" applyFont="1" applyFill="1" applyBorder="1" applyAlignment="1" applyProtection="1">
      <alignment horizontal="right" vertical="center" indent="1"/>
    </xf>
    <xf numFmtId="0" fontId="29" fillId="0" borderId="32" xfId="0" applyFont="1" applyFill="1" applyBorder="1" applyAlignment="1" applyProtection="1">
      <alignment horizontal="left" vertical="center" indent="1"/>
      <protection locked="0"/>
    </xf>
    <xf numFmtId="0" fontId="80" fillId="0" borderId="9" xfId="0" applyFont="1" applyBorder="1" applyAlignment="1">
      <alignment horizontal="center" vertical="center"/>
    </xf>
    <xf numFmtId="0" fontId="70" fillId="0" borderId="0" xfId="0" applyFont="1" applyFill="1" applyAlignment="1" applyProtection="1">
      <alignment horizontal="center" vertical="top"/>
      <protection locked="0"/>
    </xf>
    <xf numFmtId="0" fontId="8" fillId="0" borderId="44" xfId="0" applyFont="1" applyFill="1" applyBorder="1" applyAlignment="1" applyProtection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/>
    </xf>
    <xf numFmtId="164" fontId="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0" applyFont="1" applyAlignment="1" applyProtection="1"/>
    <xf numFmtId="164" fontId="90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 applyProtection="1">
      <alignment horizontal="right" vertical="center" wrapText="1" indent="1"/>
    </xf>
    <xf numFmtId="0" fontId="86" fillId="0" borderId="0" xfId="0" applyFont="1" applyFill="1" applyBorder="1" applyAlignment="1" applyProtection="1">
      <alignment horizontal="right" vertical="center" wrapText="1" indent="1"/>
    </xf>
    <xf numFmtId="0" fontId="86" fillId="0" borderId="0" xfId="0" applyFont="1" applyFill="1" applyBorder="1" applyAlignment="1">
      <alignment vertical="center" wrapText="1"/>
    </xf>
    <xf numFmtId="0" fontId="8" fillId="0" borderId="78" xfId="0" applyFont="1" applyFill="1" applyBorder="1" applyAlignment="1" applyProtection="1">
      <alignment vertical="center"/>
    </xf>
    <xf numFmtId="0" fontId="8" fillId="0" borderId="80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35" xfId="0" quotePrefix="1" applyFont="1" applyFill="1" applyBorder="1" applyAlignment="1" applyProtection="1">
      <alignment horizontal="right" vertical="center" indent="1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164" fontId="14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5" xfId="0" applyNumberFormat="1" applyFont="1" applyFill="1" applyBorder="1" applyAlignment="1" applyProtection="1">
      <alignment horizontal="right" vertical="center" wrapText="1" indent="1"/>
    </xf>
    <xf numFmtId="164" fontId="17" fillId="0" borderId="64" xfId="0" applyNumberFormat="1" applyFont="1" applyFill="1" applyBorder="1" applyAlignment="1" applyProtection="1">
      <alignment horizontal="right" vertical="center" wrapText="1" indent="1"/>
    </xf>
    <xf numFmtId="164" fontId="14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3" xfId="0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0" fontId="21" fillId="0" borderId="2" xfId="4" applyFont="1" applyFill="1" applyBorder="1" applyAlignment="1" applyProtection="1">
      <alignment horizontal="left" indent="7"/>
    </xf>
    <xf numFmtId="0" fontId="26" fillId="0" borderId="2" xfId="0" applyFont="1" applyFill="1" applyBorder="1" applyAlignment="1" applyProtection="1">
      <alignment horizontal="left" vertical="center" wrapText="1" indent="6"/>
    </xf>
    <xf numFmtId="0" fontId="21" fillId="0" borderId="4" xfId="4" applyFont="1" applyFill="1" applyBorder="1" applyAlignment="1" applyProtection="1">
      <alignment horizontal="left" vertical="center" wrapText="1" indent="6"/>
    </xf>
    <xf numFmtId="0" fontId="26" fillId="0" borderId="32" xfId="0" applyFont="1" applyFill="1" applyBorder="1" applyAlignment="1" applyProtection="1">
      <alignment horizontal="left" vertical="center" wrapText="1" indent="6"/>
    </xf>
    <xf numFmtId="0" fontId="27" fillId="0" borderId="79" xfId="0" applyFont="1" applyFill="1" applyBorder="1" applyAlignment="1" applyProtection="1">
      <alignment horizontal="left" vertical="center" wrapText="1" indent="1"/>
    </xf>
    <xf numFmtId="0" fontId="26" fillId="0" borderId="76" xfId="0" applyFont="1" applyFill="1" applyBorder="1" applyAlignment="1" applyProtection="1">
      <alignment horizontal="left" vertical="center" wrapText="1" indent="1"/>
    </xf>
    <xf numFmtId="0" fontId="26" fillId="0" borderId="40" xfId="0" applyFont="1" applyFill="1" applyBorder="1" applyAlignment="1" applyProtection="1">
      <alignment horizontal="left" vertical="center" wrapText="1" indent="1"/>
    </xf>
    <xf numFmtId="0" fontId="27" fillId="0" borderId="1" xfId="0" applyFont="1" applyFill="1" applyBorder="1" applyAlignment="1" applyProtection="1">
      <alignment horizontal="left" vertical="center" wrapText="1" indent="1"/>
    </xf>
    <xf numFmtId="164" fontId="1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Border="1" applyAlignment="1">
      <alignment vertical="center" wrapText="1"/>
    </xf>
    <xf numFmtId="0" fontId="95" fillId="0" borderId="5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14" fillId="0" borderId="16" xfId="4" applyFont="1" applyFill="1" applyBorder="1" applyAlignment="1" applyProtection="1">
      <alignment horizontal="center" vertical="center"/>
    </xf>
    <xf numFmtId="0" fontId="96" fillId="0" borderId="16" xfId="4" applyFont="1" applyFill="1" applyBorder="1" applyAlignment="1" applyProtection="1">
      <alignment horizontal="center" vertical="center"/>
    </xf>
    <xf numFmtId="165" fontId="14" fillId="0" borderId="5" xfId="1" applyNumberFormat="1" applyFont="1" applyFill="1" applyBorder="1" applyProtection="1">
      <protection locked="0"/>
    </xf>
    <xf numFmtId="165" fontId="96" fillId="0" borderId="5" xfId="1" applyNumberFormat="1" applyFont="1" applyFill="1" applyBorder="1" applyProtection="1">
      <protection locked="0"/>
    </xf>
    <xf numFmtId="165" fontId="96" fillId="0" borderId="2" xfId="1" applyNumberFormat="1" applyFont="1" applyFill="1" applyBorder="1" applyProtection="1">
      <protection locked="0"/>
    </xf>
    <xf numFmtId="165" fontId="96" fillId="0" borderId="7" xfId="1" applyNumberFormat="1" applyFont="1" applyFill="1" applyBorder="1" applyProtection="1">
      <protection locked="0"/>
    </xf>
    <xf numFmtId="165" fontId="14" fillId="9" borderId="2" xfId="1" applyNumberFormat="1" applyFont="1" applyFill="1" applyBorder="1" applyProtection="1">
      <protection locked="0"/>
    </xf>
    <xf numFmtId="165" fontId="14" fillId="0" borderId="16" xfId="1" applyNumberFormat="1" applyFont="1" applyFill="1" applyBorder="1" applyProtection="1"/>
    <xf numFmtId="165" fontId="96" fillId="0" borderId="16" xfId="1" applyNumberFormat="1" applyFont="1" applyFill="1" applyBorder="1" applyProtection="1"/>
    <xf numFmtId="165" fontId="14" fillId="9" borderId="7" xfId="1" applyNumberFormat="1" applyFont="1" applyFill="1" applyBorder="1" applyProtection="1">
      <protection locked="0"/>
    </xf>
    <xf numFmtId="165" fontId="14" fillId="0" borderId="1" xfId="1" applyNumberFormat="1" applyFont="1" applyFill="1" applyBorder="1" applyProtection="1">
      <protection locked="0"/>
    </xf>
    <xf numFmtId="165" fontId="14" fillId="9" borderId="1" xfId="1" applyNumberFormat="1" applyFont="1" applyFill="1" applyBorder="1" applyProtection="1">
      <protection locked="0"/>
    </xf>
    <xf numFmtId="165" fontId="96" fillId="0" borderId="1" xfId="1" applyNumberFormat="1" applyFont="1" applyFill="1" applyBorder="1" applyProtection="1">
      <protection locked="0"/>
    </xf>
    <xf numFmtId="164" fontId="30" fillId="0" borderId="25" xfId="0" applyNumberFormat="1" applyFont="1" applyFill="1" applyBorder="1" applyAlignment="1" applyProtection="1">
      <alignment horizontal="center" vertical="center" wrapText="1"/>
    </xf>
    <xf numFmtId="164" fontId="30" fillId="0" borderId="15" xfId="0" applyNumberFormat="1" applyFont="1" applyFill="1" applyBorder="1" applyAlignment="1" applyProtection="1">
      <alignment horizontal="center" vertic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164" fontId="30" fillId="0" borderId="44" xfId="0" applyNumberFormat="1" applyFont="1" applyFill="1" applyBorder="1" applyAlignment="1" applyProtection="1">
      <alignment horizontal="center" vertical="center" wrapText="1"/>
    </xf>
    <xf numFmtId="164" fontId="30" fillId="0" borderId="35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Alignment="1" applyProtection="1">
      <alignment horizontal="center" vertical="center" wrapText="1"/>
    </xf>
    <xf numFmtId="0" fontId="4" fillId="0" borderId="46" xfId="4" applyFont="1" applyFill="1" applyBorder="1" applyAlignment="1" applyProtection="1">
      <alignment horizontal="center" vertical="center" wrapText="1"/>
    </xf>
    <xf numFmtId="164" fontId="4" fillId="0" borderId="60" xfId="4" applyNumberFormat="1" applyFont="1" applyFill="1" applyBorder="1" applyAlignment="1" applyProtection="1">
      <alignment horizontal="right" vertical="center" wrapText="1" indent="1"/>
    </xf>
    <xf numFmtId="164" fontId="33" fillId="0" borderId="46" xfId="4" applyNumberFormat="1" applyFont="1" applyFill="1" applyBorder="1" applyAlignment="1" applyProtection="1">
      <alignment horizontal="right" vertical="center" wrapText="1" indent="1"/>
    </xf>
    <xf numFmtId="164" fontId="32" fillId="0" borderId="46" xfId="4" applyNumberFormat="1" applyFont="1" applyFill="1" applyBorder="1" applyAlignment="1" applyProtection="1">
      <alignment horizontal="right" vertical="center" wrapText="1" indent="1"/>
    </xf>
    <xf numFmtId="0" fontId="4" fillId="0" borderId="23" xfId="4" applyFont="1" applyFill="1" applyBorder="1" applyAlignment="1" applyProtection="1">
      <alignment horizontal="center" vertical="center" wrapText="1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4" applyNumberFormat="1" applyFont="1" applyFill="1" applyBorder="1" applyAlignment="1" applyProtection="1">
      <alignment horizontal="right" vertical="center" wrapText="1" indent="1"/>
    </xf>
    <xf numFmtId="164" fontId="17" fillId="0" borderId="19" xfId="4" applyNumberFormat="1" applyFont="1" applyFill="1" applyBorder="1" applyAlignment="1" applyProtection="1">
      <alignment horizontal="righ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</xf>
    <xf numFmtId="164" fontId="32" fillId="0" borderId="23" xfId="4" applyNumberFormat="1" applyFont="1" applyFill="1" applyBorder="1" applyAlignment="1" applyProtection="1">
      <alignment horizontal="right" vertical="center" wrapText="1" indent="1"/>
    </xf>
    <xf numFmtId="164" fontId="14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4" applyNumberFormat="1" applyFont="1" applyFill="1" applyBorder="1" applyAlignment="1" applyProtection="1">
      <alignment horizontal="right" vertical="center" wrapText="1" indent="1"/>
    </xf>
    <xf numFmtId="0" fontId="70" fillId="0" borderId="65" xfId="0" applyFont="1" applyBorder="1" applyAlignment="1" applyProtection="1">
      <alignment horizontal="right" vertical="center" wrapText="1" indent="1"/>
      <protection locked="0"/>
    </xf>
    <xf numFmtId="0" fontId="70" fillId="0" borderId="64" xfId="0" applyFont="1" applyBorder="1" applyAlignment="1" applyProtection="1">
      <alignment horizontal="right" vertical="center" wrapText="1" indent="1"/>
      <protection locked="0"/>
    </xf>
    <xf numFmtId="0" fontId="70" fillId="0" borderId="42" xfId="0" applyFont="1" applyBorder="1" applyAlignment="1" applyProtection="1">
      <alignment horizontal="right" vertical="center" wrapText="1" indent="1"/>
      <protection locked="0"/>
    </xf>
    <xf numFmtId="164" fontId="49" fillId="0" borderId="46" xfId="0" applyNumberFormat="1" applyFont="1" applyBorder="1" applyAlignment="1" applyProtection="1">
      <alignment horizontal="right" vertical="center" wrapText="1" indent="1"/>
    </xf>
    <xf numFmtId="0" fontId="49" fillId="0" borderId="46" xfId="0" quotePrefix="1" applyFont="1" applyBorder="1" applyAlignment="1" applyProtection="1">
      <alignment horizontal="right" vertical="center" wrapText="1" indent="1"/>
      <protection locked="0"/>
    </xf>
    <xf numFmtId="164" fontId="1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4" applyNumberFormat="1" applyFont="1" applyFill="1" applyBorder="1" applyAlignment="1" applyProtection="1">
      <alignment horizontal="right" vertical="center" wrapText="1" indent="1"/>
    </xf>
    <xf numFmtId="0" fontId="70" fillId="0" borderId="31" xfId="0" applyFont="1" applyBorder="1" applyAlignment="1" applyProtection="1">
      <alignment horizontal="right" vertical="center" wrapText="1" indent="1"/>
      <protection locked="0"/>
    </xf>
    <xf numFmtId="0" fontId="70" fillId="0" borderId="19" xfId="0" applyFont="1" applyBorder="1" applyAlignment="1" applyProtection="1">
      <alignment horizontal="right" vertical="center" wrapText="1" indent="1"/>
      <protection locked="0"/>
    </xf>
    <xf numFmtId="0" fontId="70" fillId="0" borderId="21" xfId="0" applyFont="1" applyBorder="1" applyAlignment="1" applyProtection="1">
      <alignment horizontal="right" vertical="center" wrapText="1" indent="1"/>
      <protection locked="0"/>
    </xf>
    <xf numFmtId="0" fontId="49" fillId="0" borderId="23" xfId="0" quotePrefix="1" applyFont="1" applyBorder="1" applyAlignment="1" applyProtection="1">
      <alignment horizontal="right" vertical="center" wrapText="1" indent="1"/>
      <protection locked="0"/>
    </xf>
    <xf numFmtId="164" fontId="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4" applyFill="1" applyBorder="1"/>
    <xf numFmtId="164" fontId="0" fillId="0" borderId="4" xfId="0" applyNumberFormat="1" applyFill="1" applyBorder="1" applyAlignment="1">
      <alignment vertical="center" wrapText="1"/>
    </xf>
    <xf numFmtId="164" fontId="18" fillId="0" borderId="2" xfId="0" applyNumberFormat="1" applyFont="1" applyFill="1" applyBorder="1" applyAlignment="1" applyProtection="1">
      <alignment vertical="center" wrapText="1"/>
    </xf>
    <xf numFmtId="164" fontId="0" fillId="0" borderId="32" xfId="0" applyNumberFormat="1" applyFill="1" applyBorder="1" applyAlignment="1">
      <alignment vertical="center" wrapText="1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18" fillId="0" borderId="32" xfId="0" applyNumberFormat="1" applyFont="1" applyFill="1" applyBorder="1" applyAlignment="1" applyProtection="1">
      <alignment vertical="center" wrapText="1"/>
    </xf>
    <xf numFmtId="49" fontId="0" fillId="0" borderId="7" xfId="0" applyNumberForma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164" fontId="49" fillId="0" borderId="0" xfId="0" applyNumberFormat="1" applyFont="1" applyFill="1" applyAlignment="1">
      <alignment horizontal="left" vertical="center" wrapText="1"/>
    </xf>
    <xf numFmtId="164" fontId="49" fillId="0" borderId="45" xfId="0" applyNumberFormat="1" applyFont="1" applyFill="1" applyBorder="1" applyAlignment="1">
      <alignment horizontal="left" vertical="center" wrapText="1"/>
    </xf>
    <xf numFmtId="164" fontId="49" fillId="0" borderId="38" xfId="0" applyNumberFormat="1" applyFont="1" applyFill="1" applyBorder="1" applyAlignment="1">
      <alignment horizontal="center" vertical="center" wrapText="1"/>
    </xf>
    <xf numFmtId="164" fontId="0" fillId="0" borderId="46" xfId="0" applyNumberFormat="1" applyFill="1" applyBorder="1" applyAlignment="1">
      <alignment vertical="center" wrapText="1"/>
    </xf>
    <xf numFmtId="49" fontId="32" fillId="2" borderId="16" xfId="0" applyNumberFormat="1" applyFont="1" applyFill="1" applyBorder="1" applyAlignment="1" applyProtection="1">
      <alignment horizontal="center" vertical="center" wrapText="1"/>
    </xf>
    <xf numFmtId="164" fontId="32" fillId="0" borderId="16" xfId="0" applyNumberFormat="1" applyFont="1" applyFill="1" applyBorder="1" applyAlignment="1" applyProtection="1">
      <alignment vertical="center" wrapText="1"/>
    </xf>
    <xf numFmtId="164" fontId="32" fillId="0" borderId="23" xfId="0" applyNumberFormat="1" applyFont="1" applyFill="1" applyBorder="1" applyAlignment="1" applyProtection="1">
      <alignment vertical="center" wrapText="1"/>
    </xf>
    <xf numFmtId="0" fontId="0" fillId="0" borderId="0" xfId="0" quotePrefix="1" applyFill="1" applyAlignment="1">
      <alignment vertical="center" wrapText="1"/>
    </xf>
    <xf numFmtId="0" fontId="4" fillId="0" borderId="0" xfId="0" applyFont="1" applyFill="1" applyBorder="1" applyAlignment="1" applyProtection="1">
      <alignment horizontal="right" vertical="center" indent="1"/>
    </xf>
    <xf numFmtId="164" fontId="32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49" fillId="0" borderId="45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vertical="center" wrapText="1"/>
      <protection locked="0"/>
    </xf>
    <xf numFmtId="164" fontId="0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29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70" fillId="0" borderId="13" xfId="0" applyNumberFormat="1" applyFont="1" applyFill="1" applyBorder="1" applyAlignment="1">
      <alignment horizontal="center" vertical="center" wrapText="1"/>
    </xf>
    <xf numFmtId="164" fontId="70" fillId="0" borderId="9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>
      <alignment vertical="center" wrapText="1"/>
    </xf>
    <xf numFmtId="164" fontId="18" fillId="0" borderId="7" xfId="0" applyNumberFormat="1" applyFont="1" applyFill="1" applyBorder="1" applyAlignment="1" applyProtection="1">
      <alignment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49" fontId="26" fillId="0" borderId="14" xfId="0" applyNumberFormat="1" applyFont="1" applyFill="1" applyBorder="1" applyAlignment="1" applyProtection="1">
      <alignment horizontal="center" vertical="center" wrapText="1"/>
    </xf>
    <xf numFmtId="164" fontId="70" fillId="0" borderId="76" xfId="0" applyNumberFormat="1" applyFont="1" applyFill="1" applyBorder="1" applyAlignment="1">
      <alignment horizontal="left" vertical="center" wrapText="1"/>
    </xf>
    <xf numFmtId="164" fontId="70" fillId="0" borderId="6" xfId="0" applyNumberFormat="1" applyFont="1" applyFill="1" applyBorder="1" applyAlignment="1">
      <alignment horizontal="left" vertical="center" wrapText="1"/>
    </xf>
    <xf numFmtId="164" fontId="70" fillId="0" borderId="0" xfId="0" applyNumberFormat="1" applyFont="1" applyFill="1" applyBorder="1" applyAlignment="1">
      <alignment horizontal="left" vertical="center" wrapText="1"/>
    </xf>
    <xf numFmtId="0" fontId="70" fillId="0" borderId="60" xfId="0" applyFont="1" applyFill="1" applyBorder="1"/>
    <xf numFmtId="49" fontId="70" fillId="0" borderId="13" xfId="6" applyNumberFormat="1" applyFont="1" applyFill="1" applyBorder="1" applyAlignment="1">
      <alignment vertical="center" wrapText="1"/>
    </xf>
    <xf numFmtId="0" fontId="70" fillId="0" borderId="0" xfId="0" applyFont="1" applyFill="1" applyBorder="1"/>
    <xf numFmtId="49" fontId="70" fillId="0" borderId="9" xfId="6" applyNumberFormat="1" applyFont="1" applyFill="1" applyBorder="1" applyAlignment="1">
      <alignment vertical="center" wrapText="1"/>
    </xf>
    <xf numFmtId="49" fontId="70" fillId="0" borderId="12" xfId="6" applyNumberFormat="1" applyFont="1" applyFill="1" applyBorder="1" applyAlignment="1">
      <alignment vertical="center" wrapText="1"/>
    </xf>
    <xf numFmtId="0" fontId="50" fillId="0" borderId="60" xfId="0" applyFont="1" applyFill="1" applyBorder="1" applyAlignment="1" applyProtection="1">
      <alignment horizontal="center" wrapText="1"/>
    </xf>
    <xf numFmtId="0" fontId="25" fillId="0" borderId="46" xfId="0" applyFont="1" applyFill="1" applyBorder="1" applyAlignment="1" applyProtection="1">
      <alignment horizontal="left" vertical="center" wrapText="1" indent="1"/>
    </xf>
    <xf numFmtId="3" fontId="32" fillId="0" borderId="22" xfId="0" applyNumberFormat="1" applyFont="1" applyFill="1" applyBorder="1" applyAlignment="1" applyProtection="1">
      <alignment vertical="center" wrapText="1"/>
    </xf>
    <xf numFmtId="3" fontId="32" fillId="0" borderId="33" xfId="0" applyNumberFormat="1" applyFont="1" applyFill="1" applyBorder="1" applyAlignment="1" applyProtection="1">
      <alignment vertical="center" wrapText="1"/>
    </xf>
    <xf numFmtId="3" fontId="32" fillId="0" borderId="23" xfId="0" applyNumberFormat="1" applyFont="1" applyFill="1" applyBorder="1" applyAlignment="1" applyProtection="1">
      <alignment vertical="center" wrapText="1"/>
    </xf>
    <xf numFmtId="164" fontId="100" fillId="0" borderId="6" xfId="0" applyNumberFormat="1" applyFont="1" applyFill="1" applyBorder="1" applyAlignment="1" applyProtection="1">
      <alignment vertical="center" wrapText="1"/>
      <protection locked="0"/>
    </xf>
    <xf numFmtId="49" fontId="9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99" fillId="0" borderId="2" xfId="0" applyNumberFormat="1" applyFont="1" applyFill="1" applyBorder="1" applyAlignment="1" applyProtection="1">
      <alignment vertical="center" wrapText="1"/>
      <protection locked="0"/>
    </xf>
    <xf numFmtId="164" fontId="101" fillId="0" borderId="19" xfId="0" applyNumberFormat="1" applyFont="1" applyFill="1" applyBorder="1" applyAlignment="1" applyProtection="1">
      <alignment vertical="center" wrapText="1"/>
    </xf>
    <xf numFmtId="164" fontId="99" fillId="0" borderId="0" xfId="0" applyNumberFormat="1" applyFont="1" applyFill="1" applyAlignment="1">
      <alignment vertical="center" wrapText="1"/>
    </xf>
    <xf numFmtId="164" fontId="102" fillId="0" borderId="0" xfId="0" applyNumberFormat="1" applyFont="1" applyFill="1" applyBorder="1" applyAlignment="1" applyProtection="1">
      <alignment vertical="center" wrapText="1"/>
    </xf>
    <xf numFmtId="164" fontId="99" fillId="0" borderId="7" xfId="0" applyNumberFormat="1" applyFont="1" applyFill="1" applyBorder="1" applyAlignment="1" applyProtection="1">
      <alignment vertical="center" wrapText="1"/>
      <protection locked="0"/>
    </xf>
    <xf numFmtId="164" fontId="102" fillId="0" borderId="21" xfId="0" applyNumberFormat="1" applyFont="1" applyFill="1" applyBorder="1" applyAlignment="1" applyProtection="1">
      <alignment vertical="center" wrapText="1"/>
    </xf>
    <xf numFmtId="164" fontId="70" fillId="0" borderId="8" xfId="0" applyNumberFormat="1" applyFont="1" applyFill="1" applyBorder="1" applyAlignment="1">
      <alignment horizontal="center" vertical="center" wrapText="1"/>
    </xf>
    <xf numFmtId="164" fontId="70" fillId="0" borderId="6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ill="1" applyBorder="1" applyAlignment="1">
      <alignment horizontal="center" vertical="center" wrapText="1"/>
    </xf>
    <xf numFmtId="49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Alignment="1">
      <alignment vertical="center" wrapText="1"/>
    </xf>
    <xf numFmtId="164" fontId="7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164" fontId="49" fillId="0" borderId="0" xfId="0" applyNumberFormat="1" applyFont="1" applyBorder="1" applyAlignment="1" applyProtection="1">
      <alignment horizontal="right" vertical="center" wrapText="1" indent="1"/>
    </xf>
    <xf numFmtId="164" fontId="70" fillId="0" borderId="0" xfId="0" applyNumberFormat="1" applyFont="1" applyBorder="1" applyAlignment="1" applyProtection="1">
      <alignment horizontal="right" vertical="center" wrapText="1" indent="1"/>
    </xf>
    <xf numFmtId="0" fontId="71" fillId="0" borderId="0" xfId="0" applyFont="1" applyBorder="1" applyAlignment="1" applyProtection="1">
      <alignment horizontal="right" vertical="center" wrapText="1" indent="1"/>
    </xf>
    <xf numFmtId="164" fontId="71" fillId="0" borderId="0" xfId="0" applyNumberFormat="1" applyFont="1" applyBorder="1" applyAlignment="1" applyProtection="1">
      <alignment horizontal="right" vertical="center" wrapText="1" indent="1"/>
    </xf>
    <xf numFmtId="0" fontId="70" fillId="0" borderId="0" xfId="0" applyFont="1" applyBorder="1" applyAlignment="1" applyProtection="1">
      <alignment horizontal="right" vertical="center" wrapText="1" indent="1"/>
    </xf>
    <xf numFmtId="0" fontId="4" fillId="0" borderId="18" xfId="4" applyFont="1" applyFill="1" applyBorder="1" applyAlignment="1" applyProtection="1">
      <alignment horizontal="center" vertical="center" wrapText="1"/>
    </xf>
    <xf numFmtId="0" fontId="4" fillId="0" borderId="34" xfId="4" applyFont="1" applyFill="1" applyBorder="1" applyAlignment="1" applyProtection="1">
      <alignment horizontal="center" vertical="center" wrapText="1"/>
    </xf>
    <xf numFmtId="164" fontId="4" fillId="0" borderId="37" xfId="4" applyNumberFormat="1" applyFont="1" applyFill="1" applyBorder="1" applyAlignment="1" applyProtection="1">
      <alignment horizontal="right" vertical="center" wrapText="1" indent="1"/>
    </xf>
    <xf numFmtId="164" fontId="32" fillId="0" borderId="16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4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4" xfId="4" applyFont="1" applyFill="1" applyBorder="1" applyAlignment="1" applyProtection="1">
      <alignment horizontal="center" vertical="center" wrapText="1"/>
    </xf>
    <xf numFmtId="164" fontId="4" fillId="0" borderId="81" xfId="4" applyNumberFormat="1" applyFont="1" applyFill="1" applyBorder="1" applyAlignment="1" applyProtection="1">
      <alignment horizontal="right" vertical="center" wrapText="1" indent="1"/>
    </xf>
    <xf numFmtId="164" fontId="14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4" xfId="4" applyNumberFormat="1" applyFont="1" applyFill="1" applyBorder="1" applyAlignment="1" applyProtection="1">
      <alignment horizontal="right" vertical="center" wrapText="1" indent="1"/>
    </xf>
    <xf numFmtId="164" fontId="14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4" xfId="4" applyNumberFormat="1" applyFont="1" applyFill="1" applyBorder="1" applyAlignment="1" applyProtection="1">
      <alignment horizontal="right" vertical="center" wrapText="1" indent="1"/>
    </xf>
    <xf numFmtId="0" fontId="70" fillId="0" borderId="36" xfId="0" applyFont="1" applyFill="1" applyBorder="1" applyAlignment="1" applyProtection="1">
      <alignment horizontal="right" vertical="center" wrapText="1" indent="1"/>
      <protection locked="0"/>
    </xf>
    <xf numFmtId="0" fontId="70" fillId="0" borderId="6" xfId="0" applyFont="1" applyFill="1" applyBorder="1" applyAlignment="1" applyProtection="1">
      <alignment horizontal="right" vertical="center" wrapText="1" indent="1"/>
      <protection locked="0"/>
    </xf>
    <xf numFmtId="0" fontId="70" fillId="0" borderId="63" xfId="0" applyFont="1" applyFill="1" applyBorder="1" applyAlignment="1" applyProtection="1">
      <alignment horizontal="right" vertical="center" wrapText="1" indent="1"/>
      <protection locked="0"/>
    </xf>
    <xf numFmtId="164" fontId="49" fillId="0" borderId="44" xfId="0" applyNumberFormat="1" applyFont="1" applyFill="1" applyBorder="1" applyAlignment="1" applyProtection="1">
      <alignment horizontal="right" vertical="center" wrapText="1" indent="1"/>
    </xf>
    <xf numFmtId="0" fontId="49" fillId="0" borderId="44" xfId="0" quotePrefix="1" applyFont="1" applyFill="1" applyBorder="1" applyAlignment="1" applyProtection="1">
      <alignment horizontal="right" vertical="center" wrapText="1" indent="1"/>
      <protection locked="0"/>
    </xf>
    <xf numFmtId="0" fontId="49" fillId="0" borderId="16" xfId="0" quotePrefix="1" applyFont="1" applyFill="1" applyBorder="1" applyAlignment="1" applyProtection="1">
      <alignment horizontal="right" vertical="center" wrapText="1" indent="1"/>
      <protection locked="0"/>
    </xf>
    <xf numFmtId="164" fontId="32" fillId="0" borderId="44" xfId="4" applyNumberFormat="1" applyFont="1" applyFill="1" applyBorder="1" applyAlignment="1" applyProtection="1">
      <alignment horizontal="right" vertical="center" wrapText="1" indent="1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79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right" vertical="center" wrapText="1" indent="1"/>
    </xf>
    <xf numFmtId="164" fontId="3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8" xfId="0" applyNumberFormat="1" applyFont="1" applyFill="1" applyBorder="1" applyAlignment="1" applyProtection="1">
      <alignment horizontal="center" vertical="center" wrapText="1"/>
    </xf>
    <xf numFmtId="164" fontId="32" fillId="0" borderId="34" xfId="0" applyNumberFormat="1" applyFont="1" applyFill="1" applyBorder="1" applyAlignment="1" applyProtection="1">
      <alignment horizontal="center" vertical="center" wrapText="1"/>
    </xf>
    <xf numFmtId="164" fontId="30" fillId="0" borderId="23" xfId="0" applyNumberFormat="1" applyFont="1" applyFill="1" applyBorder="1" applyAlignment="1" applyProtection="1">
      <alignment horizontal="center" vertical="center" wrapText="1"/>
    </xf>
    <xf numFmtId="0" fontId="96" fillId="0" borderId="0" xfId="4" applyFont="1" applyFill="1" applyBorder="1"/>
    <xf numFmtId="0" fontId="95" fillId="0" borderId="61" xfId="4" applyFont="1" applyFill="1" applyBorder="1" applyAlignment="1" applyProtection="1">
      <alignment horizontal="center" vertical="center" wrapText="1"/>
    </xf>
    <xf numFmtId="0" fontId="96" fillId="0" borderId="35" xfId="4" applyFont="1" applyFill="1" applyBorder="1" applyAlignment="1" applyProtection="1">
      <alignment horizontal="center" vertical="center"/>
    </xf>
    <xf numFmtId="165" fontId="96" fillId="0" borderId="61" xfId="1" applyNumberFormat="1" applyFont="1" applyFill="1" applyBorder="1" applyProtection="1">
      <protection locked="0"/>
    </xf>
    <xf numFmtId="165" fontId="96" fillId="0" borderId="55" xfId="1" applyNumberFormat="1" applyFont="1" applyFill="1" applyBorder="1" applyProtection="1">
      <protection locked="0"/>
    </xf>
    <xf numFmtId="165" fontId="96" fillId="0" borderId="62" xfId="1" applyNumberFormat="1" applyFont="1" applyFill="1" applyBorder="1" applyProtection="1">
      <protection locked="0"/>
    </xf>
    <xf numFmtId="165" fontId="96" fillId="0" borderId="35" xfId="1" applyNumberFormat="1" applyFont="1" applyFill="1" applyBorder="1" applyProtection="1"/>
    <xf numFmtId="0" fontId="2" fillId="0" borderId="19" xfId="4" applyFont="1" applyFill="1" applyBorder="1"/>
    <xf numFmtId="0" fontId="2" fillId="0" borderId="21" xfId="4" applyFont="1" applyFill="1" applyBorder="1"/>
    <xf numFmtId="165" fontId="96" fillId="0" borderId="4" xfId="1" applyNumberFormat="1" applyFont="1" applyFill="1" applyBorder="1" applyProtection="1">
      <protection locked="0"/>
    </xf>
    <xf numFmtId="0" fontId="2" fillId="0" borderId="31" xfId="4" applyFont="1" applyFill="1" applyBorder="1"/>
    <xf numFmtId="0" fontId="95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>
      <alignment horizontal="center" vertical="center" wrapText="1"/>
    </xf>
    <xf numFmtId="165" fontId="14" fillId="0" borderId="62" xfId="1" applyNumberFormat="1" applyFont="1" applyFill="1" applyBorder="1" applyProtection="1">
      <protection locked="0"/>
    </xf>
    <xf numFmtId="165" fontId="14" fillId="0" borderId="55" xfId="1" applyNumberFormat="1" applyFont="1" applyFill="1" applyBorder="1" applyProtection="1">
      <protection locked="0"/>
    </xf>
    <xf numFmtId="165" fontId="96" fillId="0" borderId="29" xfId="1" applyNumberFormat="1" applyFont="1" applyFill="1" applyBorder="1" applyProtection="1">
      <protection locked="0"/>
    </xf>
    <xf numFmtId="0" fontId="96" fillId="0" borderId="60" xfId="4" applyFont="1" applyFill="1" applyBorder="1"/>
    <xf numFmtId="0" fontId="14" fillId="0" borderId="60" xfId="4" applyFont="1" applyFill="1" applyBorder="1"/>
    <xf numFmtId="165" fontId="4" fillId="0" borderId="16" xfId="1" applyNumberFormat="1" applyFont="1" applyFill="1" applyBorder="1" applyProtection="1"/>
    <xf numFmtId="165" fontId="95" fillId="0" borderId="16" xfId="1" applyNumberFormat="1" applyFont="1" applyFill="1" applyBorder="1" applyProtection="1"/>
    <xf numFmtId="164" fontId="4" fillId="0" borderId="23" xfId="0" applyNumberFormat="1" applyFont="1" applyFill="1" applyBorder="1" applyAlignment="1">
      <alignment horizontal="center" vertical="center" wrapText="1"/>
    </xf>
    <xf numFmtId="164" fontId="0" fillId="0" borderId="23" xfId="0" applyNumberFormat="1" applyFill="1" applyBorder="1" applyAlignment="1" applyProtection="1">
      <alignment vertical="center" wrapText="1"/>
    </xf>
    <xf numFmtId="164" fontId="32" fillId="0" borderId="68" xfId="0" applyNumberFormat="1" applyFont="1" applyFill="1" applyBorder="1" applyAlignment="1" applyProtection="1">
      <alignment horizontal="center" vertical="center" wrapText="1"/>
    </xf>
    <xf numFmtId="164" fontId="0" fillId="0" borderId="55" xfId="0" applyNumberFormat="1" applyFont="1" applyFill="1" applyBorder="1" applyAlignment="1" applyProtection="1">
      <alignment vertical="center" wrapText="1"/>
      <protection locked="0"/>
    </xf>
    <xf numFmtId="164" fontId="0" fillId="0" borderId="62" xfId="0" applyNumberFormat="1" applyFont="1" applyFill="1" applyBorder="1" applyAlignment="1" applyProtection="1">
      <alignment vertical="center" wrapText="1"/>
      <protection locked="0"/>
    </xf>
    <xf numFmtId="164" fontId="0" fillId="0" borderId="2" xfId="0" applyNumberFormat="1" applyFill="1" applyBorder="1" applyAlignment="1">
      <alignment vertical="center" wrapText="1"/>
    </xf>
    <xf numFmtId="164" fontId="0" fillId="0" borderId="19" xfId="0" applyNumberFormat="1" applyFill="1" applyBorder="1" applyAlignment="1">
      <alignment vertical="center" wrapText="1"/>
    </xf>
    <xf numFmtId="164" fontId="14" fillId="0" borderId="19" xfId="0" applyNumberFormat="1" applyFont="1" applyFill="1" applyBorder="1" applyAlignment="1">
      <alignment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0" fillId="0" borderId="31" xfId="0" applyNumberFormat="1" applyFill="1" applyBorder="1" applyAlignment="1">
      <alignment vertical="center" wrapText="1"/>
    </xf>
    <xf numFmtId="164" fontId="0" fillId="0" borderId="16" xfId="0" applyNumberFormat="1" applyFill="1" applyBorder="1" applyAlignment="1" applyProtection="1">
      <alignment vertical="center" wrapText="1"/>
    </xf>
    <xf numFmtId="164" fontId="0" fillId="0" borderId="12" xfId="0" applyNumberFormat="1" applyFill="1" applyBorder="1" applyAlignment="1">
      <alignment horizontal="center" vertical="center" wrapText="1"/>
    </xf>
    <xf numFmtId="164" fontId="70" fillId="0" borderId="42" xfId="0" applyNumberFormat="1" applyFont="1" applyFill="1" applyBorder="1" applyAlignment="1">
      <alignment horizontal="left" vertical="center" wrapText="1"/>
    </xf>
    <xf numFmtId="164" fontId="18" fillId="0" borderId="42" xfId="0" applyNumberFormat="1" applyFont="1" applyFill="1" applyBorder="1" applyAlignment="1" applyProtection="1">
      <alignment vertical="center" wrapText="1"/>
      <protection locked="0"/>
    </xf>
    <xf numFmtId="164" fontId="18" fillId="0" borderId="42" xfId="0" applyNumberFormat="1" applyFont="1" applyFill="1" applyBorder="1" applyAlignment="1" applyProtection="1">
      <alignment vertical="center" wrapText="1"/>
    </xf>
    <xf numFmtId="164" fontId="0" fillId="0" borderId="21" xfId="0" applyNumberFormat="1" applyFill="1" applyBorder="1" applyAlignment="1">
      <alignment vertical="center" wrapText="1"/>
    </xf>
    <xf numFmtId="164" fontId="49" fillId="0" borderId="47" xfId="0" applyNumberFormat="1" applyFont="1" applyFill="1" applyBorder="1" applyAlignment="1">
      <alignment horizontal="center" vertical="center" wrapText="1"/>
    </xf>
    <xf numFmtId="164" fontId="0" fillId="0" borderId="37" xfId="0" applyNumberFormat="1" applyFill="1" applyBorder="1" applyAlignment="1">
      <alignment vertical="center" wrapText="1"/>
    </xf>
    <xf numFmtId="49" fontId="32" fillId="2" borderId="3" xfId="0" applyNumberFormat="1" applyFont="1" applyFill="1" applyBorder="1" applyAlignment="1" applyProtection="1">
      <alignment horizontal="center"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164" fontId="49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vertical="center" wrapText="1"/>
    </xf>
    <xf numFmtId="164" fontId="8" fillId="0" borderId="5" xfId="0" applyNumberFormat="1" applyFont="1" applyFill="1" applyBorder="1" applyAlignment="1" applyProtection="1">
      <alignment vertical="center" wrapText="1"/>
    </xf>
    <xf numFmtId="164" fontId="0" fillId="0" borderId="22" xfId="0" applyNumberFormat="1" applyFill="1" applyBorder="1" applyAlignment="1">
      <alignment vertical="center" wrapText="1"/>
    </xf>
    <xf numFmtId="164" fontId="49" fillId="0" borderId="32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 applyProtection="1">
      <alignment vertical="center" wrapText="1"/>
    </xf>
    <xf numFmtId="164" fontId="8" fillId="0" borderId="16" xfId="0" applyNumberFormat="1" applyFont="1" applyFill="1" applyBorder="1" applyAlignment="1" applyProtection="1">
      <alignment vertical="center" wrapText="1"/>
    </xf>
    <xf numFmtId="3" fontId="32" fillId="0" borderId="35" xfId="0" applyNumberFormat="1" applyFont="1" applyFill="1" applyBorder="1" applyAlignment="1" applyProtection="1">
      <alignment horizontal="center" vertical="center" wrapText="1"/>
    </xf>
    <xf numFmtId="3" fontId="32" fillId="0" borderId="68" xfId="0" applyNumberFormat="1" applyFont="1" applyFill="1" applyBorder="1" applyAlignment="1" applyProtection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3" fontId="0" fillId="0" borderId="55" xfId="0" applyNumberFormat="1" applyFont="1" applyFill="1" applyBorder="1" applyAlignment="1" applyProtection="1">
      <alignment vertical="center" wrapText="1"/>
      <protection locked="0"/>
    </xf>
    <xf numFmtId="3" fontId="0" fillId="0" borderId="62" xfId="0" applyNumberFormat="1" applyFont="1" applyFill="1" applyBorder="1" applyAlignment="1" applyProtection="1">
      <alignment vertical="center" wrapText="1"/>
      <protection locked="0"/>
    </xf>
    <xf numFmtId="3" fontId="32" fillId="0" borderId="61" xfId="0" applyNumberFormat="1" applyFont="1" applyFill="1" applyBorder="1" applyAlignment="1" applyProtection="1">
      <alignment vertical="center" wrapText="1"/>
    </xf>
    <xf numFmtId="3" fontId="32" fillId="0" borderId="55" xfId="0" applyNumberFormat="1" applyFont="1" applyFill="1" applyBorder="1" applyAlignment="1" applyProtection="1">
      <alignment vertical="center" wrapText="1"/>
    </xf>
    <xf numFmtId="3" fontId="32" fillId="0" borderId="52" xfId="0" applyNumberFormat="1" applyFont="1" applyFill="1" applyBorder="1" applyAlignment="1" applyProtection="1">
      <alignment vertical="center" wrapText="1"/>
    </xf>
    <xf numFmtId="164" fontId="99" fillId="0" borderId="19" xfId="0" applyNumberFormat="1" applyFont="1" applyFill="1" applyBorder="1" applyAlignment="1">
      <alignment vertical="center" wrapText="1"/>
    </xf>
    <xf numFmtId="164" fontId="0" fillId="0" borderId="19" xfId="0" applyNumberFormat="1" applyFont="1" applyFill="1" applyBorder="1" applyAlignment="1">
      <alignment vertical="center" wrapText="1"/>
    </xf>
    <xf numFmtId="164" fontId="0" fillId="0" borderId="72" xfId="0" applyNumberFormat="1" applyFill="1" applyBorder="1" applyAlignment="1">
      <alignment vertical="center" wrapText="1"/>
    </xf>
    <xf numFmtId="164" fontId="0" fillId="0" borderId="27" xfId="0" applyNumberFormat="1" applyFill="1" applyBorder="1" applyAlignment="1">
      <alignment vertical="center" wrapText="1"/>
    </xf>
    <xf numFmtId="164" fontId="0" fillId="0" borderId="25" xfId="0" applyNumberFormat="1" applyFill="1" applyBorder="1" applyAlignment="1">
      <alignment vertical="center" wrapText="1"/>
    </xf>
    <xf numFmtId="3" fontId="70" fillId="0" borderId="55" xfId="6" applyNumberFormat="1" applyFont="1" applyFill="1" applyBorder="1" applyAlignment="1">
      <alignment horizontal="right" vertical="center"/>
    </xf>
    <xf numFmtId="3" fontId="70" fillId="0" borderId="61" xfId="6" applyNumberFormat="1" applyFont="1" applyFill="1" applyBorder="1" applyAlignment="1">
      <alignment horizontal="right" vertical="center"/>
    </xf>
    <xf numFmtId="3" fontId="70" fillId="0" borderId="62" xfId="6" applyNumberFormat="1" applyFont="1" applyFill="1" applyBorder="1" applyAlignment="1">
      <alignment horizontal="right" vertical="center"/>
    </xf>
    <xf numFmtId="0" fontId="70" fillId="0" borderId="5" xfId="0" applyFont="1" applyFill="1" applyBorder="1"/>
    <xf numFmtId="0" fontId="70" fillId="0" borderId="22" xfId="0" applyFont="1" applyFill="1" applyBorder="1"/>
    <xf numFmtId="3" fontId="49" fillId="0" borderId="16" xfId="0" applyNumberFormat="1" applyFont="1" applyFill="1" applyBorder="1"/>
    <xf numFmtId="0" fontId="70" fillId="0" borderId="3" xfId="0" applyFont="1" applyFill="1" applyBorder="1"/>
    <xf numFmtId="9" fontId="14" fillId="0" borderId="49" xfId="7" applyFont="1" applyFill="1" applyBorder="1" applyAlignment="1" applyProtection="1">
      <alignment horizontal="right" vertical="center" wrapText="1" indent="1"/>
      <protection locked="0"/>
    </xf>
    <xf numFmtId="166" fontId="14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9" fontId="4" fillId="0" borderId="38" xfId="7" applyFont="1" applyFill="1" applyBorder="1" applyAlignment="1" applyProtection="1">
      <alignment horizontal="right" vertical="center" wrapText="1" indent="1"/>
    </xf>
    <xf numFmtId="166" fontId="4" fillId="0" borderId="38" xfId="7" applyNumberFormat="1" applyFont="1" applyFill="1" applyBorder="1" applyAlignment="1" applyProtection="1">
      <alignment horizontal="right" vertical="center" wrapText="1" indent="1"/>
    </xf>
    <xf numFmtId="166" fontId="0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59" xfId="7" applyNumberFormat="1" applyFont="1" applyFill="1" applyBorder="1" applyAlignment="1" applyProtection="1">
      <alignment horizontal="right" vertical="center" wrapText="1" indent="1"/>
    </xf>
    <xf numFmtId="166" fontId="32" fillId="0" borderId="38" xfId="7" applyNumberFormat="1" applyFont="1" applyFill="1" applyBorder="1" applyAlignment="1" applyProtection="1">
      <alignment horizontal="right" vertical="center" wrapText="1" indent="1"/>
    </xf>
    <xf numFmtId="166" fontId="3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9" fontId="14" fillId="0" borderId="19" xfId="7" applyFont="1" applyFill="1" applyBorder="1" applyAlignment="1" applyProtection="1">
      <alignment horizontal="right" vertical="center" wrapText="1" indent="1"/>
      <protection locked="0"/>
    </xf>
    <xf numFmtId="9" fontId="32" fillId="0" borderId="23" xfId="7" applyFont="1" applyFill="1" applyBorder="1" applyAlignment="1" applyProtection="1">
      <alignment horizontal="right" vertical="center" wrapText="1" indent="1"/>
    </xf>
    <xf numFmtId="9" fontId="0" fillId="0" borderId="22" xfId="7" applyFont="1" applyFill="1" applyBorder="1" applyAlignment="1" applyProtection="1">
      <alignment horizontal="right" vertical="center" wrapText="1" indent="1"/>
      <protection locked="0"/>
    </xf>
    <xf numFmtId="166" fontId="32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23" xfId="7" applyNumberFormat="1" applyFont="1" applyFill="1" applyBorder="1" applyAlignment="1" applyProtection="1">
      <alignment horizontal="right" vertical="center" wrapText="1" indent="1"/>
    </xf>
    <xf numFmtId="166" fontId="0" fillId="0" borderId="31" xfId="7" applyNumberFormat="1" applyFont="1" applyFill="1" applyBorder="1" applyAlignment="1" applyProtection="1">
      <alignment horizontal="right" vertical="center" wrapText="1" indent="1"/>
      <protection locked="0"/>
    </xf>
    <xf numFmtId="166" fontId="4" fillId="0" borderId="23" xfId="7" applyNumberFormat="1" applyFont="1" applyFill="1" applyBorder="1" applyAlignment="1" applyProtection="1">
      <alignment horizontal="right" vertical="center" wrapText="1" indent="1"/>
    </xf>
    <xf numFmtId="166" fontId="32" fillId="0" borderId="34" xfId="7" applyNumberFormat="1" applyFont="1" applyFill="1" applyBorder="1" applyAlignment="1" applyProtection="1">
      <alignment horizontal="right" vertical="center" wrapText="1" indent="1"/>
    </xf>
    <xf numFmtId="166" fontId="0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31" xfId="7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6" fontId="4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23" xfId="7" applyNumberFormat="1" applyFont="1" applyFill="1" applyBorder="1" applyAlignment="1" applyProtection="1">
      <alignment horizontal="right" vertical="center" wrapText="1" indent="1"/>
    </xf>
    <xf numFmtId="166" fontId="14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166" fontId="4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57" xfId="7" applyNumberFormat="1" applyFont="1" applyFill="1" applyBorder="1" applyAlignment="1" applyProtection="1">
      <alignment horizontal="right" vertical="center" wrapText="1" indent="1"/>
    </xf>
    <xf numFmtId="166" fontId="9" fillId="0" borderId="49" xfId="7" applyNumberFormat="1" applyFont="1" applyFill="1" applyBorder="1" applyAlignment="1" applyProtection="1">
      <alignment horizontal="right" vertical="center" wrapText="1" indent="1"/>
    </xf>
    <xf numFmtId="166" fontId="14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9" fontId="14" fillId="0" borderId="51" xfId="7" applyFont="1" applyFill="1" applyBorder="1" applyAlignment="1" applyProtection="1">
      <alignment horizontal="right" vertical="center" wrapText="1" indent="1"/>
      <protection locked="0"/>
    </xf>
    <xf numFmtId="166" fontId="6" fillId="0" borderId="59" xfId="7" applyNumberFormat="1" applyFont="1" applyFill="1" applyBorder="1" applyAlignment="1" applyProtection="1">
      <alignment horizontal="right" vertical="center" wrapText="1" indent="1"/>
    </xf>
    <xf numFmtId="166" fontId="14" fillId="0" borderId="59" xfId="7" applyNumberFormat="1" applyFont="1" applyFill="1" applyBorder="1" applyAlignment="1" applyProtection="1">
      <alignment horizontal="right" vertical="center" wrapText="1" indent="1"/>
      <protection locked="0"/>
    </xf>
    <xf numFmtId="166" fontId="4" fillId="0" borderId="34" xfId="7" applyNumberFormat="1" applyFont="1" applyFill="1" applyBorder="1" applyAlignment="1" applyProtection="1">
      <alignment horizontal="right" vertical="center" wrapText="1" indent="1"/>
    </xf>
    <xf numFmtId="166" fontId="14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7" xfId="0" applyNumberFormat="1" applyFont="1" applyFill="1" applyBorder="1" applyAlignment="1" applyProtection="1">
      <alignment vertical="center" wrapText="1"/>
      <protection locked="0"/>
    </xf>
    <xf numFmtId="164" fontId="0" fillId="8" borderId="32" xfId="0" applyNumberFormat="1" applyFill="1" applyBorder="1" applyAlignment="1">
      <alignment vertical="center" wrapText="1"/>
    </xf>
    <xf numFmtId="164" fontId="0" fillId="8" borderId="5" xfId="0" applyNumberFormat="1" applyFill="1" applyBorder="1" applyAlignment="1">
      <alignment vertical="center" wrapText="1"/>
    </xf>
    <xf numFmtId="164" fontId="99" fillId="8" borderId="2" xfId="0" applyNumberFormat="1" applyFont="1" applyFill="1" applyBorder="1" applyAlignment="1">
      <alignment vertical="center" wrapText="1"/>
    </xf>
    <xf numFmtId="164" fontId="0" fillId="8" borderId="2" xfId="0" applyNumberFormat="1" applyFill="1" applyBorder="1" applyAlignment="1">
      <alignment vertical="center" wrapText="1"/>
    </xf>
    <xf numFmtId="164" fontId="14" fillId="8" borderId="2" xfId="0" applyNumberFormat="1" applyFont="1" applyFill="1" applyBorder="1" applyAlignment="1">
      <alignment vertical="center" wrapText="1"/>
    </xf>
    <xf numFmtId="164" fontId="0" fillId="8" borderId="2" xfId="0" applyNumberFormat="1" applyFont="1" applyFill="1" applyBorder="1" applyAlignment="1">
      <alignment vertical="center" wrapText="1"/>
    </xf>
    <xf numFmtId="164" fontId="0" fillId="8" borderId="7" xfId="0" applyNumberFormat="1" applyFill="1" applyBorder="1" applyAlignment="1">
      <alignment vertical="center" wrapText="1"/>
    </xf>
    <xf numFmtId="166" fontId="14" fillId="0" borderId="19" xfId="7" applyNumberFormat="1" applyFont="1" applyFill="1" applyBorder="1" applyAlignment="1">
      <alignment vertical="center" wrapText="1"/>
    </xf>
    <xf numFmtId="166" fontId="0" fillId="0" borderId="19" xfId="7" applyNumberFormat="1" applyFont="1" applyFill="1" applyBorder="1" applyAlignment="1">
      <alignment vertical="center" wrapText="1"/>
    </xf>
    <xf numFmtId="166" fontId="0" fillId="0" borderId="21" xfId="7" applyNumberFormat="1" applyFont="1" applyFill="1" applyBorder="1" applyAlignment="1">
      <alignment vertical="center" wrapText="1"/>
    </xf>
    <xf numFmtId="166" fontId="0" fillId="0" borderId="22" xfId="7" applyNumberFormat="1" applyFont="1" applyFill="1" applyBorder="1" applyAlignment="1">
      <alignment vertical="center" wrapText="1"/>
    </xf>
    <xf numFmtId="166" fontId="0" fillId="0" borderId="33" xfId="7" applyNumberFormat="1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164" fontId="70" fillId="0" borderId="32" xfId="0" applyNumberFormat="1" applyFont="1" applyFill="1" applyBorder="1" applyAlignment="1">
      <alignment horizontal="left" vertical="center" wrapText="1"/>
    </xf>
    <xf numFmtId="164" fontId="70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2" xfId="0" applyNumberFormat="1" applyFont="1" applyFill="1" applyBorder="1" applyAlignment="1" applyProtection="1">
      <alignment vertical="center" wrapText="1"/>
      <protection locked="0"/>
    </xf>
    <xf numFmtId="164" fontId="70" fillId="0" borderId="7" xfId="0" applyNumberFormat="1" applyFont="1" applyFill="1" applyBorder="1" applyAlignment="1">
      <alignment horizontal="left" vertical="center" wrapText="1"/>
    </xf>
    <xf numFmtId="164" fontId="7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164" fontId="0" fillId="8" borderId="4" xfId="0" applyNumberFormat="1" applyFill="1" applyBorder="1" applyAlignment="1">
      <alignment vertical="center" wrapText="1"/>
    </xf>
    <xf numFmtId="166" fontId="32" fillId="0" borderId="23" xfId="7" applyNumberFormat="1" applyFont="1" applyFill="1" applyBorder="1" applyAlignment="1">
      <alignment vertical="center" wrapText="1"/>
    </xf>
    <xf numFmtId="166" fontId="96" fillId="0" borderId="4" xfId="7" applyNumberFormat="1" applyFont="1" applyFill="1" applyBorder="1" applyProtection="1">
      <protection locked="0"/>
    </xf>
    <xf numFmtId="166" fontId="96" fillId="0" borderId="1" xfId="7" applyNumberFormat="1" applyFont="1" applyFill="1" applyBorder="1" applyProtection="1">
      <protection locked="0"/>
    </xf>
    <xf numFmtId="166" fontId="96" fillId="0" borderId="16" xfId="7" applyNumberFormat="1" applyFont="1" applyFill="1" applyBorder="1" applyProtection="1">
      <protection locked="0"/>
    </xf>
    <xf numFmtId="166" fontId="96" fillId="0" borderId="2" xfId="7" applyNumberFormat="1" applyFont="1" applyFill="1" applyBorder="1" applyProtection="1">
      <protection locked="0"/>
    </xf>
    <xf numFmtId="166" fontId="14" fillId="0" borderId="23" xfId="7" applyNumberFormat="1" applyFont="1" applyFill="1" applyBorder="1"/>
    <xf numFmtId="166" fontId="14" fillId="0" borderId="0" xfId="7" applyNumberFormat="1" applyFont="1" applyFill="1"/>
    <xf numFmtId="166" fontId="32" fillId="0" borderId="23" xfId="7" applyNumberFormat="1" applyFont="1" applyFill="1" applyBorder="1"/>
    <xf numFmtId="166" fontId="17" fillId="0" borderId="31" xfId="7" applyNumberFormat="1" applyFont="1" applyFill="1" applyBorder="1" applyAlignment="1" applyProtection="1">
      <alignment horizontal="right" vertical="center" wrapText="1" indent="1"/>
    </xf>
    <xf numFmtId="166" fontId="17" fillId="0" borderId="19" xfId="7" applyNumberFormat="1" applyFont="1" applyFill="1" applyBorder="1" applyAlignment="1" applyProtection="1">
      <alignment horizontal="right" vertical="center" wrapText="1" indent="1"/>
    </xf>
    <xf numFmtId="166" fontId="33" fillId="0" borderId="23" xfId="7" applyNumberFormat="1" applyFont="1" applyFill="1" applyBorder="1" applyAlignment="1" applyProtection="1">
      <alignment horizontal="right" vertical="center" wrapText="1" indent="1"/>
    </xf>
    <xf numFmtId="166" fontId="1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3" xfId="7" applyNumberFormat="1" applyFont="1" applyFill="1" applyBorder="1" applyAlignment="1" applyProtection="1">
      <alignment horizontal="right" vertical="center" wrapText="1" indent="1"/>
    </xf>
    <xf numFmtId="166" fontId="70" fillId="0" borderId="31" xfId="7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7" applyNumberFormat="1" applyFont="1" applyBorder="1" applyAlignment="1" applyProtection="1">
      <alignment horizontal="right" vertical="center" wrapText="1" indent="1"/>
      <protection locked="0"/>
    </xf>
    <xf numFmtId="166" fontId="70" fillId="0" borderId="21" xfId="7" applyNumberFormat="1" applyFont="1" applyBorder="1" applyAlignment="1" applyProtection="1">
      <alignment horizontal="right" vertical="center" wrapText="1" indent="1"/>
      <protection locked="0"/>
    </xf>
    <xf numFmtId="166" fontId="49" fillId="0" borderId="23" xfId="7" applyNumberFormat="1" applyFont="1" applyBorder="1" applyAlignment="1" applyProtection="1">
      <alignment horizontal="right" vertical="center" wrapText="1" indent="1"/>
    </xf>
    <xf numFmtId="166" fontId="49" fillId="0" borderId="23" xfId="7" quotePrefix="1" applyNumberFormat="1" applyFont="1" applyBorder="1" applyAlignment="1" applyProtection="1">
      <alignment horizontal="right" vertical="center" wrapText="1" indent="1"/>
      <protection locked="0"/>
    </xf>
    <xf numFmtId="166" fontId="4" fillId="0" borderId="18" xfId="7" applyNumberFormat="1" applyFont="1" applyFill="1" applyBorder="1" applyAlignment="1" applyProtection="1">
      <alignment horizontal="right" vertical="center" wrapText="1" indent="1"/>
    </xf>
    <xf numFmtId="166" fontId="4" fillId="0" borderId="16" xfId="7" applyNumberFormat="1" applyFont="1" applyFill="1" applyBorder="1" applyAlignment="1" applyProtection="1">
      <alignment horizontal="right" vertical="center" wrapText="1" indent="1"/>
    </xf>
    <xf numFmtId="166" fontId="1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</xf>
    <xf numFmtId="166" fontId="1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33" fillId="0" borderId="16" xfId="7" applyNumberFormat="1" applyFont="1" applyFill="1" applyBorder="1" applyAlignment="1" applyProtection="1">
      <alignment horizontal="right" vertical="center" wrapText="1" indent="1"/>
    </xf>
    <xf numFmtId="166" fontId="32" fillId="0" borderId="16" xfId="7" applyNumberFormat="1" applyFont="1" applyFill="1" applyBorder="1" applyAlignment="1" applyProtection="1">
      <alignment horizontal="right" vertical="center" wrapText="1" indent="1"/>
    </xf>
    <xf numFmtId="166" fontId="1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3" xfId="7" quotePrefix="1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6" xfId="7" applyNumberFormat="1" applyFont="1" applyFill="1" applyBorder="1" applyAlignment="1" applyProtection="1">
      <alignment horizontal="right" vertical="center" wrapText="1" indent="1"/>
    </xf>
    <xf numFmtId="166" fontId="70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166" fontId="49" fillId="0" borderId="16" xfId="7" applyNumberFormat="1" applyFont="1" applyFill="1" applyBorder="1" applyAlignment="1" applyProtection="1">
      <alignment horizontal="right" vertical="center" wrapText="1" indent="1"/>
    </xf>
    <xf numFmtId="166" fontId="49" fillId="0" borderId="16" xfId="7" quotePrefix="1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44" xfId="7" applyNumberFormat="1" applyFont="1" applyFill="1" applyBorder="1" applyAlignment="1" applyProtection="1">
      <alignment horizontal="right" vertical="center" wrapText="1" indent="1"/>
    </xf>
    <xf numFmtId="166" fontId="17" fillId="0" borderId="79" xfId="7" applyNumberFormat="1" applyFont="1" applyFill="1" applyBorder="1" applyAlignment="1" applyProtection="1">
      <alignment horizontal="right" vertical="center" wrapText="1" indent="1"/>
    </xf>
    <xf numFmtId="166" fontId="0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6" xfId="7" applyNumberFormat="1" applyFont="1" applyFill="1" applyBorder="1" applyAlignment="1" applyProtection="1">
      <alignment horizontal="right" vertical="center" wrapText="1" indent="1"/>
    </xf>
    <xf numFmtId="166" fontId="70" fillId="0" borderId="19" xfId="7" applyNumberFormat="1" applyFont="1" applyFill="1" applyBorder="1"/>
    <xf numFmtId="166" fontId="49" fillId="0" borderId="16" xfId="7" applyNumberFormat="1" applyFont="1" applyFill="1" applyBorder="1"/>
    <xf numFmtId="0" fontId="104" fillId="0" borderId="0" xfId="8" applyFont="1" applyFill="1"/>
    <xf numFmtId="0" fontId="104" fillId="0" borderId="0" xfId="8" applyFont="1" applyFill="1" applyAlignment="1">
      <alignment horizontal="center" vertical="top" wrapText="1"/>
    </xf>
    <xf numFmtId="0" fontId="105" fillId="0" borderId="0" xfId="8" applyFont="1" applyFill="1" applyAlignment="1">
      <alignment horizontal="center" vertical="top" wrapText="1"/>
    </xf>
    <xf numFmtId="0" fontId="105" fillId="0" borderId="0" xfId="8" applyFont="1" applyFill="1"/>
    <xf numFmtId="0" fontId="104" fillId="0" borderId="2" xfId="8" applyFont="1" applyFill="1" applyBorder="1" applyAlignment="1">
      <alignment horizontal="center" vertical="center" wrapText="1"/>
    </xf>
    <xf numFmtId="0" fontId="104" fillId="0" borderId="0" xfId="8" applyFont="1" applyFill="1" applyAlignment="1">
      <alignment vertical="center"/>
    </xf>
    <xf numFmtId="0" fontId="104" fillId="0" borderId="2" xfId="8" applyFont="1" applyFill="1" applyBorder="1" applyAlignment="1">
      <alignment horizontal="center" vertical="top" wrapText="1"/>
    </xf>
    <xf numFmtId="0" fontId="104" fillId="0" borderId="2" xfId="8" applyFont="1" applyFill="1" applyBorder="1" applyAlignment="1">
      <alignment horizontal="left" vertical="top" wrapText="1"/>
    </xf>
    <xf numFmtId="3" fontId="104" fillId="0" borderId="2" xfId="8" applyNumberFormat="1" applyFont="1" applyFill="1" applyBorder="1" applyAlignment="1">
      <alignment horizontal="right" vertical="top" wrapText="1"/>
    </xf>
    <xf numFmtId="0" fontId="15" fillId="0" borderId="2" xfId="8" applyFont="1" applyFill="1" applyBorder="1" applyAlignment="1">
      <alignment horizontal="center" vertical="top" wrapText="1"/>
    </xf>
    <xf numFmtId="0" fontId="15" fillId="0" borderId="2" xfId="8" applyFont="1" applyFill="1" applyBorder="1" applyAlignment="1">
      <alignment horizontal="left" vertical="top" wrapText="1"/>
    </xf>
    <xf numFmtId="3" fontId="15" fillId="0" borderId="2" xfId="8" applyNumberFormat="1" applyFont="1" applyFill="1" applyBorder="1" applyAlignment="1">
      <alignment horizontal="right" vertical="top" wrapText="1"/>
    </xf>
    <xf numFmtId="0" fontId="15" fillId="10" borderId="2" xfId="8" applyFont="1" applyFill="1" applyBorder="1" applyAlignment="1">
      <alignment horizontal="center" vertical="top" wrapText="1"/>
    </xf>
    <xf numFmtId="0" fontId="15" fillId="10" borderId="2" xfId="8" applyFont="1" applyFill="1" applyBorder="1" applyAlignment="1">
      <alignment horizontal="left" vertical="top" wrapText="1"/>
    </xf>
    <xf numFmtId="3" fontId="15" fillId="10" borderId="2" xfId="8" applyNumberFormat="1" applyFont="1" applyFill="1" applyBorder="1" applyAlignment="1">
      <alignment horizontal="right" vertical="top" wrapText="1"/>
    </xf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22" fillId="0" borderId="0" xfId="0" applyFont="1" applyFill="1" applyBorder="1" applyAlignment="1" applyProtection="1">
      <alignment horizontal="right"/>
    </xf>
    <xf numFmtId="0" fontId="28" fillId="0" borderId="17" xfId="4" applyFont="1" applyFill="1" applyBorder="1" applyAlignment="1" applyProtection="1">
      <alignment horizontal="center" vertical="center" wrapText="1"/>
    </xf>
    <xf numFmtId="0" fontId="28" fillId="0" borderId="81" xfId="4" applyFont="1" applyFill="1" applyBorder="1" applyAlignment="1" applyProtection="1">
      <alignment horizontal="center" vertical="center" wrapText="1"/>
    </xf>
    <xf numFmtId="0" fontId="28" fillId="0" borderId="18" xfId="4" applyFont="1" applyFill="1" applyBorder="1" applyAlignment="1" applyProtection="1">
      <alignment horizontal="center" vertical="center" wrapText="1"/>
    </xf>
    <xf numFmtId="0" fontId="28" fillId="0" borderId="34" xfId="4" applyFont="1" applyFill="1" applyBorder="1" applyAlignment="1" applyProtection="1">
      <alignment horizontal="center" vertical="center" wrapText="1"/>
    </xf>
    <xf numFmtId="0" fontId="29" fillId="0" borderId="44" xfId="4" applyFont="1" applyFill="1" applyBorder="1" applyAlignment="1" applyProtection="1">
      <alignment horizontal="center" vertical="center"/>
    </xf>
    <xf numFmtId="0" fontId="29" fillId="0" borderId="16" xfId="4" applyFont="1" applyFill="1" applyBorder="1" applyAlignment="1" applyProtection="1">
      <alignment horizontal="center" vertical="center"/>
    </xf>
    <xf numFmtId="0" fontId="29" fillId="0" borderId="23" xfId="4" applyFont="1" applyFill="1" applyBorder="1" applyAlignment="1" applyProtection="1">
      <alignment horizontal="center" vertical="center"/>
    </xf>
    <xf numFmtId="0" fontId="29" fillId="0" borderId="69" xfId="4" applyFont="1" applyFill="1" applyBorder="1" applyProtection="1"/>
    <xf numFmtId="3" fontId="29" fillId="0" borderId="53" xfId="1" applyNumberFormat="1" applyFont="1" applyFill="1" applyBorder="1" applyAlignment="1" applyProtection="1">
      <alignment horizontal="right"/>
      <protection locked="0"/>
    </xf>
    <xf numFmtId="3" fontId="29" fillId="0" borderId="5" xfId="1" applyNumberFormat="1" applyFont="1" applyFill="1" applyBorder="1" applyAlignment="1" applyProtection="1">
      <alignment horizontal="right"/>
      <protection locked="0"/>
    </xf>
    <xf numFmtId="3" fontId="29" fillId="0" borderId="65" xfId="1" applyNumberFormat="1" applyFont="1" applyFill="1" applyBorder="1" applyAlignment="1" applyProtection="1">
      <alignment horizontal="right"/>
      <protection locked="0"/>
    </xf>
    <xf numFmtId="3" fontId="29" fillId="0" borderId="31" xfId="1" applyNumberFormat="1" applyFont="1" applyFill="1" applyBorder="1" applyAlignment="1" applyProtection="1">
      <alignment horizontal="right"/>
      <protection locked="0"/>
    </xf>
    <xf numFmtId="0" fontId="42" fillId="0" borderId="55" xfId="0" applyFont="1" applyBorder="1" applyAlignment="1">
      <alignment horizontal="justify" wrapText="1"/>
    </xf>
    <xf numFmtId="3" fontId="29" fillId="0" borderId="54" xfId="1" applyNumberFormat="1" applyFont="1" applyFill="1" applyBorder="1" applyAlignment="1" applyProtection="1">
      <alignment horizontal="right"/>
      <protection locked="0"/>
    </xf>
    <xf numFmtId="3" fontId="29" fillId="0" borderId="2" xfId="1" applyNumberFormat="1" applyFont="1" applyFill="1" applyBorder="1" applyAlignment="1" applyProtection="1">
      <alignment horizontal="right"/>
      <protection locked="0"/>
    </xf>
    <xf numFmtId="3" fontId="29" fillId="0" borderId="64" xfId="1" applyNumberFormat="1" applyFont="1" applyFill="1" applyBorder="1" applyAlignment="1" applyProtection="1">
      <alignment horizontal="right"/>
      <protection locked="0"/>
    </xf>
    <xf numFmtId="3" fontId="29" fillId="0" borderId="19" xfId="1" applyNumberFormat="1" applyFont="1" applyFill="1" applyBorder="1" applyAlignment="1" applyProtection="1">
      <alignment horizontal="right"/>
      <protection locked="0"/>
    </xf>
    <xf numFmtId="0" fontId="42" fillId="0" borderId="55" xfId="0" applyFont="1" applyBorder="1" applyAlignment="1">
      <alignment wrapText="1"/>
    </xf>
    <xf numFmtId="3" fontId="42" fillId="0" borderId="2" xfId="0" applyNumberFormat="1" applyFont="1" applyBorder="1" applyAlignment="1">
      <alignment horizontal="right" wrapText="1"/>
    </xf>
    <xf numFmtId="0" fontId="42" fillId="0" borderId="52" xfId="0" applyFont="1" applyBorder="1" applyAlignment="1">
      <alignment wrapText="1"/>
    </xf>
    <xf numFmtId="3" fontId="29" fillId="0" borderId="41" xfId="1" applyNumberFormat="1" applyFont="1" applyFill="1" applyBorder="1" applyAlignment="1" applyProtection="1">
      <alignment horizontal="right"/>
      <protection locked="0"/>
    </xf>
    <xf numFmtId="3" fontId="42" fillId="0" borderId="7" xfId="0" applyNumberFormat="1" applyFont="1" applyBorder="1" applyAlignment="1">
      <alignment horizontal="right" wrapText="1"/>
    </xf>
    <xf numFmtId="3" fontId="29" fillId="0" borderId="42" xfId="1" applyNumberFormat="1" applyFont="1" applyFill="1" applyBorder="1" applyAlignment="1" applyProtection="1">
      <alignment horizontal="right"/>
      <protection locked="0"/>
    </xf>
    <xf numFmtId="3" fontId="29" fillId="0" borderId="21" xfId="1" applyNumberFormat="1" applyFont="1" applyFill="1" applyBorder="1" applyAlignment="1" applyProtection="1">
      <alignment horizontal="right"/>
      <protection locked="0"/>
    </xf>
    <xf numFmtId="3" fontId="28" fillId="0" borderId="45" xfId="1" applyNumberFormat="1" applyFont="1" applyFill="1" applyBorder="1" applyAlignment="1" applyProtection="1">
      <alignment horizontal="right"/>
    </xf>
    <xf numFmtId="0" fontId="106" fillId="0" borderId="0" xfId="0" applyFont="1" applyFill="1" applyBorder="1" applyAlignment="1" applyProtection="1"/>
    <xf numFmtId="0" fontId="32" fillId="0" borderId="7" xfId="4" applyFont="1" applyFill="1" applyBorder="1" applyAlignment="1">
      <alignment horizontal="center" vertical="center" wrapText="1"/>
    </xf>
    <xf numFmtId="0" fontId="14" fillId="0" borderId="15" xfId="4" applyFont="1" applyFill="1" applyBorder="1" applyAlignment="1">
      <alignment horizontal="center" vertical="center"/>
    </xf>
    <xf numFmtId="0" fontId="14" fillId="0" borderId="16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11" xfId="4" applyFont="1" applyFill="1" applyBorder="1" applyAlignment="1">
      <alignment horizontal="center" vertical="center"/>
    </xf>
    <xf numFmtId="0" fontId="14" fillId="0" borderId="4" xfId="4" applyFont="1" applyFill="1" applyBorder="1" applyProtection="1">
      <protection locked="0"/>
    </xf>
    <xf numFmtId="165" fontId="14" fillId="0" borderId="31" xfId="1" applyNumberFormat="1" applyFont="1" applyFill="1" applyBorder="1"/>
    <xf numFmtId="0" fontId="14" fillId="0" borderId="9" xfId="4" applyFont="1" applyFill="1" applyBorder="1" applyAlignment="1">
      <alignment horizontal="center" vertical="center"/>
    </xf>
    <xf numFmtId="0" fontId="14" fillId="0" borderId="2" xfId="4" applyFont="1" applyFill="1" applyBorder="1" applyProtection="1">
      <protection locked="0"/>
    </xf>
    <xf numFmtId="165" fontId="14" fillId="0" borderId="19" xfId="1" applyNumberFormat="1" applyFont="1" applyFill="1" applyBorder="1"/>
    <xf numFmtId="0" fontId="14" fillId="0" borderId="12" xfId="4" applyFont="1" applyFill="1" applyBorder="1" applyAlignment="1">
      <alignment horizontal="center" vertical="center"/>
    </xf>
    <xf numFmtId="0" fontId="14" fillId="0" borderId="7" xfId="4" applyFont="1" applyFill="1" applyBorder="1" applyProtection="1">
      <protection locked="0"/>
    </xf>
    <xf numFmtId="0" fontId="32" fillId="0" borderId="16" xfId="4" applyFont="1" applyFill="1" applyBorder="1"/>
    <xf numFmtId="165" fontId="14" fillId="0" borderId="16" xfId="4" applyNumberFormat="1" applyFont="1" applyFill="1" applyBorder="1"/>
    <xf numFmtId="165" fontId="14" fillId="0" borderId="23" xfId="4" applyNumberFormat="1" applyFont="1" applyFill="1" applyBorder="1"/>
    <xf numFmtId="0" fontId="104" fillId="0" borderId="0" xfId="8" applyFont="1" applyFill="1" applyBorder="1" applyAlignment="1">
      <alignment horizontal="center" vertical="top" wrapText="1"/>
    </xf>
    <xf numFmtId="0" fontId="15" fillId="0" borderId="0" xfId="8" applyFont="1" applyFill="1" applyBorder="1" applyAlignment="1">
      <alignment horizontal="center" vertical="top" wrapText="1"/>
    </xf>
    <xf numFmtId="0" fontId="104" fillId="0" borderId="0" xfId="8" applyFont="1" applyFill="1" applyBorder="1"/>
    <xf numFmtId="0" fontId="104" fillId="0" borderId="13" xfId="8" applyFont="1" applyFill="1" applyBorder="1" applyAlignment="1">
      <alignment horizontal="center" vertical="top" wrapText="1"/>
    </xf>
    <xf numFmtId="0" fontId="104" fillId="0" borderId="5" xfId="8" applyFont="1" applyFill="1" applyBorder="1" applyAlignment="1">
      <alignment horizontal="center" vertical="top" wrapText="1"/>
    </xf>
    <xf numFmtId="0" fontId="104" fillId="0" borderId="5" xfId="0" applyFont="1" applyFill="1" applyBorder="1" applyAlignment="1">
      <alignment horizontal="center" vertical="top" wrapText="1"/>
    </xf>
    <xf numFmtId="0" fontId="104" fillId="0" borderId="61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04" fillId="0" borderId="9" xfId="8" applyFont="1" applyFill="1" applyBorder="1" applyAlignment="1">
      <alignment horizontal="center" vertical="top" wrapText="1"/>
    </xf>
    <xf numFmtId="0" fontId="104" fillId="0" borderId="2" xfId="0" applyFont="1" applyFill="1" applyBorder="1" applyAlignment="1">
      <alignment horizontal="center" vertical="top" wrapText="1"/>
    </xf>
    <xf numFmtId="0" fontId="104" fillId="0" borderId="55" xfId="0" applyFont="1" applyFill="1" applyBorder="1" applyAlignment="1">
      <alignment horizontal="center" vertical="top" wrapText="1"/>
    </xf>
    <xf numFmtId="0" fontId="15" fillId="0" borderId="19" xfId="0" applyFont="1" applyFill="1" applyBorder="1" applyAlignment="1">
      <alignment horizontal="center" vertical="top" wrapText="1"/>
    </xf>
    <xf numFmtId="0" fontId="15" fillId="10" borderId="15" xfId="8" applyFont="1" applyFill="1" applyBorder="1" applyAlignment="1">
      <alignment horizontal="center" vertical="top" wrapText="1"/>
    </xf>
    <xf numFmtId="0" fontId="15" fillId="10" borderId="16" xfId="8" applyFont="1" applyFill="1" applyBorder="1" applyAlignment="1">
      <alignment horizontal="left" vertical="top" wrapText="1"/>
    </xf>
    <xf numFmtId="3" fontId="15" fillId="10" borderId="16" xfId="0" applyNumberFormat="1" applyFont="1" applyFill="1" applyBorder="1" applyAlignment="1">
      <alignment horizontal="right" vertical="top" wrapText="1"/>
    </xf>
    <xf numFmtId="3" fontId="15" fillId="10" borderId="16" xfId="8" applyNumberFormat="1" applyFont="1" applyFill="1" applyBorder="1" applyAlignment="1">
      <alignment horizontal="right" vertical="top" wrapText="1"/>
    </xf>
    <xf numFmtId="3" fontId="15" fillId="10" borderId="35" xfId="0" applyNumberFormat="1" applyFont="1" applyFill="1" applyBorder="1" applyAlignment="1">
      <alignment horizontal="right" vertical="top" wrapText="1"/>
    </xf>
    <xf numFmtId="3" fontId="15" fillId="10" borderId="23" xfId="0" applyNumberFormat="1" applyFont="1" applyFill="1" applyBorder="1" applyAlignment="1">
      <alignment horizontal="right" vertical="top" wrapText="1"/>
    </xf>
    <xf numFmtId="0" fontId="104" fillId="0" borderId="9" xfId="8" applyFont="1" applyBorder="1" applyAlignment="1">
      <alignment horizontal="center" vertical="top" wrapText="1"/>
    </xf>
    <xf numFmtId="0" fontId="104" fillId="0" borderId="2" xfId="8" applyFont="1" applyBorder="1" applyAlignment="1">
      <alignment horizontal="left" vertical="top" wrapText="1"/>
    </xf>
    <xf numFmtId="3" fontId="104" fillId="0" borderId="2" xfId="0" applyNumberFormat="1" applyFont="1" applyBorder="1" applyAlignment="1">
      <alignment horizontal="right" vertical="top" wrapText="1"/>
    </xf>
    <xf numFmtId="3" fontId="104" fillId="0" borderId="2" xfId="8" applyNumberFormat="1" applyFont="1" applyBorder="1" applyAlignment="1">
      <alignment horizontal="right" vertical="top" wrapText="1"/>
    </xf>
    <xf numFmtId="3" fontId="15" fillId="0" borderId="19" xfId="0" applyNumberFormat="1" applyFont="1" applyBorder="1" applyAlignment="1">
      <alignment horizontal="right" vertical="top" wrapText="1"/>
    </xf>
    <xf numFmtId="0" fontId="104" fillId="0" borderId="0" xfId="8" applyFont="1"/>
    <xf numFmtId="0" fontId="15" fillId="0" borderId="15" xfId="8" applyFont="1" applyBorder="1" applyAlignment="1">
      <alignment horizontal="center" vertical="top" wrapText="1"/>
    </xf>
    <xf numFmtId="0" fontId="15" fillId="0" borderId="16" xfId="8" applyFont="1" applyBorder="1" applyAlignment="1">
      <alignment horizontal="left" vertical="top" wrapText="1"/>
    </xf>
    <xf numFmtId="3" fontId="15" fillId="0" borderId="16" xfId="0" applyNumberFormat="1" applyFont="1" applyBorder="1" applyAlignment="1">
      <alignment horizontal="right" vertical="top" wrapText="1"/>
    </xf>
    <xf numFmtId="3" fontId="15" fillId="0" borderId="16" xfId="8" applyNumberFormat="1" applyFont="1" applyBorder="1" applyAlignment="1">
      <alignment horizontal="right" vertical="top" wrapText="1"/>
    </xf>
    <xf numFmtId="3" fontId="15" fillId="0" borderId="23" xfId="0" applyNumberFormat="1" applyFont="1" applyBorder="1" applyAlignment="1">
      <alignment horizontal="right" vertical="top" wrapText="1"/>
    </xf>
    <xf numFmtId="3" fontId="104" fillId="0" borderId="2" xfId="0" applyNumberFormat="1" applyFont="1" applyFill="1" applyBorder="1" applyAlignment="1">
      <alignment horizontal="right" vertical="top" wrapText="1"/>
    </xf>
    <xf numFmtId="3" fontId="15" fillId="0" borderId="19" xfId="0" applyNumberFormat="1" applyFont="1" applyFill="1" applyBorder="1" applyAlignment="1">
      <alignment horizontal="right" vertical="top" wrapText="1"/>
    </xf>
    <xf numFmtId="0" fontId="104" fillId="0" borderId="2" xfId="0" applyFont="1" applyFill="1" applyBorder="1"/>
    <xf numFmtId="0" fontId="104" fillId="0" borderId="2" xfId="8" applyFont="1" applyFill="1" applyBorder="1"/>
    <xf numFmtId="0" fontId="15" fillId="0" borderId="19" xfId="0" applyFont="1" applyFill="1" applyBorder="1"/>
    <xf numFmtId="0" fontId="15" fillId="0" borderId="46" xfId="8" applyFont="1" applyFill="1" applyBorder="1" applyAlignment="1">
      <alignment horizontal="center" vertical="top" wrapText="1"/>
    </xf>
    <xf numFmtId="0" fontId="15" fillId="0" borderId="46" xfId="8" applyFont="1" applyFill="1" applyBorder="1" applyAlignment="1">
      <alignment horizontal="left" vertical="top" wrapText="1"/>
    </xf>
    <xf numFmtId="3" fontId="15" fillId="0" borderId="46" xfId="0" applyNumberFormat="1" applyFont="1" applyFill="1" applyBorder="1" applyAlignment="1">
      <alignment horizontal="right" vertical="top" wrapText="1"/>
    </xf>
    <xf numFmtId="3" fontId="15" fillId="0" borderId="46" xfId="8" applyNumberFormat="1" applyFont="1" applyFill="1" applyBorder="1" applyAlignment="1">
      <alignment horizontal="right" vertical="top" wrapText="1"/>
    </xf>
    <xf numFmtId="0" fontId="104" fillId="0" borderId="65" xfId="8" applyFont="1" applyBorder="1"/>
    <xf numFmtId="0" fontId="104" fillId="0" borderId="64" xfId="8" applyFont="1" applyBorder="1"/>
    <xf numFmtId="0" fontId="104" fillId="0" borderId="12" xfId="8" applyFont="1" applyBorder="1" applyAlignment="1">
      <alignment horizontal="center" vertical="top" wrapText="1"/>
    </xf>
    <xf numFmtId="0" fontId="104" fillId="0" borderId="7" xfId="8" applyFont="1" applyBorder="1" applyAlignment="1">
      <alignment horizontal="left" vertical="top" wrapText="1"/>
    </xf>
    <xf numFmtId="3" fontId="104" fillId="0" borderId="7" xfId="0" applyNumberFormat="1" applyFont="1" applyBorder="1" applyAlignment="1">
      <alignment horizontal="right" vertical="top" wrapText="1"/>
    </xf>
    <xf numFmtId="3" fontId="104" fillId="0" borderId="7" xfId="8" applyNumberFormat="1" applyFont="1" applyBorder="1" applyAlignment="1">
      <alignment horizontal="right" vertical="top" wrapText="1"/>
    </xf>
    <xf numFmtId="3" fontId="15" fillId="0" borderId="21" xfId="0" applyNumberFormat="1" applyFont="1" applyBorder="1" applyAlignment="1">
      <alignment horizontal="right" vertical="top" wrapText="1"/>
    </xf>
    <xf numFmtId="0" fontId="104" fillId="0" borderId="42" xfId="8" applyFont="1" applyBorder="1"/>
    <xf numFmtId="0" fontId="15" fillId="10" borderId="10" xfId="8" applyFont="1" applyFill="1" applyBorder="1" applyAlignment="1">
      <alignment horizontal="center" vertical="top" wrapText="1"/>
    </xf>
    <xf numFmtId="0" fontId="15" fillId="10" borderId="3" xfId="8" applyFont="1" applyFill="1" applyBorder="1" applyAlignment="1">
      <alignment horizontal="left" vertical="top" wrapText="1"/>
    </xf>
    <xf numFmtId="3" fontId="15" fillId="10" borderId="3" xfId="0" applyNumberFormat="1" applyFont="1" applyFill="1" applyBorder="1" applyAlignment="1">
      <alignment horizontal="right" vertical="top" wrapText="1"/>
    </xf>
    <xf numFmtId="3" fontId="15" fillId="10" borderId="3" xfId="8" applyNumberFormat="1" applyFont="1" applyFill="1" applyBorder="1" applyAlignment="1">
      <alignment horizontal="right" vertical="top" wrapText="1"/>
    </xf>
    <xf numFmtId="3" fontId="15" fillId="10" borderId="24" xfId="0" applyNumberFormat="1" applyFont="1" applyFill="1" applyBorder="1" applyAlignment="1">
      <alignment horizontal="right" vertical="top" wrapText="1"/>
    </xf>
    <xf numFmtId="0" fontId="104" fillId="0" borderId="0" xfId="0" applyFont="1"/>
    <xf numFmtId="0" fontId="15" fillId="0" borderId="0" xfId="0" applyFont="1"/>
    <xf numFmtId="3" fontId="104" fillId="0" borderId="0" xfId="0" applyNumberFormat="1" applyFont="1"/>
    <xf numFmtId="0" fontId="104" fillId="0" borderId="0" xfId="0" applyFont="1" applyProtection="1"/>
    <xf numFmtId="0" fontId="105" fillId="0" borderId="0" xfId="0" applyFont="1" applyAlignment="1" applyProtection="1">
      <alignment horizontal="right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/>
    </xf>
    <xf numFmtId="3" fontId="15" fillId="0" borderId="16" xfId="0" applyNumberFormat="1" applyFont="1" applyBorder="1" applyAlignment="1" applyProtection="1">
      <alignment horizontal="center" vertical="center" wrapText="1"/>
    </xf>
    <xf numFmtId="0" fontId="15" fillId="0" borderId="46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 wrapText="1"/>
    </xf>
    <xf numFmtId="0" fontId="104" fillId="0" borderId="13" xfId="0" applyFont="1" applyBorder="1" applyAlignment="1" applyProtection="1">
      <alignment horizontal="right" vertical="center" indent="1"/>
    </xf>
    <xf numFmtId="0" fontId="104" fillId="0" borderId="5" xfId="0" applyFont="1" applyBorder="1" applyAlignment="1" applyProtection="1">
      <alignment horizontal="left" vertical="center" indent="1"/>
      <protection locked="0"/>
    </xf>
    <xf numFmtId="3" fontId="104" fillId="0" borderId="5" xfId="0" applyNumberFormat="1" applyFont="1" applyBorder="1" applyAlignment="1" applyProtection="1">
      <alignment horizontal="right" vertical="center" indent="1"/>
      <protection locked="0"/>
    </xf>
    <xf numFmtId="3" fontId="104" fillId="0" borderId="75" xfId="0" applyNumberFormat="1" applyFont="1" applyBorder="1" applyAlignment="1" applyProtection="1">
      <alignment horizontal="right" vertical="center" indent="1"/>
      <protection locked="0"/>
    </xf>
    <xf numFmtId="0" fontId="104" fillId="0" borderId="9" xfId="0" applyFont="1" applyBorder="1" applyAlignment="1" applyProtection="1">
      <alignment horizontal="right" vertical="center" indent="1"/>
    </xf>
    <xf numFmtId="0" fontId="104" fillId="0" borderId="2" xfId="0" applyFont="1" applyBorder="1" applyAlignment="1" applyProtection="1">
      <alignment horizontal="left" vertical="center" indent="1"/>
      <protection locked="0"/>
    </xf>
    <xf numFmtId="3" fontId="104" fillId="8" borderId="2" xfId="0" applyNumberFormat="1" applyFont="1" applyFill="1" applyBorder="1" applyAlignment="1" applyProtection="1">
      <alignment horizontal="right" vertical="center" indent="1"/>
      <protection locked="0"/>
    </xf>
    <xf numFmtId="3" fontId="104" fillId="0" borderId="64" xfId="0" applyNumberFormat="1" applyFont="1" applyBorder="1" applyAlignment="1" applyProtection="1">
      <alignment horizontal="right" vertical="center" indent="1"/>
      <protection locked="0"/>
    </xf>
    <xf numFmtId="3" fontId="104" fillId="0" borderId="2" xfId="0" applyNumberFormat="1" applyFont="1" applyBorder="1" applyAlignment="1" applyProtection="1">
      <alignment horizontal="right" vertical="center" indent="1"/>
      <protection locked="0"/>
    </xf>
    <xf numFmtId="3" fontId="104" fillId="0" borderId="2" xfId="0" applyNumberFormat="1" applyFont="1" applyFill="1" applyBorder="1" applyAlignment="1" applyProtection="1">
      <alignment horizontal="right" vertical="center" indent="1"/>
      <protection locked="0"/>
    </xf>
    <xf numFmtId="0" fontId="104" fillId="0" borderId="2" xfId="0" applyFont="1" applyBorder="1" applyAlignment="1" applyProtection="1">
      <alignment horizontal="left" vertical="center" wrapText="1" indent="1"/>
      <protection locked="0"/>
    </xf>
    <xf numFmtId="0" fontId="15" fillId="8" borderId="9" xfId="0" applyFont="1" applyFill="1" applyBorder="1" applyAlignment="1" applyProtection="1">
      <alignment horizontal="right" vertical="center" indent="1"/>
    </xf>
    <xf numFmtId="0" fontId="15" fillId="8" borderId="2" xfId="0" applyFont="1" applyFill="1" applyBorder="1" applyAlignment="1" applyProtection="1">
      <alignment horizontal="left" vertical="center" indent="1"/>
      <protection locked="0"/>
    </xf>
    <xf numFmtId="3" fontId="15" fillId="8" borderId="2" xfId="0" applyNumberFormat="1" applyFont="1" applyFill="1" applyBorder="1" applyAlignment="1" applyProtection="1">
      <alignment horizontal="right" vertical="center" indent="1"/>
      <protection locked="0"/>
    </xf>
    <xf numFmtId="0" fontId="104" fillId="8" borderId="0" xfId="0" applyFont="1" applyFill="1"/>
    <xf numFmtId="3" fontId="15" fillId="10" borderId="16" xfId="0" applyNumberFormat="1" applyFont="1" applyFill="1" applyBorder="1" applyAlignment="1" applyProtection="1">
      <alignment horizontal="right" vertical="center" indent="1"/>
    </xf>
    <xf numFmtId="3" fontId="15" fillId="10" borderId="46" xfId="0" applyNumberFormat="1" applyFont="1" applyFill="1" applyBorder="1" applyAlignment="1" applyProtection="1">
      <alignment horizontal="right" vertical="center" indent="1"/>
    </xf>
    <xf numFmtId="0" fontId="0" fillId="8" borderId="0" xfId="0" applyFill="1"/>
    <xf numFmtId="0" fontId="72" fillId="8" borderId="0" xfId="0" applyFont="1" applyFill="1"/>
    <xf numFmtId="0" fontId="0" fillId="8" borderId="0" xfId="0" applyFill="1" applyAlignment="1"/>
    <xf numFmtId="0" fontId="17" fillId="8" borderId="0" xfId="0" applyFont="1" applyFill="1" applyAlignment="1"/>
    <xf numFmtId="3" fontId="49" fillId="8" borderId="23" xfId="0" applyNumberFormat="1" applyFont="1" applyFill="1" applyBorder="1" applyAlignment="1">
      <alignment horizontal="center" vertical="center" wrapText="1"/>
    </xf>
    <xf numFmtId="0" fontId="4" fillId="8" borderId="38" xfId="4" applyFont="1" applyFill="1" applyBorder="1" applyAlignment="1" applyProtection="1">
      <alignment horizontal="center" vertical="center" wrapText="1"/>
    </xf>
    <xf numFmtId="0" fontId="17" fillId="8" borderId="0" xfId="0" applyFont="1" applyFill="1" applyAlignment="1">
      <alignment vertical="center"/>
    </xf>
    <xf numFmtId="3" fontId="70" fillId="8" borderId="22" xfId="0" applyNumberFormat="1" applyFont="1" applyFill="1" applyBorder="1" applyAlignment="1">
      <alignment horizontal="right" wrapText="1"/>
    </xf>
    <xf numFmtId="0" fontId="70" fillId="8" borderId="2" xfId="0" applyFont="1" applyFill="1" applyBorder="1" applyAlignment="1">
      <alignment horizontal="center" vertical="center" wrapText="1"/>
    </xf>
    <xf numFmtId="0" fontId="70" fillId="8" borderId="2" xfId="0" applyFont="1" applyFill="1" applyBorder="1" applyAlignment="1">
      <alignment horizontal="left" vertical="center" wrapText="1"/>
    </xf>
    <xf numFmtId="3" fontId="70" fillId="8" borderId="19" xfId="0" applyNumberFormat="1" applyFont="1" applyFill="1" applyBorder="1" applyAlignment="1">
      <alignment horizontal="right" wrapText="1"/>
    </xf>
    <xf numFmtId="0" fontId="71" fillId="8" borderId="2" xfId="0" applyFont="1" applyFill="1" applyBorder="1" applyAlignment="1">
      <alignment horizontal="left" vertical="center" wrapText="1" indent="3"/>
    </xf>
    <xf numFmtId="3" fontId="71" fillId="8" borderId="19" xfId="0" applyNumberFormat="1" applyFont="1" applyFill="1" applyBorder="1" applyAlignment="1">
      <alignment horizontal="right" wrapText="1"/>
    </xf>
    <xf numFmtId="0" fontId="70" fillId="8" borderId="2" xfId="0" applyFont="1" applyFill="1" applyBorder="1" applyAlignment="1">
      <alignment horizontal="right" vertical="center" wrapText="1"/>
    </xf>
    <xf numFmtId="3" fontId="71" fillId="8" borderId="19" xfId="0" applyNumberFormat="1" applyFont="1" applyFill="1" applyBorder="1" applyAlignment="1">
      <alignment horizontal="right" vertical="center"/>
    </xf>
    <xf numFmtId="0" fontId="70" fillId="8" borderId="2" xfId="0" applyFont="1" applyFill="1" applyBorder="1" applyAlignment="1">
      <alignment horizontal="justify" vertical="center" wrapText="1"/>
    </xf>
    <xf numFmtId="3" fontId="70" fillId="8" borderId="19" xfId="0" applyNumberFormat="1" applyFont="1" applyFill="1" applyBorder="1" applyAlignment="1">
      <alignment horizontal="right" vertical="center"/>
    </xf>
    <xf numFmtId="0" fontId="73" fillId="8" borderId="7" xfId="0" applyFont="1" applyFill="1" applyBorder="1" applyAlignment="1">
      <alignment horizontal="center" wrapText="1"/>
    </xf>
    <xf numFmtId="3" fontId="73" fillId="8" borderId="21" xfId="0" applyNumberFormat="1" applyFont="1" applyFill="1" applyBorder="1" applyAlignment="1">
      <alignment horizontal="right" vertical="center"/>
    </xf>
    <xf numFmtId="3" fontId="73" fillId="8" borderId="23" xfId="0" applyNumberFormat="1" applyFont="1" applyFill="1" applyBorder="1" applyAlignment="1">
      <alignment horizontal="right" vertical="center"/>
    </xf>
    <xf numFmtId="3" fontId="70" fillId="8" borderId="22" xfId="0" applyNumberFormat="1" applyFont="1" applyFill="1" applyBorder="1" applyAlignment="1">
      <alignment horizontal="right" vertical="center"/>
    </xf>
    <xf numFmtId="0" fontId="91" fillId="8" borderId="2" xfId="0" applyFont="1" applyFill="1" applyBorder="1" applyAlignment="1">
      <alignment horizontal="right" vertical="center" wrapText="1"/>
    </xf>
    <xf numFmtId="0" fontId="92" fillId="8" borderId="2" xfId="0" applyFont="1" applyFill="1" applyBorder="1" applyAlignment="1">
      <alignment horizontal="left" vertical="center" wrapText="1" indent="3"/>
    </xf>
    <xf numFmtId="3" fontId="92" fillId="8" borderId="19" xfId="0" applyNumberFormat="1" applyFont="1" applyFill="1" applyBorder="1" applyAlignment="1">
      <alignment horizontal="right" vertical="center"/>
    </xf>
    <xf numFmtId="0" fontId="93" fillId="8" borderId="0" xfId="0" applyFont="1" applyFill="1"/>
    <xf numFmtId="0" fontId="93" fillId="8" borderId="0" xfId="0" applyFont="1" applyFill="1" applyAlignment="1" applyProtection="1">
      <alignment vertical="center"/>
    </xf>
    <xf numFmtId="3" fontId="72" fillId="8" borderId="19" xfId="0" applyNumberFormat="1" applyFont="1" applyFill="1" applyBorder="1" applyAlignment="1">
      <alignment horizontal="right" vertical="center"/>
    </xf>
    <xf numFmtId="0" fontId="0" fillId="8" borderId="0" xfId="0" applyFont="1" applyFill="1"/>
    <xf numFmtId="0" fontId="91" fillId="8" borderId="2" xfId="0" applyFont="1" applyFill="1" applyBorder="1" applyAlignment="1">
      <alignment vertical="center" wrapText="1"/>
    </xf>
    <xf numFmtId="0" fontId="91" fillId="8" borderId="32" xfId="0" applyFont="1" applyFill="1" applyBorder="1" applyAlignment="1">
      <alignment vertical="center" wrapText="1"/>
    </xf>
    <xf numFmtId="0" fontId="91" fillId="8" borderId="32" xfId="0" applyFont="1" applyFill="1" applyBorder="1" applyAlignment="1">
      <alignment horizontal="right" vertical="center" wrapText="1"/>
    </xf>
    <xf numFmtId="0" fontId="92" fillId="8" borderId="32" xfId="0" applyFont="1" applyFill="1" applyBorder="1" applyAlignment="1">
      <alignment horizontal="left" vertical="center" wrapText="1" indent="3"/>
    </xf>
    <xf numFmtId="3" fontId="92" fillId="8" borderId="21" xfId="0" applyNumberFormat="1" applyFont="1" applyFill="1" applyBorder="1" applyAlignment="1">
      <alignment horizontal="right" vertical="center"/>
    </xf>
    <xf numFmtId="0" fontId="49" fillId="8" borderId="5" xfId="0" applyFont="1" applyFill="1" applyBorder="1" applyAlignment="1">
      <alignment horizontal="center" vertical="center" wrapText="1"/>
    </xf>
    <xf numFmtId="3" fontId="49" fillId="8" borderId="22" xfId="0" applyNumberFormat="1" applyFont="1" applyFill="1" applyBorder="1" applyAlignment="1">
      <alignment horizontal="right" vertical="center"/>
    </xf>
    <xf numFmtId="0" fontId="32" fillId="8" borderId="0" xfId="0" applyFont="1" applyFill="1"/>
    <xf numFmtId="3" fontId="49" fillId="8" borderId="19" xfId="0" applyNumberFormat="1" applyFont="1" applyFill="1" applyBorder="1" applyAlignment="1">
      <alignment horizontal="right" vertical="center"/>
    </xf>
    <xf numFmtId="3" fontId="73" fillId="8" borderId="19" xfId="0" applyNumberFormat="1" applyFont="1" applyFill="1" applyBorder="1" applyAlignment="1">
      <alignment horizontal="right" vertical="center"/>
    </xf>
    <xf numFmtId="0" fontId="72" fillId="8" borderId="2" xfId="0" applyFont="1" applyFill="1" applyBorder="1" applyAlignment="1">
      <alignment horizontal="center" vertical="center" wrapText="1"/>
    </xf>
    <xf numFmtId="0" fontId="72" fillId="8" borderId="2" xfId="0" applyFont="1" applyFill="1" applyBorder="1" applyAlignment="1">
      <alignment horizontal="justify" vertical="center" wrapText="1"/>
    </xf>
    <xf numFmtId="0" fontId="72" fillId="8" borderId="7" xfId="0" applyFont="1" applyFill="1" applyBorder="1" applyAlignment="1">
      <alignment horizontal="center" vertical="center" wrapText="1"/>
    </xf>
    <xf numFmtId="0" fontId="72" fillId="8" borderId="7" xfId="0" applyFont="1" applyFill="1" applyBorder="1" applyAlignment="1">
      <alignment horizontal="justify" vertical="center" wrapText="1"/>
    </xf>
    <xf numFmtId="3" fontId="72" fillId="8" borderId="21" xfId="0" applyNumberFormat="1" applyFont="1" applyFill="1" applyBorder="1" applyAlignment="1">
      <alignment horizontal="right" vertical="center"/>
    </xf>
    <xf numFmtId="3" fontId="72" fillId="8" borderId="22" xfId="0" applyNumberFormat="1" applyFont="1" applyFill="1" applyBorder="1" applyAlignment="1">
      <alignment horizontal="right" vertical="center"/>
    </xf>
    <xf numFmtId="0" fontId="81" fillId="8" borderId="2" xfId="0" applyFont="1" applyFill="1" applyBorder="1" applyAlignment="1">
      <alignment horizontal="left" vertical="center" wrapText="1" indent="2"/>
    </xf>
    <xf numFmtId="3" fontId="81" fillId="8" borderId="19" xfId="0" applyNumberFormat="1" applyFont="1" applyFill="1" applyBorder="1" applyAlignment="1">
      <alignment horizontal="right" vertical="center"/>
    </xf>
    <xf numFmtId="0" fontId="81" fillId="8" borderId="2" xfId="0" applyFont="1" applyFill="1" applyBorder="1" applyAlignment="1">
      <alignment horizontal="left" vertical="center" wrapText="1" indent="4"/>
    </xf>
    <xf numFmtId="0" fontId="81" fillId="8" borderId="7" xfId="0" applyFont="1" applyFill="1" applyBorder="1" applyAlignment="1">
      <alignment horizontal="left" vertical="center" wrapText="1" indent="4"/>
    </xf>
    <xf numFmtId="3" fontId="81" fillId="8" borderId="21" xfId="0" applyNumberFormat="1" applyFont="1" applyFill="1" applyBorder="1" applyAlignment="1">
      <alignment horizontal="right" vertical="center"/>
    </xf>
    <xf numFmtId="0" fontId="73" fillId="8" borderId="0" xfId="0" applyFont="1" applyFill="1" applyBorder="1" applyAlignment="1">
      <alignment horizontal="center" vertical="center" wrapText="1"/>
    </xf>
    <xf numFmtId="0" fontId="73" fillId="8" borderId="0" xfId="0" applyFont="1" applyFill="1" applyBorder="1" applyAlignment="1">
      <alignment horizontal="left" vertical="center" wrapText="1"/>
    </xf>
    <xf numFmtId="3" fontId="73" fillId="8" borderId="0" xfId="0" applyNumberFormat="1" applyFont="1" applyFill="1" applyBorder="1" applyAlignment="1">
      <alignment horizontal="right" vertical="center"/>
    </xf>
    <xf numFmtId="3" fontId="73" fillId="8" borderId="25" xfId="0" applyNumberFormat="1" applyFont="1" applyFill="1" applyBorder="1" applyAlignment="1">
      <alignment horizontal="right" vertical="center"/>
    </xf>
    <xf numFmtId="3" fontId="0" fillId="8" borderId="0" xfId="0" applyNumberFormat="1" applyFill="1"/>
    <xf numFmtId="0" fontId="1" fillId="8" borderId="0" xfId="9" applyFill="1"/>
    <xf numFmtId="3" fontId="49" fillId="8" borderId="23" xfId="9" applyNumberFormat="1" applyFont="1" applyFill="1" applyBorder="1" applyAlignment="1">
      <alignment horizontal="center" vertical="center" wrapText="1"/>
    </xf>
    <xf numFmtId="0" fontId="73" fillId="8" borderId="12" xfId="9" applyFont="1" applyFill="1" applyBorder="1" applyAlignment="1">
      <alignment horizontal="center" vertical="center"/>
    </xf>
    <xf numFmtId="3" fontId="73" fillId="8" borderId="21" xfId="9" applyNumberFormat="1" applyFont="1" applyFill="1" applyBorder="1" applyAlignment="1">
      <alignment horizontal="right" vertical="center"/>
    </xf>
    <xf numFmtId="3" fontId="49" fillId="8" borderId="21" xfId="9" applyNumberFormat="1" applyFont="1" applyFill="1" applyBorder="1" applyAlignment="1">
      <alignment horizontal="right" vertical="center"/>
    </xf>
    <xf numFmtId="0" fontId="73" fillId="8" borderId="14" xfId="9" applyFont="1" applyFill="1" applyBorder="1" applyAlignment="1">
      <alignment horizontal="center" vertical="center"/>
    </xf>
    <xf numFmtId="3" fontId="73" fillId="8" borderId="33" xfId="9" applyNumberFormat="1" applyFont="1" applyFill="1" applyBorder="1" applyAlignment="1">
      <alignment horizontal="right" vertical="center"/>
    </xf>
    <xf numFmtId="3" fontId="49" fillId="8" borderId="33" xfId="9" applyNumberFormat="1" applyFont="1" applyFill="1" applyBorder="1" applyAlignment="1">
      <alignment horizontal="right" vertical="center"/>
    </xf>
    <xf numFmtId="3" fontId="73" fillId="8" borderId="25" xfId="9" applyNumberFormat="1" applyFont="1" applyFill="1" applyBorder="1" applyAlignment="1">
      <alignment horizontal="right" vertical="center"/>
    </xf>
    <xf numFmtId="0" fontId="82" fillId="8" borderId="0" xfId="9" applyFont="1" applyFill="1" applyBorder="1" applyAlignment="1">
      <alignment horizontal="center" vertical="center" wrapText="1"/>
    </xf>
    <xf numFmtId="0" fontId="73" fillId="8" borderId="9" xfId="9" applyFont="1" applyFill="1" applyBorder="1" applyAlignment="1">
      <alignment horizontal="center" vertical="center"/>
    </xf>
    <xf numFmtId="3" fontId="73" fillId="8" borderId="19" xfId="9" applyNumberFormat="1" applyFont="1" applyFill="1" applyBorder="1" applyAlignment="1">
      <alignment horizontal="right" vertical="center"/>
    </xf>
    <xf numFmtId="3" fontId="49" fillId="8" borderId="19" xfId="9" applyNumberFormat="1" applyFont="1" applyFill="1" applyBorder="1" applyAlignment="1">
      <alignment horizontal="right" vertical="center"/>
    </xf>
    <xf numFmtId="3" fontId="104" fillId="8" borderId="5" xfId="0" applyNumberFormat="1" applyFont="1" applyFill="1" applyBorder="1" applyAlignment="1" applyProtection="1">
      <alignment horizontal="right" vertical="center" indent="1"/>
      <protection locked="0"/>
    </xf>
    <xf numFmtId="3" fontId="104" fillId="8" borderId="64" xfId="0" applyNumberFormat="1" applyFont="1" applyFill="1" applyBorder="1" applyAlignment="1" applyProtection="1">
      <alignment horizontal="right" vertical="center" indent="1"/>
      <protection locked="0"/>
    </xf>
    <xf numFmtId="0" fontId="104" fillId="8" borderId="2" xfId="0" applyFont="1" applyFill="1" applyBorder="1" applyAlignment="1" applyProtection="1">
      <alignment horizontal="left" vertical="center" indent="1"/>
      <protection locked="0"/>
    </xf>
    <xf numFmtId="0" fontId="104" fillId="0" borderId="12" xfId="0" applyFont="1" applyBorder="1" applyAlignment="1" applyProtection="1">
      <alignment horizontal="right" vertical="center" indent="1"/>
    </xf>
    <xf numFmtId="0" fontId="104" fillId="0" borderId="7" xfId="0" applyFont="1" applyBorder="1" applyAlignment="1" applyProtection="1">
      <alignment horizontal="left" vertical="center" indent="1"/>
      <protection locked="0"/>
    </xf>
    <xf numFmtId="3" fontId="104" fillId="0" borderId="7" xfId="0" applyNumberFormat="1" applyFont="1" applyBorder="1" applyAlignment="1" applyProtection="1">
      <alignment horizontal="right" vertical="center" indent="1"/>
      <protection locked="0"/>
    </xf>
    <xf numFmtId="3" fontId="104" fillId="0" borderId="42" xfId="0" applyNumberFormat="1" applyFont="1" applyBorder="1" applyAlignment="1" applyProtection="1">
      <alignment horizontal="right" vertical="center" indent="1"/>
      <protection locked="0"/>
    </xf>
    <xf numFmtId="0" fontId="104" fillId="0" borderId="14" xfId="0" applyFont="1" applyBorder="1" applyAlignment="1" applyProtection="1">
      <alignment horizontal="right" vertical="center" indent="1"/>
    </xf>
    <xf numFmtId="0" fontId="104" fillId="0" borderId="32" xfId="0" applyFont="1" applyBorder="1" applyAlignment="1" applyProtection="1">
      <alignment horizontal="left" vertical="center" indent="1"/>
      <protection locked="0"/>
    </xf>
    <xf numFmtId="3" fontId="104" fillId="0" borderId="32" xfId="0" applyNumberFormat="1" applyFont="1" applyBorder="1" applyAlignment="1" applyProtection="1">
      <alignment horizontal="right" vertical="center" indent="1"/>
      <protection locked="0"/>
    </xf>
    <xf numFmtId="3" fontId="104" fillId="0" borderId="33" xfId="0" applyNumberFormat="1" applyFont="1" applyBorder="1" applyAlignment="1" applyProtection="1">
      <alignment horizontal="right" vertical="center" indent="1"/>
      <protection locked="0"/>
    </xf>
    <xf numFmtId="3" fontId="104" fillId="0" borderId="19" xfId="0" applyNumberFormat="1" applyFont="1" applyBorder="1" applyAlignment="1" applyProtection="1">
      <alignment horizontal="right" vertical="center" indent="1"/>
      <protection locked="0"/>
    </xf>
    <xf numFmtId="0" fontId="70" fillId="8" borderId="7" xfId="0" applyFont="1" applyFill="1" applyBorder="1" applyAlignment="1">
      <alignment horizontal="center" vertical="center" wrapText="1"/>
    </xf>
    <xf numFmtId="3" fontId="70" fillId="8" borderId="21" xfId="0" applyNumberFormat="1" applyFont="1" applyFill="1" applyBorder="1" applyAlignment="1">
      <alignment horizontal="right" vertical="center"/>
    </xf>
    <xf numFmtId="0" fontId="70" fillId="8" borderId="2" xfId="0" applyFont="1" applyFill="1" applyBorder="1" applyAlignment="1">
      <alignment vertical="center" wrapText="1"/>
    </xf>
    <xf numFmtId="0" fontId="73" fillId="8" borderId="32" xfId="0" applyFont="1" applyFill="1" applyBorder="1" applyAlignment="1">
      <alignment horizontal="center" vertical="center" wrapText="1"/>
    </xf>
    <xf numFmtId="3" fontId="72" fillId="8" borderId="32" xfId="0" applyNumberFormat="1" applyFont="1" applyFill="1" applyBorder="1" applyAlignment="1">
      <alignment horizontal="right" vertical="center"/>
    </xf>
    <xf numFmtId="3" fontId="72" fillId="8" borderId="33" xfId="0" applyNumberFormat="1" applyFont="1" applyFill="1" applyBorder="1" applyAlignment="1">
      <alignment horizontal="right" vertical="center"/>
    </xf>
    <xf numFmtId="3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14" fontId="15" fillId="0" borderId="0" xfId="0" applyNumberFormat="1" applyFont="1" applyFill="1" applyAlignment="1">
      <alignment horizontal="center" vertical="center" wrapText="1"/>
    </xf>
    <xf numFmtId="10" fontId="15" fillId="0" borderId="0" xfId="0" applyNumberFormat="1" applyFont="1" applyFill="1" applyAlignment="1">
      <alignment horizontal="center" vertical="center" wrapText="1"/>
    </xf>
    <xf numFmtId="0" fontId="104" fillId="10" borderId="13" xfId="0" applyFont="1" applyFill="1" applyBorder="1" applyAlignment="1">
      <alignment horizontal="center" vertical="top" wrapText="1"/>
    </xf>
    <xf numFmtId="0" fontId="104" fillId="10" borderId="5" xfId="0" applyFont="1" applyFill="1" applyBorder="1" applyAlignment="1">
      <alignment horizontal="center" vertical="top" wrapText="1"/>
    </xf>
    <xf numFmtId="10" fontId="104" fillId="10" borderId="22" xfId="0" applyNumberFormat="1" applyFont="1" applyFill="1" applyBorder="1" applyAlignment="1">
      <alignment horizontal="center" vertical="top" wrapText="1"/>
    </xf>
    <xf numFmtId="0" fontId="104" fillId="10" borderId="14" xfId="0" applyFont="1" applyFill="1" applyBorder="1" applyAlignment="1">
      <alignment horizontal="center" vertical="top" wrapText="1"/>
    </xf>
    <xf numFmtId="0" fontId="104" fillId="10" borderId="32" xfId="0" applyFont="1" applyFill="1" applyBorder="1" applyAlignment="1">
      <alignment horizontal="center" vertical="top" wrapText="1"/>
    </xf>
    <xf numFmtId="0" fontId="104" fillId="10" borderId="33" xfId="0" applyFont="1" applyFill="1" applyBorder="1" applyAlignment="1">
      <alignment horizontal="center" vertical="top" wrapText="1"/>
    </xf>
    <xf numFmtId="0" fontId="15" fillId="10" borderId="15" xfId="0" applyFont="1" applyFill="1" applyBorder="1" applyAlignment="1">
      <alignment horizontal="center" vertical="top" wrapText="1"/>
    </xf>
    <xf numFmtId="0" fontId="15" fillId="10" borderId="16" xfId="0" applyFont="1" applyFill="1" applyBorder="1" applyAlignment="1">
      <alignment horizontal="left" vertical="top" wrapText="1"/>
    </xf>
    <xf numFmtId="0" fontId="104" fillId="10" borderId="16" xfId="0" applyFont="1" applyFill="1" applyBorder="1"/>
    <xf numFmtId="10" fontId="104" fillId="10" borderId="23" xfId="0" applyNumberFormat="1" applyFont="1" applyFill="1" applyBorder="1"/>
    <xf numFmtId="0" fontId="104" fillId="0" borderId="4" xfId="0" applyFont="1" applyBorder="1" applyAlignment="1">
      <alignment horizontal="center" vertical="top" wrapText="1"/>
    </xf>
    <xf numFmtId="0" fontId="104" fillId="0" borderId="4" xfId="0" applyFont="1" applyBorder="1" applyAlignment="1">
      <alignment horizontal="left" vertical="top" wrapText="1"/>
    </xf>
    <xf numFmtId="3" fontId="104" fillId="0" borderId="4" xfId="0" applyNumberFormat="1" applyFont="1" applyBorder="1" applyAlignment="1">
      <alignment horizontal="right" vertical="top" wrapText="1"/>
    </xf>
    <xf numFmtId="10" fontId="104" fillId="0" borderId="31" xfId="0" applyNumberFormat="1" applyFont="1" applyBorder="1" applyAlignment="1">
      <alignment horizontal="right" vertical="top" wrapText="1"/>
    </xf>
    <xf numFmtId="0" fontId="104" fillId="0" borderId="2" xfId="0" applyFont="1" applyBorder="1" applyAlignment="1">
      <alignment horizontal="center" vertical="top" wrapText="1"/>
    </xf>
    <xf numFmtId="0" fontId="104" fillId="0" borderId="2" xfId="0" applyFont="1" applyBorder="1" applyAlignment="1">
      <alignment horizontal="left" vertical="top" wrapText="1"/>
    </xf>
    <xf numFmtId="10" fontId="104" fillId="0" borderId="19" xfId="0" applyNumberFormat="1" applyFont="1" applyBorder="1" applyAlignment="1">
      <alignment horizontal="right" vertical="top" wrapText="1"/>
    </xf>
    <xf numFmtId="0" fontId="104" fillId="0" borderId="7" xfId="0" applyFont="1" applyBorder="1" applyAlignment="1">
      <alignment horizontal="center" vertical="top" wrapText="1"/>
    </xf>
    <xf numFmtId="0" fontId="104" fillId="0" borderId="7" xfId="0" applyFont="1" applyBorder="1" applyAlignment="1">
      <alignment horizontal="left" vertical="top" wrapText="1"/>
    </xf>
    <xf numFmtId="10" fontId="104" fillId="0" borderId="21" xfId="0" applyNumberFormat="1" applyFont="1" applyBorder="1" applyAlignment="1">
      <alignment horizontal="right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left" vertical="top" wrapText="1"/>
    </xf>
    <xf numFmtId="10" fontId="15" fillId="0" borderId="23" xfId="0" applyNumberFormat="1" applyFont="1" applyBorder="1" applyAlignment="1">
      <alignment horizontal="right" vertical="top" wrapText="1"/>
    </xf>
    <xf numFmtId="10" fontId="15" fillId="10" borderId="23" xfId="0" applyNumberFormat="1" applyFont="1" applyFill="1" applyBorder="1" applyAlignment="1">
      <alignment horizontal="right" vertical="top" wrapText="1"/>
    </xf>
    <xf numFmtId="0" fontId="15" fillId="0" borderId="60" xfId="0" applyFont="1" applyFill="1" applyBorder="1" applyAlignment="1">
      <alignment horizontal="center" vertical="top" wrapText="1"/>
    </xf>
    <xf numFmtId="0" fontId="15" fillId="0" borderId="60" xfId="0" applyFont="1" applyFill="1" applyBorder="1" applyAlignment="1">
      <alignment horizontal="left" vertical="top" wrapText="1"/>
    </xf>
    <xf numFmtId="10" fontId="15" fillId="0" borderId="46" xfId="0" applyNumberFormat="1" applyFont="1" applyFill="1" applyBorder="1" applyAlignment="1">
      <alignment horizontal="right" vertical="top" wrapText="1"/>
    </xf>
    <xf numFmtId="10" fontId="104" fillId="0" borderId="0" xfId="0" applyNumberFormat="1" applyFont="1"/>
    <xf numFmtId="0" fontId="97" fillId="0" borderId="0" xfId="0" applyFont="1" applyAlignment="1"/>
    <xf numFmtId="0" fontId="70" fillId="0" borderId="0" xfId="0" applyFont="1"/>
    <xf numFmtId="0" fontId="70" fillId="0" borderId="0" xfId="0" applyFont="1" applyAlignment="1"/>
    <xf numFmtId="0" fontId="49" fillId="0" borderId="0" xfId="0" applyFont="1" applyAlignment="1"/>
    <xf numFmtId="0" fontId="49" fillId="0" borderId="0" xfId="0" applyFont="1" applyAlignment="1">
      <alignment horizontal="justify"/>
    </xf>
    <xf numFmtId="167" fontId="70" fillId="0" borderId="0" xfId="0" applyNumberFormat="1" applyFont="1"/>
    <xf numFmtId="4" fontId="70" fillId="0" borderId="0" xfId="0" applyNumberFormat="1" applyFont="1" applyAlignment="1">
      <alignment horizontal="center"/>
    </xf>
    <xf numFmtId="0" fontId="49" fillId="0" borderId="85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top" wrapText="1"/>
    </xf>
    <xf numFmtId="0" fontId="70" fillId="0" borderId="89" xfId="0" applyFont="1" applyBorder="1" applyAlignment="1">
      <alignment horizontal="center" vertical="top" wrapText="1"/>
    </xf>
    <xf numFmtId="0" fontId="70" fillId="0" borderId="91" xfId="0" applyFont="1" applyBorder="1" applyAlignment="1">
      <alignment horizontal="center" vertical="top" wrapText="1"/>
    </xf>
    <xf numFmtId="0" fontId="70" fillId="0" borderId="90" xfId="0" applyFont="1" applyBorder="1" applyAlignment="1">
      <alignment horizontal="center" vertical="top" wrapText="1"/>
    </xf>
    <xf numFmtId="0" fontId="70" fillId="0" borderId="93" xfId="0" applyFont="1" applyBorder="1" applyAlignment="1">
      <alignment horizontal="center" vertical="top" wrapText="1"/>
    </xf>
    <xf numFmtId="0" fontId="49" fillId="0" borderId="91" xfId="0" applyFont="1" applyBorder="1" applyAlignment="1">
      <alignment horizontal="center" vertical="top" wrapText="1"/>
    </xf>
    <xf numFmtId="0" fontId="70" fillId="0" borderId="91" xfId="0" applyFont="1" applyBorder="1" applyAlignment="1">
      <alignment vertical="top" wrapText="1"/>
    </xf>
    <xf numFmtId="0" fontId="70" fillId="0" borderId="90" xfId="0" applyFont="1" applyBorder="1" applyAlignment="1">
      <alignment vertical="top" wrapText="1"/>
    </xf>
    <xf numFmtId="164" fontId="70" fillId="0" borderId="11" xfId="0" applyNumberFormat="1" applyFont="1" applyFill="1" applyBorder="1" applyAlignment="1">
      <alignment horizontal="left" vertical="center" wrapText="1"/>
    </xf>
    <xf numFmtId="3" fontId="70" fillId="0" borderId="2" xfId="0" applyNumberFormat="1" applyFont="1" applyFill="1" applyBorder="1"/>
    <xf numFmtId="3" fontId="70" fillId="0" borderId="2" xfId="0" applyNumberFormat="1" applyFont="1" applyFill="1" applyBorder="1" applyAlignment="1">
      <alignment vertical="center"/>
    </xf>
    <xf numFmtId="3" fontId="70" fillId="0" borderId="7" xfId="0" applyNumberFormat="1" applyFont="1" applyFill="1" applyBorder="1"/>
    <xf numFmtId="166" fontId="70" fillId="0" borderId="19" xfId="7" applyNumberFormat="1" applyFont="1" applyFill="1" applyBorder="1" applyAlignment="1">
      <alignment horizontal="right" vertical="center"/>
    </xf>
    <xf numFmtId="0" fontId="70" fillId="0" borderId="92" xfId="0" applyFont="1" applyBorder="1" applyAlignment="1">
      <alignment horizontal="center" vertical="top" wrapText="1"/>
    </xf>
    <xf numFmtId="0" fontId="70" fillId="0" borderId="90" xfId="0" applyFont="1" applyBorder="1" applyAlignment="1">
      <alignment horizontal="center" vertical="top" wrapText="1"/>
    </xf>
    <xf numFmtId="0" fontId="70" fillId="0" borderId="0" xfId="0" applyFont="1" applyAlignment="1">
      <alignment horizontal="right"/>
    </xf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49" fillId="0" borderId="82" xfId="0" applyFont="1" applyBorder="1" applyAlignment="1">
      <alignment horizontal="center" vertical="top" wrapText="1"/>
    </xf>
    <xf numFmtId="0" fontId="49" fillId="0" borderId="83" xfId="0" applyFont="1" applyBorder="1" applyAlignment="1">
      <alignment horizontal="center" vertical="top" wrapText="1"/>
    </xf>
    <xf numFmtId="0" fontId="49" fillId="0" borderId="84" xfId="0" applyFont="1" applyBorder="1" applyAlignment="1">
      <alignment horizontal="center" vertical="top" wrapText="1"/>
    </xf>
    <xf numFmtId="0" fontId="70" fillId="0" borderId="88" xfId="0" applyFont="1" applyBorder="1" applyAlignment="1">
      <alignment horizontal="center" vertical="top" wrapText="1"/>
    </xf>
    <xf numFmtId="164" fontId="7" fillId="0" borderId="0" xfId="4" applyNumberFormat="1" applyFont="1" applyFill="1" applyBorder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center" vertical="center"/>
    </xf>
    <xf numFmtId="0" fontId="50" fillId="0" borderId="0" xfId="0" applyFont="1" applyBorder="1" applyAlignment="1" applyProtection="1">
      <alignment horizontal="left" wrapText="1" indent="1"/>
    </xf>
    <xf numFmtId="164" fontId="36" fillId="0" borderId="37" xfId="4" applyNumberFormat="1" applyFont="1" applyFill="1" applyBorder="1" applyAlignment="1" applyProtection="1">
      <alignment horizontal="left" vertical="center"/>
    </xf>
    <xf numFmtId="164" fontId="36" fillId="0" borderId="37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73" xfId="0" applyNumberFormat="1" applyFont="1" applyFill="1" applyBorder="1" applyAlignment="1" applyProtection="1">
      <alignment horizontal="center" vertical="center" wrapText="1"/>
    </xf>
    <xf numFmtId="164" fontId="30" fillId="0" borderId="6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0" fillId="0" borderId="72" xfId="0" applyNumberFormat="1" applyFont="1" applyFill="1" applyBorder="1" applyAlignment="1" applyProtection="1">
      <alignment horizontal="center" vertical="center" wrapText="1"/>
    </xf>
    <xf numFmtId="164" fontId="30" fillId="0" borderId="71" xfId="0" applyNumberFormat="1" applyFont="1" applyFill="1" applyBorder="1" applyAlignment="1" applyProtection="1">
      <alignment horizontal="center" vertical="center" wrapText="1"/>
    </xf>
    <xf numFmtId="0" fontId="15" fillId="0" borderId="0" xfId="8" applyFont="1" applyFill="1" applyAlignment="1">
      <alignment horizontal="center"/>
    </xf>
    <xf numFmtId="0" fontId="15" fillId="0" borderId="0" xfId="8" applyFont="1" applyFill="1" applyAlignment="1">
      <alignment horizontal="center" vertical="top" wrapText="1"/>
    </xf>
    <xf numFmtId="14" fontId="15" fillId="0" borderId="0" xfId="8" applyNumberFormat="1" applyFont="1" applyFill="1" applyAlignment="1">
      <alignment horizontal="center" vertical="top" wrapText="1"/>
    </xf>
    <xf numFmtId="0" fontId="105" fillId="0" borderId="0" xfId="8" applyFont="1" applyFill="1" applyAlignment="1">
      <alignment horizontal="right" vertical="top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left"/>
    </xf>
    <xf numFmtId="0" fontId="30" fillId="0" borderId="35" xfId="4" applyFont="1" applyFill="1" applyBorder="1" applyAlignment="1" applyProtection="1">
      <alignment horizontal="left"/>
    </xf>
    <xf numFmtId="0" fontId="21" fillId="0" borderId="60" xfId="4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164" fontId="49" fillId="0" borderId="14" xfId="0" applyNumberFormat="1" applyFont="1" applyFill="1" applyBorder="1" applyAlignment="1">
      <alignment horizontal="left" vertical="center" wrapText="1"/>
    </xf>
    <xf numFmtId="164" fontId="49" fillId="0" borderId="32" xfId="0" applyNumberFormat="1" applyFont="1" applyFill="1" applyBorder="1" applyAlignment="1">
      <alignment horizontal="left" vertical="center" wrapText="1"/>
    </xf>
    <xf numFmtId="164" fontId="49" fillId="0" borderId="10" xfId="0" applyNumberFormat="1" applyFont="1" applyFill="1" applyBorder="1" applyAlignment="1">
      <alignment horizontal="left" vertical="center" wrapText="1"/>
    </xf>
    <xf numFmtId="164" fontId="49" fillId="0" borderId="68" xfId="0" applyNumberFormat="1" applyFont="1" applyFill="1" applyBorder="1" applyAlignment="1">
      <alignment horizontal="left" vertical="center" wrapText="1"/>
    </xf>
    <xf numFmtId="164" fontId="6" fillId="0" borderId="37" xfId="0" applyNumberFormat="1" applyFont="1" applyFill="1" applyBorder="1" applyAlignment="1" applyProtection="1">
      <alignment horizontal="right" wrapText="1"/>
    </xf>
    <xf numFmtId="164" fontId="49" fillId="0" borderId="46" xfId="0" applyNumberFormat="1" applyFont="1" applyFill="1" applyBorder="1" applyAlignment="1" applyProtection="1">
      <alignment horizontal="center" vertical="center" wrapText="1"/>
    </xf>
    <xf numFmtId="164" fontId="49" fillId="0" borderId="44" xfId="0" applyNumberFormat="1" applyFont="1" applyFill="1" applyBorder="1" applyAlignment="1" applyProtection="1">
      <alignment horizontal="center" vertical="center" wrapText="1"/>
    </xf>
    <xf numFmtId="164" fontId="49" fillId="0" borderId="13" xfId="0" applyNumberFormat="1" applyFont="1" applyFill="1" applyBorder="1" applyAlignment="1">
      <alignment horizontal="left" vertical="center" wrapText="1"/>
    </xf>
    <xf numFmtId="164" fontId="49" fillId="0" borderId="5" xfId="0" applyNumberFormat="1" applyFont="1" applyFill="1" applyBorder="1" applyAlignment="1">
      <alignment horizontal="left" vertical="center" wrapText="1"/>
    </xf>
    <xf numFmtId="164" fontId="49" fillId="0" borderId="45" xfId="0" applyNumberFormat="1" applyFont="1" applyFill="1" applyBorder="1" applyAlignment="1" applyProtection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center" wrapText="1"/>
    </xf>
    <xf numFmtId="0" fontId="70" fillId="0" borderId="0" xfId="0" applyFont="1" applyFill="1" applyAlignment="1" applyProtection="1">
      <alignment horizontal="center" vertical="top"/>
      <protection locked="0"/>
    </xf>
    <xf numFmtId="0" fontId="49" fillId="0" borderId="0" xfId="0" applyFont="1" applyFill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" fillId="0" borderId="45" xfId="0" quotePrefix="1" applyFont="1" applyFill="1" applyBorder="1" applyAlignment="1" applyProtection="1">
      <alignment horizontal="right" vertical="center"/>
    </xf>
    <xf numFmtId="0" fontId="4" fillId="0" borderId="46" xfId="0" quotePrefix="1" applyFont="1" applyFill="1" applyBorder="1" applyAlignment="1" applyProtection="1">
      <alignment horizontal="right" vertical="center"/>
    </xf>
    <xf numFmtId="0" fontId="4" fillId="0" borderId="38" xfId="0" quotePrefix="1" applyFont="1" applyFill="1" applyBorder="1" applyAlignment="1" applyProtection="1">
      <alignment horizontal="right" vertical="center"/>
    </xf>
    <xf numFmtId="0" fontId="4" fillId="0" borderId="45" xfId="0" quotePrefix="1" applyFont="1" applyFill="1" applyBorder="1" applyAlignment="1" applyProtection="1">
      <alignment horizontal="center" vertical="center"/>
    </xf>
    <xf numFmtId="0" fontId="4" fillId="0" borderId="46" xfId="0" quotePrefix="1" applyFont="1" applyFill="1" applyBorder="1" applyAlignment="1" applyProtection="1">
      <alignment horizontal="center" vertical="center"/>
    </xf>
    <xf numFmtId="0" fontId="4" fillId="0" borderId="38" xfId="0" quotePrefix="1" applyFont="1" applyFill="1" applyBorder="1" applyAlignment="1" applyProtection="1">
      <alignment horizontal="center" vertical="center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42" fillId="0" borderId="37" xfId="0" applyFont="1" applyBorder="1" applyAlignment="1" applyProtection="1">
      <alignment horizontal="right" vertical="top"/>
      <protection locked="0"/>
    </xf>
    <xf numFmtId="0" fontId="106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right"/>
    </xf>
    <xf numFmtId="0" fontId="32" fillId="0" borderId="13" xfId="4" applyFont="1" applyFill="1" applyBorder="1" applyAlignment="1">
      <alignment horizontal="center" vertical="center" wrapText="1"/>
    </xf>
    <xf numFmtId="0" fontId="32" fillId="0" borderId="12" xfId="4" applyFont="1" applyFill="1" applyBorder="1" applyAlignment="1">
      <alignment horizontal="center" vertical="center" wrapText="1"/>
    </xf>
    <xf numFmtId="0" fontId="32" fillId="0" borderId="5" xfId="4" applyFont="1" applyFill="1" applyBorder="1" applyAlignment="1">
      <alignment horizontal="center" vertical="center" wrapText="1"/>
    </xf>
    <xf numFmtId="0" fontId="32" fillId="0" borderId="7" xfId="4" applyFont="1" applyFill="1" applyBorder="1" applyAlignment="1">
      <alignment horizontal="center" vertical="center" wrapText="1"/>
    </xf>
    <xf numFmtId="0" fontId="32" fillId="0" borderId="22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15" fillId="0" borderId="0" xfId="8" applyFont="1" applyFill="1" applyBorder="1" applyAlignment="1">
      <alignment horizontal="center" vertical="top" wrapText="1"/>
    </xf>
    <xf numFmtId="0" fontId="104" fillId="0" borderId="0" xfId="8" applyFont="1" applyFill="1" applyBorder="1" applyAlignment="1">
      <alignment horizontal="center" vertical="top" wrapText="1"/>
    </xf>
    <xf numFmtId="3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3" fontId="105" fillId="0" borderId="0" xfId="0" applyNumberFormat="1" applyFont="1" applyAlignment="1">
      <alignment horizontal="right"/>
    </xf>
    <xf numFmtId="0" fontId="15" fillId="0" borderId="0" xfId="0" applyFont="1" applyAlignment="1">
      <alignment horizontal="center" wrapText="1"/>
    </xf>
    <xf numFmtId="0" fontId="105" fillId="0" borderId="0" xfId="0" applyFont="1" applyAlignment="1" applyProtection="1">
      <alignment horizontal="right"/>
    </xf>
    <xf numFmtId="0" fontId="15" fillId="10" borderId="45" xfId="0" applyFont="1" applyFill="1" applyBorder="1" applyAlignment="1" applyProtection="1">
      <alignment horizontal="left" vertical="center"/>
    </xf>
    <xf numFmtId="0" fontId="15" fillId="10" borderId="46" xfId="0" applyFont="1" applyFill="1" applyBorder="1" applyAlignment="1" applyProtection="1">
      <alignment horizontal="left" vertical="center"/>
    </xf>
    <xf numFmtId="0" fontId="15" fillId="10" borderId="38" xfId="0" applyFont="1" applyFill="1" applyBorder="1" applyAlignment="1" applyProtection="1">
      <alignment horizontal="left" vertical="center"/>
    </xf>
    <xf numFmtId="0" fontId="15" fillId="8" borderId="0" xfId="0" applyFont="1" applyFill="1" applyBorder="1" applyAlignment="1" applyProtection="1">
      <alignment horizontal="center" vertical="center"/>
    </xf>
    <xf numFmtId="0" fontId="73" fillId="8" borderId="45" xfId="0" applyFont="1" applyFill="1" applyBorder="1" applyAlignment="1">
      <alignment horizontal="center" vertical="center" wrapText="1"/>
    </xf>
    <xf numFmtId="0" fontId="73" fillId="8" borderId="46" xfId="0" applyFont="1" applyFill="1" applyBorder="1" applyAlignment="1">
      <alignment horizontal="center" vertical="center" wrapText="1"/>
    </xf>
    <xf numFmtId="0" fontId="73" fillId="8" borderId="44" xfId="0" applyFont="1" applyFill="1" applyBorder="1" applyAlignment="1">
      <alignment horizontal="center" vertical="center" wrapText="1"/>
    </xf>
    <xf numFmtId="0" fontId="73" fillId="8" borderId="70" xfId="0" applyFont="1" applyFill="1" applyBorder="1" applyAlignment="1">
      <alignment horizontal="center" vertical="center" wrapText="1"/>
    </xf>
    <xf numFmtId="0" fontId="73" fillId="8" borderId="54" xfId="0" applyFont="1" applyFill="1" applyBorder="1" applyAlignment="1">
      <alignment horizontal="center" vertical="center" wrapText="1"/>
    </xf>
    <xf numFmtId="0" fontId="73" fillId="8" borderId="39" xfId="0" applyFont="1" applyFill="1" applyBorder="1" applyAlignment="1">
      <alignment horizontal="center" vertical="center" wrapText="1"/>
    </xf>
    <xf numFmtId="0" fontId="70" fillId="8" borderId="5" xfId="0" applyFont="1" applyFill="1" applyBorder="1" applyAlignment="1">
      <alignment horizontal="center" vertical="center" wrapText="1"/>
    </xf>
    <xf numFmtId="0" fontId="70" fillId="8" borderId="2" xfId="0" applyFont="1" applyFill="1" applyBorder="1" applyAlignment="1">
      <alignment horizontal="center" vertical="center" wrapText="1"/>
    </xf>
    <xf numFmtId="0" fontId="70" fillId="8" borderId="61" xfId="0" applyFont="1" applyFill="1" applyBorder="1" applyAlignment="1">
      <alignment horizontal="left" vertical="center" wrapText="1"/>
    </xf>
    <xf numFmtId="0" fontId="70" fillId="8" borderId="75" xfId="0" applyFont="1" applyFill="1" applyBorder="1" applyAlignment="1">
      <alignment horizontal="left" vertical="center" wrapText="1"/>
    </xf>
    <xf numFmtId="0" fontId="70" fillId="8" borderId="76" xfId="0" applyFont="1" applyFill="1" applyBorder="1" applyAlignment="1">
      <alignment horizontal="left" vertical="center" wrapText="1"/>
    </xf>
    <xf numFmtId="0" fontId="73" fillId="8" borderId="62" xfId="0" applyFont="1" applyFill="1" applyBorder="1" applyAlignment="1">
      <alignment horizontal="left" vertical="center" wrapText="1"/>
    </xf>
    <xf numFmtId="0" fontId="73" fillId="8" borderId="42" xfId="0" applyFont="1" applyFill="1" applyBorder="1" applyAlignment="1">
      <alignment horizontal="left" vertical="center" wrapText="1"/>
    </xf>
    <xf numFmtId="0" fontId="73" fillId="8" borderId="63" xfId="0" applyFont="1" applyFill="1" applyBorder="1" applyAlignment="1">
      <alignment horizontal="left" vertical="center" wrapText="1"/>
    </xf>
    <xf numFmtId="0" fontId="73" fillId="8" borderId="35" xfId="0" applyFont="1" applyFill="1" applyBorder="1" applyAlignment="1">
      <alignment horizontal="center" vertical="center" wrapText="1"/>
    </xf>
    <xf numFmtId="0" fontId="70" fillId="8" borderId="5" xfId="0" applyFont="1" applyFill="1" applyBorder="1" applyAlignment="1">
      <alignment horizontal="left" vertical="center" wrapText="1"/>
    </xf>
    <xf numFmtId="0" fontId="70" fillId="8" borderId="2" xfId="0" applyFont="1" applyFill="1" applyBorder="1" applyAlignment="1">
      <alignment horizontal="left" vertical="center" wrapText="1"/>
    </xf>
    <xf numFmtId="0" fontId="72" fillId="8" borderId="2" xfId="0" applyFont="1" applyFill="1" applyBorder="1" applyAlignment="1">
      <alignment horizontal="center" vertical="center" wrapText="1"/>
    </xf>
    <xf numFmtId="0" fontId="72" fillId="8" borderId="32" xfId="0" applyFont="1" applyFill="1" applyBorder="1" applyAlignment="1">
      <alignment horizontal="center" vertical="center" wrapText="1"/>
    </xf>
    <xf numFmtId="0" fontId="72" fillId="8" borderId="2" xfId="0" applyFont="1" applyFill="1" applyBorder="1" applyAlignment="1">
      <alignment horizontal="left" vertical="center" wrapText="1"/>
    </xf>
    <xf numFmtId="0" fontId="73" fillId="8" borderId="35" xfId="0" applyFont="1" applyFill="1" applyBorder="1" applyAlignment="1">
      <alignment horizontal="left" vertical="center" wrapText="1"/>
    </xf>
    <xf numFmtId="0" fontId="73" fillId="8" borderId="46" xfId="0" applyFont="1" applyFill="1" applyBorder="1" applyAlignment="1">
      <alignment horizontal="left" vertical="center" wrapText="1"/>
    </xf>
    <xf numFmtId="0" fontId="73" fillId="8" borderId="44" xfId="0" applyFont="1" applyFill="1" applyBorder="1" applyAlignment="1">
      <alignment horizontal="left" vertical="center" wrapText="1"/>
    </xf>
    <xf numFmtId="0" fontId="70" fillId="8" borderId="55" xfId="0" applyFont="1" applyFill="1" applyBorder="1" applyAlignment="1">
      <alignment horizontal="left" vertical="center" wrapText="1"/>
    </xf>
    <xf numFmtId="0" fontId="91" fillId="8" borderId="64" xfId="0" applyFont="1" applyFill="1" applyBorder="1" applyAlignment="1">
      <alignment horizontal="left" vertical="center" wrapText="1"/>
    </xf>
    <xf numFmtId="0" fontId="91" fillId="8" borderId="6" xfId="0" applyFont="1" applyFill="1" applyBorder="1" applyAlignment="1">
      <alignment horizontal="left" vertical="center" wrapText="1"/>
    </xf>
    <xf numFmtId="0" fontId="70" fillId="8" borderId="64" xfId="0" applyFont="1" applyFill="1" applyBorder="1" applyAlignment="1">
      <alignment horizontal="left" vertical="center" wrapText="1"/>
    </xf>
    <xf numFmtId="0" fontId="70" fillId="8" borderId="6" xfId="0" applyFont="1" applyFill="1" applyBorder="1" applyAlignment="1">
      <alignment horizontal="left" vertical="center" wrapText="1"/>
    </xf>
    <xf numFmtId="0" fontId="73" fillId="8" borderId="41" xfId="0" applyFont="1" applyFill="1" applyBorder="1" applyAlignment="1">
      <alignment horizontal="center" vertical="center" wrapText="1"/>
    </xf>
    <xf numFmtId="0" fontId="49" fillId="8" borderId="61" xfId="0" applyFont="1" applyFill="1" applyBorder="1" applyAlignment="1">
      <alignment horizontal="left" vertical="center" wrapText="1"/>
    </xf>
    <xf numFmtId="0" fontId="49" fillId="8" borderId="75" xfId="0" applyFont="1" applyFill="1" applyBorder="1" applyAlignment="1">
      <alignment horizontal="left" vertical="center" wrapText="1"/>
    </xf>
    <xf numFmtId="0" fontId="49" fillId="8" borderId="76" xfId="0" applyFont="1" applyFill="1" applyBorder="1" applyAlignment="1">
      <alignment horizontal="left" vertical="center" wrapText="1"/>
    </xf>
    <xf numFmtId="0" fontId="49" fillId="8" borderId="55" xfId="0" applyFont="1" applyFill="1" applyBorder="1" applyAlignment="1">
      <alignment horizontal="left" vertical="center" wrapText="1"/>
    </xf>
    <xf numFmtId="0" fontId="49" fillId="8" borderId="64" xfId="0" applyFont="1" applyFill="1" applyBorder="1" applyAlignment="1">
      <alignment horizontal="left" vertical="center" wrapText="1"/>
    </xf>
    <xf numFmtId="0" fontId="49" fillId="8" borderId="6" xfId="0" applyFont="1" applyFill="1" applyBorder="1" applyAlignment="1">
      <alignment horizontal="left" vertical="center" wrapText="1"/>
    </xf>
    <xf numFmtId="0" fontId="73" fillId="8" borderId="1" xfId="0" applyFont="1" applyFill="1" applyBorder="1" applyAlignment="1">
      <alignment horizontal="center" vertical="center" wrapText="1"/>
    </xf>
    <xf numFmtId="0" fontId="73" fillId="8" borderId="55" xfId="0" applyFont="1" applyFill="1" applyBorder="1" applyAlignment="1">
      <alignment horizontal="left" vertical="center" wrapText="1"/>
    </xf>
    <xf numFmtId="0" fontId="73" fillId="8" borderId="64" xfId="0" applyFont="1" applyFill="1" applyBorder="1" applyAlignment="1">
      <alignment horizontal="left" vertical="center" wrapText="1"/>
    </xf>
    <xf numFmtId="0" fontId="73" fillId="8" borderId="6" xfId="0" applyFont="1" applyFill="1" applyBorder="1" applyAlignment="1">
      <alignment horizontal="left" vertical="center" wrapText="1"/>
    </xf>
    <xf numFmtId="0" fontId="73" fillId="8" borderId="52" xfId="0" applyFont="1" applyFill="1" applyBorder="1" applyAlignment="1">
      <alignment horizontal="left" vertical="center" wrapText="1"/>
    </xf>
    <xf numFmtId="0" fontId="73" fillId="8" borderId="77" xfId="0" applyFont="1" applyFill="1" applyBorder="1" applyAlignment="1">
      <alignment horizontal="left" vertical="center" wrapText="1"/>
    </xf>
    <xf numFmtId="0" fontId="73" fillId="8" borderId="40" xfId="0" applyFont="1" applyFill="1" applyBorder="1" applyAlignment="1">
      <alignment horizontal="left" vertical="center" wrapText="1"/>
    </xf>
    <xf numFmtId="0" fontId="72" fillId="8" borderId="5" xfId="0" applyFont="1" applyFill="1" applyBorder="1" applyAlignment="1">
      <alignment horizontal="center" vertical="center" wrapText="1"/>
    </xf>
    <xf numFmtId="0" fontId="72" fillId="8" borderId="61" xfId="0" applyFont="1" applyFill="1" applyBorder="1" applyAlignment="1">
      <alignment horizontal="left" vertical="center" wrapText="1"/>
    </xf>
    <xf numFmtId="0" fontId="72" fillId="8" borderId="75" xfId="0" applyFont="1" applyFill="1" applyBorder="1" applyAlignment="1">
      <alignment horizontal="left" vertical="center" wrapText="1"/>
    </xf>
    <xf numFmtId="0" fontId="72" fillId="8" borderId="76" xfId="0" applyFont="1" applyFill="1" applyBorder="1" applyAlignment="1">
      <alignment horizontal="left" vertical="center" wrapText="1"/>
    </xf>
    <xf numFmtId="0" fontId="73" fillId="8" borderId="2" xfId="0" applyFont="1" applyFill="1" applyBorder="1" applyAlignment="1">
      <alignment horizontal="center" vertical="center" wrapText="1"/>
    </xf>
    <xf numFmtId="0" fontId="73" fillId="8" borderId="7" xfId="0" applyFont="1" applyFill="1" applyBorder="1" applyAlignment="1">
      <alignment horizontal="center" vertical="center" wrapText="1"/>
    </xf>
    <xf numFmtId="0" fontId="73" fillId="8" borderId="38" xfId="0" applyFont="1" applyFill="1" applyBorder="1" applyAlignment="1">
      <alignment horizontal="center" vertical="center" wrapText="1"/>
    </xf>
    <xf numFmtId="0" fontId="73" fillId="8" borderId="62" xfId="9" applyFont="1" applyFill="1" applyBorder="1" applyAlignment="1">
      <alignment horizontal="left" vertical="center" wrapText="1"/>
    </xf>
    <xf numFmtId="0" fontId="73" fillId="8" borderId="42" xfId="9" applyFont="1" applyFill="1" applyBorder="1" applyAlignment="1">
      <alignment horizontal="left" vertical="center" wrapText="1"/>
    </xf>
    <xf numFmtId="0" fontId="73" fillId="8" borderId="63" xfId="9" applyFont="1" applyFill="1" applyBorder="1" applyAlignment="1">
      <alignment horizontal="left" vertical="center" wrapText="1"/>
    </xf>
    <xf numFmtId="0" fontId="73" fillId="8" borderId="55" xfId="9" applyFont="1" applyFill="1" applyBorder="1" applyAlignment="1">
      <alignment horizontal="left" vertical="center" wrapText="1"/>
    </xf>
    <xf numFmtId="0" fontId="73" fillId="8" borderId="64" xfId="9" applyFont="1" applyFill="1" applyBorder="1" applyAlignment="1">
      <alignment horizontal="left" vertical="center" wrapText="1"/>
    </xf>
    <xf numFmtId="0" fontId="73" fillId="8" borderId="6" xfId="9" applyFont="1" applyFill="1" applyBorder="1" applyAlignment="1">
      <alignment horizontal="left" vertical="center" wrapText="1"/>
    </xf>
    <xf numFmtId="0" fontId="73" fillId="8" borderId="52" xfId="9" applyFont="1" applyFill="1" applyBorder="1" applyAlignment="1">
      <alignment horizontal="left" vertical="center" wrapText="1"/>
    </xf>
    <xf numFmtId="0" fontId="73" fillId="8" borderId="77" xfId="9" applyFont="1" applyFill="1" applyBorder="1" applyAlignment="1">
      <alignment horizontal="left" vertical="center" wrapText="1"/>
    </xf>
    <xf numFmtId="0" fontId="73" fillId="8" borderId="40" xfId="9" applyFont="1" applyFill="1" applyBorder="1" applyAlignment="1">
      <alignment horizontal="left" vertical="center" wrapText="1"/>
    </xf>
    <xf numFmtId="0" fontId="73" fillId="8" borderId="45" xfId="9" applyFont="1" applyFill="1" applyBorder="1" applyAlignment="1">
      <alignment horizontal="center" vertical="center" wrapText="1"/>
    </xf>
    <xf numFmtId="0" fontId="73" fillId="8" borderId="46" xfId="9" applyFont="1" applyFill="1" applyBorder="1" applyAlignment="1">
      <alignment horizontal="center" vertical="center" wrapText="1"/>
    </xf>
    <xf numFmtId="0" fontId="73" fillId="8" borderId="38" xfId="9" applyFont="1" applyFill="1" applyBorder="1" applyAlignment="1">
      <alignment horizontal="center" vertical="center" wrapText="1"/>
    </xf>
    <xf numFmtId="0" fontId="82" fillId="8" borderId="0" xfId="9" applyFont="1" applyFill="1" applyBorder="1" applyAlignment="1">
      <alignment horizontal="center" vertical="center" wrapText="1"/>
    </xf>
    <xf numFmtId="0" fontId="73" fillId="8" borderId="44" xfId="9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62" fillId="0" borderId="0" xfId="0" applyFont="1" applyFill="1" applyAlignment="1">
      <alignment horizontal="right"/>
    </xf>
    <xf numFmtId="0" fontId="58" fillId="0" borderId="0" xfId="0" applyFont="1" applyFill="1" applyAlignment="1">
      <alignment horizontal="center"/>
    </xf>
    <xf numFmtId="3" fontId="60" fillId="0" borderId="55" xfId="0" applyNumberFormat="1" applyFont="1" applyFill="1" applyBorder="1" applyAlignment="1">
      <alignment horizontal="center" vertical="center" wrapText="1"/>
    </xf>
    <xf numFmtId="3" fontId="60" fillId="0" borderId="64" xfId="0" applyNumberFormat="1" applyFont="1" applyFill="1" applyBorder="1" applyAlignment="1">
      <alignment horizontal="center" vertical="center" wrapText="1"/>
    </xf>
    <xf numFmtId="3" fontId="60" fillId="0" borderId="6" xfId="0" applyNumberFormat="1" applyFont="1" applyFill="1" applyBorder="1" applyAlignment="1">
      <alignment horizontal="center" vertical="center" wrapText="1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justify" vertical="center" wrapText="1"/>
    </xf>
    <xf numFmtId="3" fontId="97" fillId="0" borderId="0" xfId="0" applyNumberFormat="1" applyFont="1" applyAlignment="1">
      <alignment horizontal="center"/>
    </xf>
    <xf numFmtId="0" fontId="23" fillId="0" borderId="0" xfId="0" applyFont="1" applyAlignment="1">
      <alignment horizontal="center" wrapText="1"/>
    </xf>
    <xf numFmtId="0" fontId="36" fillId="0" borderId="0" xfId="0" applyFont="1" applyAlignment="1" applyProtection="1">
      <alignment horizontal="right"/>
    </xf>
    <xf numFmtId="0" fontId="30" fillId="0" borderId="45" xfId="0" applyFont="1" applyBorder="1" applyAlignment="1" applyProtection="1">
      <alignment horizontal="left" vertical="center"/>
    </xf>
    <xf numFmtId="0" fontId="30" fillId="0" borderId="46" xfId="0" applyFont="1" applyBorder="1" applyAlignment="1" applyProtection="1">
      <alignment horizontal="left" vertical="center"/>
    </xf>
    <xf numFmtId="0" fontId="30" fillId="0" borderId="38" xfId="0" applyFont="1" applyBorder="1" applyAlignment="1" applyProtection="1">
      <alignment horizontal="left" vertical="center"/>
    </xf>
    <xf numFmtId="0" fontId="28" fillId="0" borderId="45" xfId="0" applyFont="1" applyBorder="1" applyAlignment="1" applyProtection="1">
      <alignment horizontal="center" vertical="center"/>
    </xf>
    <xf numFmtId="0" fontId="28" fillId="0" borderId="46" xfId="0" applyFont="1" applyBorder="1" applyAlignment="1" applyProtection="1">
      <alignment horizontal="center" vertical="center"/>
    </xf>
    <xf numFmtId="0" fontId="28" fillId="0" borderId="44" xfId="0" applyFont="1" applyBorder="1" applyAlignment="1" applyProtection="1">
      <alignment horizontal="center" vertical="center"/>
    </xf>
    <xf numFmtId="0" fontId="20" fillId="0" borderId="35" xfId="5" applyFont="1" applyFill="1" applyBorder="1" applyAlignment="1" applyProtection="1">
      <alignment horizontal="left" vertical="center" indent="1"/>
    </xf>
    <xf numFmtId="0" fontId="20" fillId="0" borderId="46" xfId="5" applyFont="1" applyFill="1" applyBorder="1" applyAlignment="1" applyProtection="1">
      <alignment horizontal="left" vertical="center" indent="1"/>
    </xf>
    <xf numFmtId="0" fontId="20" fillId="0" borderId="38" xfId="5" applyFont="1" applyFill="1" applyBorder="1" applyAlignment="1" applyProtection="1">
      <alignment horizontal="left" vertical="center" indent="1"/>
    </xf>
    <xf numFmtId="0" fontId="23" fillId="0" borderId="0" xfId="5" applyFont="1" applyFill="1" applyAlignment="1" applyProtection="1">
      <alignment horizontal="center" wrapText="1"/>
    </xf>
    <xf numFmtId="0" fontId="33" fillId="0" borderId="0" xfId="5" applyFont="1" applyFill="1" applyAlignment="1" applyProtection="1">
      <alignment horizontal="right"/>
      <protection locked="0"/>
    </xf>
    <xf numFmtId="0" fontId="73" fillId="0" borderId="55" xfId="0" applyFont="1" applyBorder="1" applyAlignment="1">
      <alignment horizontal="left" vertical="center" wrapText="1"/>
    </xf>
    <xf numFmtId="0" fontId="80" fillId="0" borderId="64" xfId="0" applyFont="1" applyBorder="1" applyAlignment="1">
      <alignment horizontal="left" vertical="center" wrapText="1"/>
    </xf>
    <xf numFmtId="0" fontId="80" fillId="0" borderId="6" xfId="0" applyFont="1" applyBorder="1" applyAlignment="1">
      <alignment horizontal="left" vertical="center" wrapText="1"/>
    </xf>
    <xf numFmtId="0" fontId="73" fillId="0" borderId="52" xfId="0" applyFont="1" applyBorder="1" applyAlignment="1">
      <alignment horizontal="left" vertical="center" wrapText="1"/>
    </xf>
    <xf numFmtId="0" fontId="80" fillId="0" borderId="77" xfId="0" applyFont="1" applyBorder="1" applyAlignment="1">
      <alignment horizontal="left" vertical="center" wrapText="1"/>
    </xf>
    <xf numFmtId="0" fontId="80" fillId="0" borderId="40" xfId="0" applyFont="1" applyBorder="1" applyAlignment="1">
      <alignment horizontal="left" vertical="center" wrapText="1"/>
    </xf>
    <xf numFmtId="0" fontId="82" fillId="0" borderId="0" xfId="0" applyFont="1" applyBorder="1" applyAlignment="1">
      <alignment horizontal="center" vertical="center" wrapText="1"/>
    </xf>
    <xf numFmtId="0" fontId="80" fillId="0" borderId="55" xfId="0" applyFont="1" applyBorder="1" applyAlignment="1">
      <alignment horizontal="left" vertical="center" wrapText="1"/>
    </xf>
    <xf numFmtId="0" fontId="80" fillId="0" borderId="61" xfId="0" applyFont="1" applyBorder="1" applyAlignment="1">
      <alignment horizontal="left" vertical="center" wrapText="1"/>
    </xf>
    <xf numFmtId="0" fontId="80" fillId="0" borderId="75" xfId="0" applyFont="1" applyBorder="1" applyAlignment="1">
      <alignment horizontal="left" vertical="center" wrapText="1"/>
    </xf>
    <xf numFmtId="0" fontId="80" fillId="0" borderId="76" xfId="0" applyFont="1" applyBorder="1" applyAlignment="1">
      <alignment horizontal="left" vertical="center" wrapText="1"/>
    </xf>
    <xf numFmtId="0" fontId="49" fillId="0" borderId="61" xfId="0" applyFont="1" applyBorder="1" applyAlignment="1">
      <alignment horizontal="left" vertical="center" wrapText="1"/>
    </xf>
    <xf numFmtId="0" fontId="49" fillId="0" borderId="76" xfId="0" applyFont="1" applyBorder="1" applyAlignment="1">
      <alignment horizontal="left" vertical="center" wrapText="1"/>
    </xf>
    <xf numFmtId="0" fontId="80" fillId="0" borderId="70" xfId="0" applyFont="1" applyBorder="1" applyAlignment="1">
      <alignment horizontal="center" vertical="center" wrapText="1"/>
    </xf>
    <xf numFmtId="0" fontId="80" fillId="0" borderId="54" xfId="0" applyFont="1" applyBorder="1" applyAlignment="1">
      <alignment horizontal="center" vertical="center" wrapText="1"/>
    </xf>
    <xf numFmtId="0" fontId="80" fillId="0" borderId="39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73" fillId="0" borderId="35" xfId="0" applyFont="1" applyBorder="1" applyAlignment="1">
      <alignment horizontal="left" vertical="center" wrapText="1"/>
    </xf>
    <xf numFmtId="0" fontId="80" fillId="0" borderId="46" xfId="0" applyFont="1" applyBorder="1" applyAlignment="1">
      <alignment horizontal="left" vertical="center" wrapText="1"/>
    </xf>
    <xf numFmtId="0" fontId="80" fillId="0" borderId="44" xfId="0" applyFont="1" applyBorder="1" applyAlignment="1">
      <alignment horizontal="left" vertical="center" wrapText="1"/>
    </xf>
    <xf numFmtId="0" fontId="80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0" fillId="0" borderId="2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left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72" fillId="0" borderId="2" xfId="0" applyFont="1" applyBorder="1" applyAlignment="1">
      <alignment horizontal="center" vertical="center" wrapText="1"/>
    </xf>
    <xf numFmtId="0" fontId="72" fillId="0" borderId="3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left" vertical="center" wrapText="1"/>
    </xf>
    <xf numFmtId="0" fontId="49" fillId="0" borderId="5" xfId="0" applyFont="1" applyBorder="1" applyAlignment="1">
      <alignment horizontal="left" vertical="center" wrapText="1"/>
    </xf>
    <xf numFmtId="0" fontId="80" fillId="0" borderId="45" xfId="0" applyFont="1" applyBorder="1" applyAlignment="1">
      <alignment horizontal="center" vertical="center" wrapText="1"/>
    </xf>
    <xf numFmtId="0" fontId="80" fillId="0" borderId="46" xfId="0" applyFont="1" applyBorder="1" applyAlignment="1">
      <alignment horizontal="center" vertical="center" wrapText="1"/>
    </xf>
    <xf numFmtId="0" fontId="80" fillId="0" borderId="38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61" xfId="0" applyFont="1" applyBorder="1" applyAlignment="1">
      <alignment horizontal="left" vertical="center" wrapText="1"/>
    </xf>
    <xf numFmtId="0" fontId="73" fillId="0" borderId="76" xfId="0" applyFont="1" applyBorder="1" applyAlignment="1">
      <alignment horizontal="left" vertical="center" wrapText="1"/>
    </xf>
    <xf numFmtId="0" fontId="80" fillId="0" borderId="2" xfId="0" applyFont="1" applyBorder="1" applyAlignment="1">
      <alignment horizontal="center" vertical="center" wrapText="1"/>
    </xf>
    <xf numFmtId="0" fontId="80" fillId="0" borderId="7" xfId="0" applyFont="1" applyBorder="1" applyAlignment="1">
      <alignment horizontal="center" vertical="center" wrapText="1"/>
    </xf>
    <xf numFmtId="0" fontId="80" fillId="0" borderId="35" xfId="0" applyFont="1" applyBorder="1" applyAlignment="1">
      <alignment horizontal="left" vertical="center" wrapText="1"/>
    </xf>
    <xf numFmtId="0" fontId="80" fillId="0" borderId="45" xfId="0" applyFont="1" applyFill="1" applyBorder="1" applyAlignment="1">
      <alignment horizontal="center" vertical="center" wrapText="1"/>
    </xf>
    <xf numFmtId="0" fontId="80" fillId="0" borderId="46" xfId="0" applyFont="1" applyFill="1" applyBorder="1" applyAlignment="1">
      <alignment horizontal="center" vertical="center" wrapText="1"/>
    </xf>
    <xf numFmtId="0" fontId="80" fillId="0" borderId="44" xfId="0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72" fillId="0" borderId="2" xfId="0" applyFont="1" applyBorder="1" applyAlignment="1">
      <alignment horizontal="left" vertical="center" wrapText="1"/>
    </xf>
    <xf numFmtId="0" fontId="49" fillId="0" borderId="18" xfId="0" applyFont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80" fillId="0" borderId="70" xfId="0" applyFont="1" applyFill="1" applyBorder="1" applyAlignment="1">
      <alignment horizontal="center" vertical="center" wrapText="1"/>
    </xf>
    <xf numFmtId="0" fontId="80" fillId="0" borderId="54" xfId="0" applyFont="1" applyFill="1" applyBorder="1" applyAlignment="1">
      <alignment horizontal="center" vertical="center" wrapText="1"/>
    </xf>
    <xf numFmtId="0" fontId="80" fillId="0" borderId="39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61" xfId="0" applyFont="1" applyFill="1" applyBorder="1" applyAlignment="1">
      <alignment horizontal="left" vertical="center" wrapText="1"/>
    </xf>
    <xf numFmtId="0" fontId="49" fillId="0" borderId="76" xfId="0" applyFont="1" applyFill="1" applyBorder="1" applyAlignment="1">
      <alignment horizontal="left" vertical="center" wrapText="1"/>
    </xf>
    <xf numFmtId="0" fontId="73" fillId="0" borderId="62" xfId="0" applyFont="1" applyBorder="1" applyAlignment="1">
      <alignment horizontal="left" vertical="center" wrapText="1"/>
    </xf>
    <xf numFmtId="0" fontId="80" fillId="0" borderId="63" xfId="0" applyFont="1" applyBorder="1" applyAlignment="1">
      <alignment horizontal="left" vertical="center" wrapText="1"/>
    </xf>
    <xf numFmtId="0" fontId="73" fillId="0" borderId="46" xfId="0" applyFont="1" applyBorder="1" applyAlignment="1">
      <alignment horizontal="left" vertical="center" wrapText="1"/>
    </xf>
    <xf numFmtId="0" fontId="73" fillId="0" borderId="44" xfId="0" applyFont="1" applyBorder="1" applyAlignment="1">
      <alignment horizontal="left" vertical="center" wrapText="1"/>
    </xf>
    <xf numFmtId="164" fontId="3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ont="1" applyFill="1" applyAlignment="1" applyProtection="1">
      <alignment horizontal="center" textRotation="180" wrapText="1"/>
    </xf>
  </cellXfs>
  <cellStyles count="10">
    <cellStyle name="Ezres" xfId="1" builtinId="3"/>
    <cellStyle name="Hiperhivatkozás" xfId="2"/>
    <cellStyle name="Már látott hiperhivatkozás" xfId="3"/>
    <cellStyle name="Normál" xfId="0" builtinId="0"/>
    <cellStyle name="Normál 2" xfId="9"/>
    <cellStyle name="Normál 2 2" xfId="6"/>
    <cellStyle name="Normál 2 2 2" xfId="8"/>
    <cellStyle name="Normál_KVRENMUNKA" xfId="4"/>
    <cellStyle name="Normál_SEGEDLETEK" xfId="5"/>
    <cellStyle name="Százalék" xfId="7" builtin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gazdalkodas/Megsz&#369;nt%20dolgoz&#243;k%20mapp&#225;i/Ildiko/El&#337;terjeszt&#233;sek/2015/&#225;prilis/-2015-Z&#193;RSZ&#193;M-M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K feladat"/>
      <sheetName val="ÖSSZEFÜGGÉSEK"/>
      <sheetName val="1. melléklet"/>
      <sheetName val="1.1.sz.mell."/>
      <sheetName val="1.2.sz.mell. _köt"/>
      <sheetName val="1.3.sz.mell._önk"/>
      <sheetName val="1.4.sz.mell._állig"/>
      <sheetName val="2.1.sz.mell  "/>
      <sheetName val="2.2.sz.mell  "/>
      <sheetName val="ELLENŐRZÉS-1.sz.2.a.sz.2.b.sz."/>
      <sheetName val="3.sz mell"/>
      <sheetName val="4.sz.mell."/>
      <sheetName val="5.sz.mell."/>
      <sheetName val="6.sz.mell."/>
      <sheetName val="7.sz.mell."/>
      <sheetName val="8. sz. mell. "/>
      <sheetName val="9. sz. mell"/>
      <sheetName val="9.1. sz. mell"/>
      <sheetName val="9.2. sz. mell"/>
      <sheetName val="9.3. sz. mell"/>
      <sheetName val="9.4. sz. mell"/>
      <sheetName val="9.5. sz. mell"/>
      <sheetName val="10. sz. mell."/>
      <sheetName val="11. sz. mell."/>
      <sheetName val="13.sz.mell"/>
      <sheetName val="2. sz tájékoztató t"/>
      <sheetName val="1a sz tájékoztató t."/>
      <sheetName val="1b. sz tájékoztató t."/>
      <sheetName val="1.sz tájékoztató t."/>
      <sheetName val="2.sz tájékoztató t."/>
      <sheetName val="3. sz tájékoztató t."/>
      <sheetName val="12.sz.mell.  "/>
      <sheetName val="13. sz. mell."/>
      <sheetName val="14. sz. mell."/>
      <sheetName val="15.sz. mell"/>
      <sheetName val="3.sz tájékoztató t."/>
      <sheetName val="4.sz tájékoztató t."/>
      <sheetName val="5.sz tájékoztató t."/>
    </sheetNames>
    <sheetDataSet>
      <sheetData sheetId="0"/>
      <sheetData sheetId="1"/>
      <sheetData sheetId="2"/>
      <sheetData sheetId="3">
        <row r="47">
          <cell r="C4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22" customWidth="1"/>
    <col min="2" max="16384" width="9.33203125" style="422"/>
  </cols>
  <sheetData>
    <row r="1" spans="1:1" s="421" customFormat="1" ht="15" x14ac:dyDescent="0.25">
      <c r="A1" s="421" t="s">
        <v>381</v>
      </c>
    </row>
    <row r="2" spans="1:1" s="421" customFormat="1" ht="15" x14ac:dyDescent="0.25">
      <c r="A2" s="421" t="s">
        <v>382</v>
      </c>
    </row>
    <row r="3" spans="1:1" s="421" customFormat="1" ht="15" x14ac:dyDescent="0.25">
      <c r="A3" s="421" t="s">
        <v>383</v>
      </c>
    </row>
    <row r="4" spans="1:1" s="421" customFormat="1" ht="15" x14ac:dyDescent="0.25">
      <c r="A4" s="421" t="s">
        <v>384</v>
      </c>
    </row>
    <row r="5" spans="1:1" s="421" customFormat="1" ht="15" x14ac:dyDescent="0.25">
      <c r="A5" s="421" t="s">
        <v>385</v>
      </c>
    </row>
    <row r="6" spans="1:1" s="421" customFormat="1" ht="15" x14ac:dyDescent="0.25">
      <c r="A6" s="421" t="s">
        <v>386</v>
      </c>
    </row>
    <row r="7" spans="1:1" s="421" customFormat="1" ht="15" x14ac:dyDescent="0.25">
      <c r="A7" s="421" t="s">
        <v>387</v>
      </c>
    </row>
    <row r="8" spans="1:1" s="421" customFormat="1" ht="15" x14ac:dyDescent="0.25">
      <c r="A8" s="421" t="s">
        <v>388</v>
      </c>
    </row>
    <row r="9" spans="1:1" s="421" customFormat="1" ht="15" x14ac:dyDescent="0.25">
      <c r="A9" s="421" t="s">
        <v>389</v>
      </c>
    </row>
    <row r="10" spans="1:1" s="421" customFormat="1" ht="15" x14ac:dyDescent="0.25">
      <c r="A10" s="421" t="s">
        <v>390</v>
      </c>
    </row>
    <row r="11" spans="1:1" s="421" customFormat="1" ht="15" x14ac:dyDescent="0.25">
      <c r="A11" s="421" t="s">
        <v>391</v>
      </c>
    </row>
    <row r="12" spans="1:1" s="421" customFormat="1" ht="15" x14ac:dyDescent="0.25">
      <c r="A12" s="421" t="s">
        <v>392</v>
      </c>
    </row>
    <row r="13" spans="1:1" s="421" customFormat="1" ht="15" x14ac:dyDescent="0.25">
      <c r="A13" s="421" t="s">
        <v>393</v>
      </c>
    </row>
    <row r="14" spans="1:1" s="421" customFormat="1" ht="15" x14ac:dyDescent="0.25">
      <c r="A14" s="421" t="s">
        <v>394</v>
      </c>
    </row>
    <row r="15" spans="1:1" s="421" customFormat="1" ht="15" x14ac:dyDescent="0.25">
      <c r="A15" s="421" t="s">
        <v>395</v>
      </c>
    </row>
    <row r="16" spans="1:1" s="421" customFormat="1" ht="15" x14ac:dyDescent="0.25">
      <c r="A16" s="421" t="s">
        <v>396</v>
      </c>
    </row>
    <row r="17" spans="1:1" s="421" customFormat="1" ht="15" x14ac:dyDescent="0.25">
      <c r="A17" s="421" t="s">
        <v>397</v>
      </c>
    </row>
    <row r="18" spans="1:1" s="421" customFormat="1" ht="15" x14ac:dyDescent="0.25">
      <c r="A18" s="421" t="s">
        <v>398</v>
      </c>
    </row>
    <row r="19" spans="1:1" s="421" customFormat="1" ht="15" x14ac:dyDescent="0.25">
      <c r="A19" s="421" t="s">
        <v>399</v>
      </c>
    </row>
    <row r="20" spans="1:1" s="421" customFormat="1" ht="15" x14ac:dyDescent="0.25">
      <c r="A20" s="421" t="s">
        <v>400</v>
      </c>
    </row>
    <row r="21" spans="1:1" s="421" customFormat="1" ht="15" x14ac:dyDescent="0.25">
      <c r="A21" s="421" t="s">
        <v>401</v>
      </c>
    </row>
    <row r="22" spans="1:1" s="421" customFormat="1" ht="15" x14ac:dyDescent="0.25">
      <c r="A22" s="421" t="s">
        <v>402</v>
      </c>
    </row>
    <row r="23" spans="1:1" s="421" customFormat="1" ht="15" x14ac:dyDescent="0.25">
      <c r="A23" s="421" t="s">
        <v>403</v>
      </c>
    </row>
    <row r="24" spans="1:1" s="421" customFormat="1" ht="15" x14ac:dyDescent="0.25">
      <c r="A24" s="421" t="s">
        <v>404</v>
      </c>
    </row>
    <row r="25" spans="1:1" s="421" customFormat="1" ht="15" x14ac:dyDescent="0.25">
      <c r="A25" s="421" t="s">
        <v>405</v>
      </c>
    </row>
    <row r="26" spans="1:1" s="421" customFormat="1" ht="15" x14ac:dyDescent="0.25">
      <c r="A26" s="421" t="s">
        <v>406</v>
      </c>
    </row>
    <row r="27" spans="1:1" s="421" customFormat="1" ht="15" x14ac:dyDescent="0.25">
      <c r="A27" s="421" t="s">
        <v>407</v>
      </c>
    </row>
    <row r="28" spans="1:1" s="421" customFormat="1" ht="15" x14ac:dyDescent="0.25">
      <c r="A28" s="421" t="s">
        <v>408</v>
      </c>
    </row>
    <row r="29" spans="1:1" s="421" customFormat="1" ht="15" x14ac:dyDescent="0.25">
      <c r="A29" s="421" t="s">
        <v>409</v>
      </c>
    </row>
    <row r="30" spans="1:1" s="421" customFormat="1" ht="15" x14ac:dyDescent="0.25">
      <c r="A30" s="421" t="s">
        <v>410</v>
      </c>
    </row>
    <row r="31" spans="1:1" s="421" customFormat="1" ht="15" x14ac:dyDescent="0.25">
      <c r="A31" s="421" t="s">
        <v>411</v>
      </c>
    </row>
    <row r="32" spans="1:1" s="421" customFormat="1" ht="15" x14ac:dyDescent="0.25">
      <c r="A32" s="421" t="s">
        <v>412</v>
      </c>
    </row>
    <row r="33" spans="1:1" s="421" customFormat="1" ht="15" x14ac:dyDescent="0.25">
      <c r="A33" s="421" t="s">
        <v>413</v>
      </c>
    </row>
    <row r="34" spans="1:1" s="421" customFormat="1" ht="15" x14ac:dyDescent="0.25">
      <c r="A34" s="421" t="s">
        <v>414</v>
      </c>
    </row>
    <row r="35" spans="1:1" s="421" customFormat="1" ht="15" x14ac:dyDescent="0.25">
      <c r="A35" s="421" t="s">
        <v>415</v>
      </c>
    </row>
  </sheetData>
  <phoneticPr fontId="29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98" t="s">
        <v>77</v>
      </c>
      <c r="E1" s="101" t="s">
        <v>84</v>
      </c>
    </row>
    <row r="3" spans="1:5" x14ac:dyDescent="0.2">
      <c r="A3" s="107"/>
      <c r="B3" s="108"/>
      <c r="C3" s="107"/>
      <c r="D3" s="110"/>
      <c r="E3" s="108"/>
    </row>
    <row r="4" spans="1:5" ht="15.75" x14ac:dyDescent="0.25">
      <c r="A4" s="69" t="s">
        <v>363</v>
      </c>
      <c r="B4" s="109"/>
      <c r="C4" s="118"/>
      <c r="D4" s="110"/>
      <c r="E4" s="108"/>
    </row>
    <row r="5" spans="1:5" x14ac:dyDescent="0.2">
      <c r="A5" s="107"/>
      <c r="B5" s="108"/>
      <c r="C5" s="107"/>
      <c r="D5" s="110"/>
      <c r="E5" s="108"/>
    </row>
    <row r="6" spans="1:5" x14ac:dyDescent="0.2">
      <c r="A6" s="107" t="s">
        <v>174</v>
      </c>
      <c r="B6" s="108">
        <f>+'1.1.sz.mell.'!C51</f>
        <v>278106</v>
      </c>
      <c r="C6" s="107" t="s">
        <v>369</v>
      </c>
      <c r="D6" s="110">
        <f>+'2.1.sz.mell  '!C18+'2.2.sz.mell  '!C18</f>
        <v>278106</v>
      </c>
      <c r="E6" s="108">
        <f t="shared" ref="E6:E15" si="0">+B6-D6</f>
        <v>0</v>
      </c>
    </row>
    <row r="7" spans="1:5" x14ac:dyDescent="0.2">
      <c r="A7" s="107" t="s">
        <v>78</v>
      </c>
      <c r="B7" s="108">
        <f>+'1.1.sz.mell.'!C65</f>
        <v>330703</v>
      </c>
      <c r="C7" s="107" t="s">
        <v>370</v>
      </c>
      <c r="D7" s="110">
        <f>+'2.1.sz.mell  '!C28+'2.2.sz.mell  '!C32</f>
        <v>330703</v>
      </c>
      <c r="E7" s="108">
        <f t="shared" si="0"/>
        <v>0</v>
      </c>
    </row>
    <row r="8" spans="1:5" x14ac:dyDescent="0.2">
      <c r="A8" s="107" t="s">
        <v>361</v>
      </c>
      <c r="B8" s="108">
        <f>+'1.1.sz.mell.'!C67</f>
        <v>331044</v>
      </c>
      <c r="C8" s="107" t="s">
        <v>371</v>
      </c>
      <c r="D8" s="110">
        <f>+'2.1.sz.mell  '!C30+'2.2.sz.mell  '!C34</f>
        <v>331044</v>
      </c>
      <c r="E8" s="108">
        <f t="shared" si="0"/>
        <v>0</v>
      </c>
    </row>
    <row r="9" spans="1:5" x14ac:dyDescent="0.2">
      <c r="A9" s="107"/>
      <c r="B9" s="108"/>
      <c r="C9" s="107"/>
      <c r="D9" s="110"/>
      <c r="E9" s="108"/>
    </row>
    <row r="10" spans="1:5" x14ac:dyDescent="0.2">
      <c r="A10" s="107"/>
      <c r="B10" s="108"/>
      <c r="C10" s="107"/>
      <c r="D10" s="110"/>
      <c r="E10" s="108"/>
    </row>
    <row r="11" spans="1:5" ht="15.75" x14ac:dyDescent="0.25">
      <c r="A11" s="69" t="s">
        <v>364</v>
      </c>
      <c r="B11" s="109"/>
      <c r="C11" s="118"/>
      <c r="D11" s="110"/>
      <c r="E11" s="108"/>
    </row>
    <row r="12" spans="1:5" x14ac:dyDescent="0.2">
      <c r="A12" s="107"/>
      <c r="B12" s="108"/>
      <c r="C12" s="107"/>
      <c r="D12" s="110"/>
      <c r="E12" s="108"/>
    </row>
    <row r="13" spans="1:5" x14ac:dyDescent="0.2">
      <c r="A13" s="107" t="s">
        <v>102</v>
      </c>
      <c r="B13" s="108">
        <f>+'1.1.sz.mell.'!C102</f>
        <v>280362</v>
      </c>
      <c r="C13" s="107" t="s">
        <v>372</v>
      </c>
      <c r="D13" s="110">
        <f>+'2.1.sz.mell  '!J18+'2.2.sz.mell  '!J18</f>
        <v>280351</v>
      </c>
      <c r="E13" s="108">
        <f t="shared" si="0"/>
        <v>11</v>
      </c>
    </row>
    <row r="14" spans="1:5" x14ac:dyDescent="0.2">
      <c r="A14" s="107" t="s">
        <v>79</v>
      </c>
      <c r="B14" s="108">
        <f>+'1.1.sz.mell.'!C121</f>
        <v>280362</v>
      </c>
      <c r="C14" s="107" t="s">
        <v>373</v>
      </c>
      <c r="D14" s="110">
        <f>+'2.1.sz.mell  '!J28+'2.2.sz.mell  '!J32</f>
        <v>280362</v>
      </c>
      <c r="E14" s="108">
        <f t="shared" si="0"/>
        <v>0</v>
      </c>
    </row>
    <row r="15" spans="1:5" x14ac:dyDescent="0.2">
      <c r="A15" s="107" t="s">
        <v>362</v>
      </c>
      <c r="B15" s="108">
        <f>+'1.1.sz.mell.'!C123</f>
        <v>286377</v>
      </c>
      <c r="C15" s="107" t="s">
        <v>374</v>
      </c>
      <c r="D15" s="110">
        <f>+'2.1.sz.mell  '!J30+'2.2.sz.mell  '!J34</f>
        <v>286377</v>
      </c>
      <c r="E15" s="108">
        <f t="shared" si="0"/>
        <v>0</v>
      </c>
    </row>
    <row r="16" spans="1:5" x14ac:dyDescent="0.2">
      <c r="A16" s="99"/>
      <c r="B16" s="99"/>
      <c r="C16" s="107"/>
      <c r="D16" s="110"/>
      <c r="E16" s="100"/>
    </row>
    <row r="17" spans="1:5" x14ac:dyDescent="0.2">
      <c r="A17" s="99"/>
      <c r="B17" s="99"/>
      <c r="C17" s="99"/>
      <c r="D17" s="99"/>
      <c r="E17" s="99"/>
    </row>
    <row r="18" spans="1:5" x14ac:dyDescent="0.2">
      <c r="A18" s="99"/>
      <c r="B18" s="99"/>
      <c r="C18" s="99"/>
      <c r="D18" s="99"/>
      <c r="E18" s="99"/>
    </row>
    <row r="19" spans="1:5" x14ac:dyDescent="0.2">
      <c r="A19" s="99"/>
      <c r="B19" s="99"/>
      <c r="C19" s="99"/>
      <c r="D19" s="99"/>
      <c r="E19" s="99"/>
    </row>
  </sheetData>
  <sheetProtection sheet="1"/>
  <phoneticPr fontId="29" type="noConversion"/>
  <conditionalFormatting sqref="E3:E15">
    <cfRule type="cellIs" dxfId="6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26"/>
  <sheetViews>
    <sheetView view="pageLayout" topLeftCell="C2" zoomScaleNormal="100" zoomScaleSheetLayoutView="100" workbookViewId="0">
      <selection activeCell="G22" sqref="G22"/>
    </sheetView>
  </sheetViews>
  <sheetFormatPr defaultColWidth="9.33203125" defaultRowHeight="15.75" x14ac:dyDescent="0.25"/>
  <cols>
    <col min="1" max="1" width="7.6640625" style="1328" customWidth="1"/>
    <col min="2" max="2" width="78.5" style="1328" customWidth="1"/>
    <col min="3" max="4" width="16.83203125" style="1328" customWidth="1"/>
    <col min="5" max="5" width="23.5" style="1328" customWidth="1"/>
    <col min="6" max="16384" width="9.33203125" style="1328"/>
  </cols>
  <sheetData>
    <row r="1" spans="1:5" hidden="1" x14ac:dyDescent="0.25"/>
    <row r="2" spans="1:5" x14ac:dyDescent="0.25">
      <c r="A2" s="1629" t="s">
        <v>1103</v>
      </c>
      <c r="B2" s="1629"/>
      <c r="C2" s="1629"/>
      <c r="D2" s="1629"/>
      <c r="E2" s="1629"/>
    </row>
    <row r="3" spans="1:5" ht="15.75" customHeight="1" x14ac:dyDescent="0.25">
      <c r="A3" s="1630" t="s">
        <v>1104</v>
      </c>
      <c r="B3" s="1630"/>
      <c r="C3" s="1630"/>
      <c r="D3" s="1630"/>
      <c r="E3" s="1630"/>
    </row>
    <row r="4" spans="1:5" ht="15.75" customHeight="1" x14ac:dyDescent="0.25">
      <c r="A4" s="1631">
        <v>42369</v>
      </c>
      <c r="B4" s="1630"/>
      <c r="C4" s="1630"/>
      <c r="D4" s="1630"/>
      <c r="E4" s="1630"/>
    </row>
    <row r="5" spans="1:5" ht="15.75" customHeight="1" x14ac:dyDescent="0.25">
      <c r="A5" s="1329"/>
      <c r="B5" s="1329"/>
      <c r="C5" s="1329"/>
      <c r="D5" s="1329"/>
      <c r="E5" s="1329"/>
    </row>
    <row r="6" spans="1:5" s="1331" customFormat="1" x14ac:dyDescent="0.25">
      <c r="A6" s="1330"/>
      <c r="B6" s="1330"/>
      <c r="C6" s="1632" t="s">
        <v>270</v>
      </c>
      <c r="D6" s="1632"/>
      <c r="E6" s="1632"/>
    </row>
    <row r="7" spans="1:5" s="1333" customFormat="1" ht="47.25" x14ac:dyDescent="0.2">
      <c r="A7" s="1332"/>
      <c r="B7" s="1332" t="s">
        <v>12</v>
      </c>
      <c r="C7" s="1332" t="s">
        <v>1105</v>
      </c>
      <c r="D7" s="1332" t="s">
        <v>1106</v>
      </c>
      <c r="E7" s="1332" t="s">
        <v>443</v>
      </c>
    </row>
    <row r="8" spans="1:5" x14ac:dyDescent="0.25">
      <c r="A8" s="1334" t="s">
        <v>891</v>
      </c>
      <c r="B8" s="1335" t="s">
        <v>1107</v>
      </c>
      <c r="C8" s="1336">
        <v>420134</v>
      </c>
      <c r="D8" s="1336">
        <v>82</v>
      </c>
      <c r="E8" s="1336">
        <v>3794</v>
      </c>
    </row>
    <row r="9" spans="1:5" x14ac:dyDescent="0.25">
      <c r="A9" s="1334" t="s">
        <v>7</v>
      </c>
      <c r="B9" s="1335" t="s">
        <v>1108</v>
      </c>
      <c r="C9" s="1336">
        <v>263050</v>
      </c>
      <c r="D9" s="1336">
        <v>52700</v>
      </c>
      <c r="E9" s="1336">
        <v>79841</v>
      </c>
    </row>
    <row r="10" spans="1:5" x14ac:dyDescent="0.25">
      <c r="A10" s="1337" t="s">
        <v>8</v>
      </c>
      <c r="B10" s="1338" t="s">
        <v>1109</v>
      </c>
      <c r="C10" s="1339">
        <v>157084</v>
      </c>
      <c r="D10" s="1339">
        <v>-52618</v>
      </c>
      <c r="E10" s="1339">
        <v>-76047</v>
      </c>
    </row>
    <row r="11" spans="1:5" x14ac:dyDescent="0.25">
      <c r="A11" s="1334" t="s">
        <v>10</v>
      </c>
      <c r="B11" s="1335" t="s">
        <v>1110</v>
      </c>
      <c r="C11" s="1336">
        <v>47868</v>
      </c>
      <c r="D11" s="1336">
        <v>61879</v>
      </c>
      <c r="E11" s="1336">
        <v>86299</v>
      </c>
    </row>
    <row r="12" spans="1:5" x14ac:dyDescent="0.25">
      <c r="A12" s="1334" t="s">
        <v>1111</v>
      </c>
      <c r="B12" s="1335" t="s">
        <v>1112</v>
      </c>
      <c r="C12" s="1336">
        <v>129461</v>
      </c>
      <c r="D12" s="1336">
        <v>0</v>
      </c>
      <c r="E12" s="1336">
        <v>0</v>
      </c>
    </row>
    <row r="13" spans="1:5" x14ac:dyDescent="0.25">
      <c r="A13" s="1337" t="s">
        <v>1113</v>
      </c>
      <c r="B13" s="1338" t="s">
        <v>1114</v>
      </c>
      <c r="C13" s="1339">
        <v>-81593</v>
      </c>
      <c r="D13" s="1339">
        <v>61879</v>
      </c>
      <c r="E13" s="1339">
        <v>86299</v>
      </c>
    </row>
    <row r="14" spans="1:5" x14ac:dyDescent="0.25">
      <c r="A14" s="1340" t="s">
        <v>1115</v>
      </c>
      <c r="B14" s="1341" t="s">
        <v>1116</v>
      </c>
      <c r="C14" s="1342">
        <v>75491</v>
      </c>
      <c r="D14" s="1342">
        <v>9261</v>
      </c>
      <c r="E14" s="1342">
        <v>10252</v>
      </c>
    </row>
    <row r="15" spans="1:5" x14ac:dyDescent="0.25">
      <c r="A15" s="1334" t="s">
        <v>1117</v>
      </c>
      <c r="B15" s="1335" t="s">
        <v>1118</v>
      </c>
      <c r="C15" s="1336">
        <v>0</v>
      </c>
      <c r="D15" s="1336">
        <v>0</v>
      </c>
      <c r="E15" s="1336">
        <v>1326</v>
      </c>
    </row>
    <row r="16" spans="1:5" x14ac:dyDescent="0.25">
      <c r="A16" s="1334" t="s">
        <v>1119</v>
      </c>
      <c r="B16" s="1335" t="s">
        <v>1120</v>
      </c>
      <c r="C16" s="1336">
        <v>0</v>
      </c>
      <c r="D16" s="1336">
        <v>0</v>
      </c>
      <c r="E16" s="1336">
        <v>1148</v>
      </c>
    </row>
    <row r="17" spans="1:5" x14ac:dyDescent="0.25">
      <c r="A17" s="1337" t="s">
        <v>1121</v>
      </c>
      <c r="B17" s="1338" t="s">
        <v>1122</v>
      </c>
      <c r="C17" s="1339">
        <v>0</v>
      </c>
      <c r="D17" s="1339">
        <v>0</v>
      </c>
      <c r="E17" s="1339">
        <v>178</v>
      </c>
    </row>
    <row r="18" spans="1:5" x14ac:dyDescent="0.25">
      <c r="A18" s="1334" t="s">
        <v>1123</v>
      </c>
      <c r="B18" s="1335" t="s">
        <v>1124</v>
      </c>
      <c r="C18" s="1336">
        <v>0</v>
      </c>
      <c r="D18" s="1336">
        <v>0</v>
      </c>
      <c r="E18" s="1336">
        <v>0</v>
      </c>
    </row>
    <row r="19" spans="1:5" x14ac:dyDescent="0.25">
      <c r="A19" s="1334" t="s">
        <v>1125</v>
      </c>
      <c r="B19" s="1335" t="s">
        <v>1126</v>
      </c>
      <c r="C19" s="1336">
        <v>0</v>
      </c>
      <c r="D19" s="1336">
        <v>0</v>
      </c>
      <c r="E19" s="1336">
        <v>0</v>
      </c>
    </row>
    <row r="20" spans="1:5" x14ac:dyDescent="0.25">
      <c r="A20" s="1337" t="s">
        <v>1127</v>
      </c>
      <c r="B20" s="1338" t="s">
        <v>1128</v>
      </c>
      <c r="C20" s="1339">
        <v>0</v>
      </c>
      <c r="D20" s="1339">
        <v>0</v>
      </c>
      <c r="E20" s="1339">
        <v>0</v>
      </c>
    </row>
    <row r="21" spans="1:5" x14ac:dyDescent="0.25">
      <c r="A21" s="1337" t="s">
        <v>1129</v>
      </c>
      <c r="B21" s="1338" t="s">
        <v>1130</v>
      </c>
      <c r="C21" s="1339">
        <v>0</v>
      </c>
      <c r="D21" s="1339">
        <v>0</v>
      </c>
      <c r="E21" s="1339">
        <v>178</v>
      </c>
    </row>
    <row r="22" spans="1:5" x14ac:dyDescent="0.25">
      <c r="A22" s="1340" t="s">
        <v>1131</v>
      </c>
      <c r="B22" s="1341" t="s">
        <v>1132</v>
      </c>
      <c r="C22" s="1342">
        <v>75491</v>
      </c>
      <c r="D22" s="1342">
        <v>9261</v>
      </c>
      <c r="E22" s="1342">
        <v>10430</v>
      </c>
    </row>
    <row r="23" spans="1:5" ht="31.5" hidden="1" x14ac:dyDescent="0.25">
      <c r="A23" s="1337" t="s">
        <v>1133</v>
      </c>
      <c r="B23" s="1338" t="s">
        <v>1134</v>
      </c>
      <c r="C23" s="1339"/>
      <c r="D23" s="1339"/>
      <c r="E23" s="1339"/>
    </row>
    <row r="24" spans="1:5" hidden="1" x14ac:dyDescent="0.25">
      <c r="A24" s="1340" t="s">
        <v>1135</v>
      </c>
      <c r="B24" s="1341" t="s">
        <v>1136</v>
      </c>
      <c r="C24" s="1342"/>
      <c r="D24" s="1342"/>
      <c r="E24" s="1342"/>
    </row>
    <row r="25" spans="1:5" ht="31.5" hidden="1" x14ac:dyDescent="0.25">
      <c r="A25" s="1337" t="s">
        <v>1137</v>
      </c>
      <c r="B25" s="1338" t="s">
        <v>1138</v>
      </c>
      <c r="C25" s="1339"/>
      <c r="D25" s="1339"/>
      <c r="E25" s="1339"/>
    </row>
    <row r="26" spans="1:5" ht="31.5" hidden="1" x14ac:dyDescent="0.25">
      <c r="A26" s="1337" t="s">
        <v>1139</v>
      </c>
      <c r="B26" s="1338" t="s">
        <v>1140</v>
      </c>
      <c r="C26" s="1339">
        <v>0</v>
      </c>
      <c r="D26" s="1339">
        <v>0</v>
      </c>
      <c r="E26" s="1339">
        <v>0</v>
      </c>
    </row>
  </sheetData>
  <mergeCells count="4">
    <mergeCell ref="A2:E2"/>
    <mergeCell ref="A3:E3"/>
    <mergeCell ref="A4:E4"/>
    <mergeCell ref="C6:E6"/>
  </mergeCells>
  <pageMargins left="0.74803149606299213" right="0.74803149606299213" top="0.98425196850393704" bottom="0.98425196850393704" header="0.51181102362204722" footer="0.51181102362204722"/>
  <pageSetup scale="66" orientation="portrait" horizontalDpi="300" verticalDpi="300" r:id="rId1"/>
  <headerFooter alignWithMargins="0">
    <oddHeader xml:space="preserve">&amp;R&amp;"Times New Roman CE,Félkövér"&amp;11 3.3. melléklet a 3/2016. (IV.29.) önkormányzati rendelethez  &amp;"Times New Roman CE,Normál"&amp;10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12"/>
  <sheetViews>
    <sheetView view="pageLayout" zoomScaleNormal="120" zoomScaleSheetLayoutView="100" workbookViewId="0">
      <selection sqref="A1:G1"/>
    </sheetView>
  </sheetViews>
  <sheetFormatPr defaultColWidth="9.33203125" defaultRowHeight="15" x14ac:dyDescent="0.25"/>
  <cols>
    <col min="1" max="1" width="5.6640625" style="121" customWidth="1"/>
    <col min="2" max="2" width="68.6640625" style="121" customWidth="1"/>
    <col min="3" max="4" width="11.5" style="121" customWidth="1"/>
    <col min="5" max="5" width="11.5" style="121" hidden="1" customWidth="1"/>
    <col min="6" max="6" width="11.1640625" style="121" bestFit="1" customWidth="1"/>
    <col min="7" max="7" width="11.5" style="121" customWidth="1"/>
    <col min="8" max="16384" width="9.33203125" style="121"/>
  </cols>
  <sheetData>
    <row r="1" spans="1:7" ht="33" customHeight="1" x14ac:dyDescent="0.25">
      <c r="A1" s="1633" t="s">
        <v>1141</v>
      </c>
      <c r="B1" s="1633"/>
      <c r="C1" s="1633"/>
      <c r="D1" s="1633"/>
      <c r="E1" s="1633"/>
      <c r="F1" s="1633"/>
      <c r="G1" s="1633"/>
    </row>
    <row r="2" spans="1:7" ht="15.95" customHeight="1" thickBot="1" x14ac:dyDescent="0.3">
      <c r="A2" s="1343"/>
      <c r="B2" s="1343"/>
      <c r="C2" s="1344"/>
      <c r="D2" s="1344"/>
      <c r="E2" s="1344"/>
      <c r="F2" s="1344"/>
      <c r="G2" s="1344" t="s">
        <v>270</v>
      </c>
    </row>
    <row r="3" spans="1:7" ht="36.75" customHeight="1" thickBot="1" x14ac:dyDescent="0.3">
      <c r="A3" s="142" t="s">
        <v>853</v>
      </c>
      <c r="B3" s="456" t="s">
        <v>1142</v>
      </c>
      <c r="C3" s="1345" t="s">
        <v>1143</v>
      </c>
      <c r="D3" s="1345" t="s">
        <v>941</v>
      </c>
      <c r="E3" s="1346"/>
      <c r="F3" s="1347" t="s">
        <v>1494</v>
      </c>
      <c r="G3" s="1348" t="s">
        <v>1144</v>
      </c>
    </row>
    <row r="4" spans="1:7" ht="15.75" thickBot="1" x14ac:dyDescent="0.3">
      <c r="A4" s="143">
        <v>1</v>
      </c>
      <c r="B4" s="457">
        <v>2</v>
      </c>
      <c r="C4" s="143">
        <v>3</v>
      </c>
      <c r="D4" s="1349">
        <v>4</v>
      </c>
      <c r="E4" s="1349"/>
      <c r="F4" s="1350">
        <v>5</v>
      </c>
      <c r="G4" s="1351">
        <v>6</v>
      </c>
    </row>
    <row r="5" spans="1:7" x14ac:dyDescent="0.25">
      <c r="A5" s="144" t="s">
        <v>855</v>
      </c>
      <c r="B5" s="1352" t="s">
        <v>899</v>
      </c>
      <c r="C5" s="1353">
        <v>92033</v>
      </c>
      <c r="D5" s="1354">
        <v>96496</v>
      </c>
      <c r="E5" s="1355"/>
      <c r="F5" s="1354">
        <v>89491</v>
      </c>
      <c r="G5" s="1356">
        <v>94500</v>
      </c>
    </row>
    <row r="6" spans="1:7" ht="24.75" x14ac:dyDescent="0.25">
      <c r="A6" s="145" t="s">
        <v>856</v>
      </c>
      <c r="B6" s="1357" t="s">
        <v>1145</v>
      </c>
      <c r="C6" s="1358">
        <v>374</v>
      </c>
      <c r="D6" s="1359">
        <v>16098</v>
      </c>
      <c r="E6" s="1360"/>
      <c r="F6" s="1359">
        <v>13700</v>
      </c>
      <c r="G6" s="1361">
        <v>15474</v>
      </c>
    </row>
    <row r="7" spans="1:7" x14ac:dyDescent="0.25">
      <c r="A7" s="145" t="s">
        <v>857</v>
      </c>
      <c r="B7" s="1362" t="s">
        <v>1146</v>
      </c>
      <c r="C7" s="1358">
        <v>1713</v>
      </c>
      <c r="D7" s="1363"/>
      <c r="E7" s="1360"/>
      <c r="F7" s="1363"/>
      <c r="G7" s="1361"/>
    </row>
    <row r="8" spans="1:7" ht="24.75" x14ac:dyDescent="0.25">
      <c r="A8" s="145" t="s">
        <v>858</v>
      </c>
      <c r="B8" s="1362" t="s">
        <v>1147</v>
      </c>
      <c r="C8" s="1358">
        <v>0</v>
      </c>
      <c r="D8" s="1363"/>
      <c r="E8" s="1360"/>
      <c r="F8" s="1363"/>
      <c r="G8" s="1361">
        <f>'[1]1.1.sz.mell.'!C47</f>
        <v>0</v>
      </c>
    </row>
    <row r="9" spans="1:7" x14ac:dyDescent="0.25">
      <c r="A9" s="146" t="s">
        <v>859</v>
      </c>
      <c r="B9" s="1362" t="s">
        <v>1148</v>
      </c>
      <c r="C9" s="1358">
        <v>0</v>
      </c>
      <c r="D9" s="1363">
        <v>2648</v>
      </c>
      <c r="E9" s="1360"/>
      <c r="F9" s="1363">
        <v>2298</v>
      </c>
      <c r="G9" s="1361">
        <v>2100</v>
      </c>
    </row>
    <row r="10" spans="1:7" ht="15.75" thickBot="1" x14ac:dyDescent="0.3">
      <c r="A10" s="145" t="s">
        <v>860</v>
      </c>
      <c r="B10" s="1364" t="s">
        <v>1149</v>
      </c>
      <c r="C10" s="1365">
        <v>0</v>
      </c>
      <c r="D10" s="1366"/>
      <c r="E10" s="1367"/>
      <c r="F10" s="1366"/>
      <c r="G10" s="1368">
        <v>0</v>
      </c>
    </row>
    <row r="11" spans="1:7" ht="15.75" thickBot="1" x14ac:dyDescent="0.3">
      <c r="A11" s="1634" t="s">
        <v>1150</v>
      </c>
      <c r="B11" s="1635"/>
      <c r="C11" s="1369">
        <f>SUM(C5:C10)</f>
        <v>94120</v>
      </c>
      <c r="D11" s="1369">
        <f>SUM(D5:D10)</f>
        <v>115242</v>
      </c>
      <c r="E11" s="1369">
        <f>SUM(E5:E10)</f>
        <v>0</v>
      </c>
      <c r="F11" s="1369">
        <f>SUM(F5:F10)</f>
        <v>105489</v>
      </c>
      <c r="G11" s="1369">
        <f>SUM(G5:G10)</f>
        <v>112074</v>
      </c>
    </row>
    <row r="12" spans="1:7" ht="27" customHeight="1" x14ac:dyDescent="0.25">
      <c r="A12" s="1636" t="s">
        <v>1151</v>
      </c>
      <c r="B12" s="1636"/>
      <c r="C12" s="1636"/>
      <c r="D12" s="1636"/>
      <c r="E12" s="1636"/>
      <c r="F12" s="1636"/>
      <c r="G12" s="1636"/>
    </row>
  </sheetData>
  <mergeCells count="3">
    <mergeCell ref="A1:G1"/>
    <mergeCell ref="A11:B11"/>
    <mergeCell ref="A12:G12"/>
  </mergeCells>
  <printOptions horizontalCentered="1"/>
  <pageMargins left="0.23622047244094491" right="0.23622047244094491" top="1.1417322834645669" bottom="0.74803149606299213" header="0.31496062992125984" footer="0.31496062992125984"/>
  <pageSetup paperSize="9" scale="92" orientation="portrait" r:id="rId1"/>
  <headerFooter alignWithMargins="0">
    <oddHeader>&amp;R&amp;"Times New Roman CE,Félkövér dőlt"&amp;11 &amp;"Times New Roman CE,Félkövér"4. melléklet a 3/2016. (IV.29.)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view="pageLayout" zoomScaleNormal="120" zoomScaleSheetLayoutView="115" workbookViewId="0">
      <selection activeCell="B18" sqref="B18"/>
    </sheetView>
  </sheetViews>
  <sheetFormatPr defaultColWidth="9.33203125" defaultRowHeight="15" x14ac:dyDescent="0.25"/>
  <cols>
    <col min="1" max="1" width="5.6640625" style="121" customWidth="1"/>
    <col min="2" max="2" width="51.6640625" style="121" customWidth="1"/>
    <col min="3" max="4" width="13.1640625" style="1" hidden="1" customWidth="1"/>
    <col min="5" max="5" width="13.1640625" style="767" customWidth="1"/>
    <col min="6" max="8" width="13.33203125" style="1" hidden="1" customWidth="1"/>
    <col min="9" max="10" width="13.1640625" style="767" customWidth="1"/>
    <col min="11" max="11" width="13.1640625" style="121" customWidth="1"/>
    <col min="12" max="16384" width="9.33203125" style="121"/>
  </cols>
  <sheetData>
    <row r="1" spans="1:28" ht="33" customHeight="1" x14ac:dyDescent="0.25">
      <c r="A1" s="1633" t="s">
        <v>1043</v>
      </c>
      <c r="B1" s="1633"/>
      <c r="C1" s="1633"/>
      <c r="D1" s="1633"/>
      <c r="E1" s="1633"/>
      <c r="F1" s="1633"/>
      <c r="G1" s="1633"/>
      <c r="H1" s="1633"/>
      <c r="I1" s="1633"/>
      <c r="J1" s="1633"/>
      <c r="K1" s="1633"/>
    </row>
    <row r="2" spans="1:28" ht="15.95" customHeight="1" thickBot="1" x14ac:dyDescent="0.3">
      <c r="A2" s="458"/>
      <c r="B2" s="458"/>
      <c r="C2" s="673"/>
      <c r="D2" s="673"/>
      <c r="E2" s="673"/>
      <c r="F2" s="673"/>
      <c r="G2" s="673"/>
      <c r="J2" s="673"/>
      <c r="K2" s="673" t="s">
        <v>894</v>
      </c>
    </row>
    <row r="3" spans="1:28" ht="39" thickBot="1" x14ac:dyDescent="0.3">
      <c r="A3" s="142" t="s">
        <v>853</v>
      </c>
      <c r="B3" s="456" t="s">
        <v>648</v>
      </c>
      <c r="C3" s="674" t="s">
        <v>1044</v>
      </c>
      <c r="D3" s="557" t="s">
        <v>1045</v>
      </c>
      <c r="E3" s="1000" t="s">
        <v>1076</v>
      </c>
      <c r="F3" s="1001" t="s">
        <v>1046</v>
      </c>
      <c r="G3" s="557" t="s">
        <v>1047</v>
      </c>
      <c r="H3" s="1001" t="s">
        <v>1048</v>
      </c>
      <c r="I3" s="1150" t="s">
        <v>1077</v>
      </c>
      <c r="J3" s="1160" t="s">
        <v>1095</v>
      </c>
      <c r="K3" s="1161" t="s">
        <v>1096</v>
      </c>
    </row>
    <row r="4" spans="1:28" ht="15.75" thickBot="1" x14ac:dyDescent="0.3">
      <c r="A4" s="143">
        <v>1</v>
      </c>
      <c r="B4" s="457">
        <v>2</v>
      </c>
      <c r="C4" s="675">
        <v>3</v>
      </c>
      <c r="D4" s="1002">
        <v>4</v>
      </c>
      <c r="E4" s="1003">
        <v>3</v>
      </c>
      <c r="F4" s="1002">
        <v>6</v>
      </c>
      <c r="G4" s="1002">
        <v>7</v>
      </c>
      <c r="H4" s="1002">
        <v>8</v>
      </c>
      <c r="I4" s="1151">
        <v>4</v>
      </c>
      <c r="J4" s="1151">
        <v>5</v>
      </c>
      <c r="K4" s="1151">
        <v>6</v>
      </c>
    </row>
    <row r="5" spans="1:28" x14ac:dyDescent="0.25">
      <c r="A5" s="144" t="s">
        <v>855</v>
      </c>
      <c r="B5" s="512" t="s">
        <v>643</v>
      </c>
      <c r="C5" s="676">
        <v>2484</v>
      </c>
      <c r="D5" s="1004">
        <v>2974</v>
      </c>
      <c r="E5" s="1005">
        <v>100</v>
      </c>
      <c r="F5" s="1004">
        <f>C5*0.9</f>
        <v>2235.6</v>
      </c>
      <c r="G5" s="1004">
        <f>D5*0.9</f>
        <v>2676.6</v>
      </c>
      <c r="H5" s="1004">
        <f>E5*0.9</f>
        <v>90</v>
      </c>
      <c r="I5" s="1152">
        <f>100+834-323</f>
        <v>611</v>
      </c>
      <c r="J5" s="1158">
        <v>618</v>
      </c>
      <c r="K5" s="1279">
        <f>J5/I5</f>
        <v>1.0114566284779052</v>
      </c>
    </row>
    <row r="6" spans="1:28" x14ac:dyDescent="0.25">
      <c r="A6" s="145" t="s">
        <v>856</v>
      </c>
      <c r="B6" s="513" t="s">
        <v>650</v>
      </c>
      <c r="C6" s="677">
        <v>7546</v>
      </c>
      <c r="D6" s="140">
        <v>4220</v>
      </c>
      <c r="E6" s="1006">
        <v>180</v>
      </c>
      <c r="F6" s="140">
        <f>C6*0.8</f>
        <v>6036.8</v>
      </c>
      <c r="G6" s="140">
        <f>D6*0.8</f>
        <v>3376</v>
      </c>
      <c r="H6" s="139">
        <f>E6*0.9</f>
        <v>162</v>
      </c>
      <c r="I6" s="1153">
        <f>180+576-196</f>
        <v>560</v>
      </c>
      <c r="J6" s="1006">
        <v>560</v>
      </c>
      <c r="K6" s="1279">
        <f>J6/I6</f>
        <v>1</v>
      </c>
    </row>
    <row r="7" spans="1:28" x14ac:dyDescent="0.25">
      <c r="A7" s="146" t="s">
        <v>857</v>
      </c>
      <c r="B7" s="514" t="s">
        <v>651</v>
      </c>
      <c r="C7" s="678">
        <v>2431</v>
      </c>
      <c r="D7" s="141">
        <v>2221</v>
      </c>
      <c r="E7" s="1007">
        <v>80</v>
      </c>
      <c r="F7" s="141">
        <f>C7*0.9</f>
        <v>2187.9</v>
      </c>
      <c r="G7" s="141">
        <f>D7*0.9</f>
        <v>1998.9</v>
      </c>
      <c r="H7" s="140">
        <f>E7*0.9</f>
        <v>72</v>
      </c>
      <c r="I7" s="1154">
        <f>80+658+370-356</f>
        <v>752</v>
      </c>
      <c r="J7" s="1006">
        <v>752</v>
      </c>
      <c r="K7" s="1279">
        <f>J7/I7</f>
        <v>1</v>
      </c>
    </row>
    <row r="8" spans="1:28" x14ac:dyDescent="0.25">
      <c r="A8" s="146" t="s">
        <v>858</v>
      </c>
      <c r="B8" s="514" t="s">
        <v>647</v>
      </c>
      <c r="C8" s="678">
        <v>144</v>
      </c>
      <c r="D8" s="141">
        <v>0</v>
      </c>
      <c r="E8" s="1007">
        <v>30</v>
      </c>
      <c r="F8" s="141"/>
      <c r="G8" s="141"/>
      <c r="H8" s="1008"/>
      <c r="I8" s="1154">
        <v>30</v>
      </c>
      <c r="J8" s="1006">
        <v>23</v>
      </c>
      <c r="K8" s="1279">
        <f>J8/I8</f>
        <v>0.76666666666666672</v>
      </c>
    </row>
    <row r="9" spans="1:28" x14ac:dyDescent="0.25">
      <c r="A9" s="145" t="s">
        <v>859</v>
      </c>
      <c r="B9" s="514" t="s">
        <v>657</v>
      </c>
      <c r="C9" s="678"/>
      <c r="D9" s="141">
        <v>1937</v>
      </c>
      <c r="E9" s="1007">
        <v>0</v>
      </c>
      <c r="F9" s="141">
        <v>2488</v>
      </c>
      <c r="G9" s="141">
        <v>2100</v>
      </c>
      <c r="H9" s="141"/>
      <c r="I9" s="1154">
        <v>0</v>
      </c>
      <c r="J9" s="1006"/>
      <c r="K9" s="1279"/>
    </row>
    <row r="10" spans="1:28" x14ac:dyDescent="0.25">
      <c r="A10" s="146" t="s">
        <v>860</v>
      </c>
      <c r="B10" s="514" t="s">
        <v>644</v>
      </c>
      <c r="C10" s="678"/>
      <c r="D10" s="141">
        <v>0</v>
      </c>
      <c r="E10" s="1007">
        <v>0</v>
      </c>
      <c r="F10" s="141">
        <v>133</v>
      </c>
      <c r="G10" s="141"/>
      <c r="H10" s="141"/>
      <c r="I10" s="1154">
        <v>0</v>
      </c>
      <c r="J10" s="1006"/>
      <c r="K10" s="1279"/>
    </row>
    <row r="11" spans="1:28" x14ac:dyDescent="0.25">
      <c r="A11" s="146" t="s">
        <v>861</v>
      </c>
      <c r="B11" s="514" t="s">
        <v>645</v>
      </c>
      <c r="C11" s="678">
        <v>390</v>
      </c>
      <c r="D11" s="141">
        <v>190</v>
      </c>
      <c r="E11" s="1007">
        <v>0</v>
      </c>
      <c r="F11" s="141">
        <v>360</v>
      </c>
      <c r="G11" s="141">
        <v>160</v>
      </c>
      <c r="H11" s="141"/>
      <c r="I11" s="1154">
        <v>150</v>
      </c>
      <c r="J11" s="1006">
        <v>140</v>
      </c>
      <c r="K11" s="1279">
        <f>J11/I11</f>
        <v>0.93333333333333335</v>
      </c>
    </row>
    <row r="12" spans="1:28" ht="15.75" thickBot="1" x14ac:dyDescent="0.3">
      <c r="A12" s="145" t="s">
        <v>862</v>
      </c>
      <c r="B12" s="514"/>
      <c r="C12" s="678"/>
      <c r="D12" s="141"/>
      <c r="E12" s="1007"/>
      <c r="F12" s="141"/>
      <c r="G12" s="141"/>
      <c r="H12" s="141"/>
      <c r="I12" s="1154"/>
      <c r="J12" s="1007"/>
      <c r="K12" s="1280"/>
    </row>
    <row r="13" spans="1:28" ht="17.25" customHeight="1" thickBot="1" x14ac:dyDescent="0.3">
      <c r="A13" s="143"/>
      <c r="B13" s="515" t="s">
        <v>649</v>
      </c>
      <c r="C13" s="679">
        <f t="shared" ref="C13:H13" si="0">SUM(C5:C12)</f>
        <v>12995</v>
      </c>
      <c r="D13" s="1009">
        <f t="shared" si="0"/>
        <v>11542</v>
      </c>
      <c r="E13" s="1010">
        <f t="shared" si="0"/>
        <v>390</v>
      </c>
      <c r="F13" s="1009">
        <f t="shared" si="0"/>
        <v>13441.3</v>
      </c>
      <c r="G13" s="1009">
        <f t="shared" si="0"/>
        <v>10311.5</v>
      </c>
      <c r="H13" s="1009">
        <f t="shared" si="0"/>
        <v>324</v>
      </c>
      <c r="I13" s="1155">
        <f t="shared" ref="I13:J13" si="1">SUM(I5:I12)</f>
        <v>2103</v>
      </c>
      <c r="J13" s="1155">
        <f t="shared" si="1"/>
        <v>2093</v>
      </c>
      <c r="K13" s="1281">
        <f>J13/I13</f>
        <v>0.99524488825487401</v>
      </c>
    </row>
    <row r="15" spans="1:28" ht="15.75" thickBot="1" x14ac:dyDescent="0.3">
      <c r="A15" s="458"/>
      <c r="B15" s="458"/>
      <c r="C15" s="673"/>
      <c r="D15" s="673"/>
      <c r="E15" s="766"/>
      <c r="F15" s="673"/>
      <c r="G15" s="673"/>
      <c r="H15" s="673" t="s">
        <v>894</v>
      </c>
      <c r="I15" s="766"/>
      <c r="J15" s="766"/>
      <c r="K15" s="420"/>
      <c r="L15" s="453"/>
      <c r="M15" s="358"/>
      <c r="N15" s="359"/>
      <c r="O15" s="359"/>
      <c r="P15" s="359"/>
      <c r="Q15" s="359"/>
      <c r="R15" s="359"/>
      <c r="S15" s="420"/>
      <c r="T15" s="420"/>
      <c r="U15" s="420"/>
      <c r="V15" s="453"/>
      <c r="W15" s="420"/>
      <c r="X15" s="420"/>
      <c r="Y15" s="420"/>
      <c r="Z15" s="453"/>
      <c r="AA15" s="359"/>
      <c r="AB15" s="359"/>
    </row>
    <row r="16" spans="1:28" ht="39" thickBot="1" x14ac:dyDescent="0.3">
      <c r="A16" s="142" t="s">
        <v>853</v>
      </c>
      <c r="B16" s="456" t="s">
        <v>648</v>
      </c>
      <c r="C16" s="674" t="s">
        <v>1044</v>
      </c>
      <c r="D16" s="557" t="s">
        <v>1045</v>
      </c>
      <c r="E16" s="1000" t="s">
        <v>1076</v>
      </c>
      <c r="F16" s="1001" t="s">
        <v>1046</v>
      </c>
      <c r="G16" s="557" t="s">
        <v>1047</v>
      </c>
      <c r="H16" s="1001" t="s">
        <v>1048</v>
      </c>
      <c r="I16" s="1150" t="s">
        <v>1077</v>
      </c>
      <c r="J16" s="1160" t="s">
        <v>1095</v>
      </c>
      <c r="K16" s="1161" t="s">
        <v>1096</v>
      </c>
      <c r="L16" s="453"/>
      <c r="M16" s="358"/>
      <c r="N16" s="359"/>
      <c r="O16" s="359"/>
      <c r="P16" s="455"/>
      <c r="Q16" s="359"/>
      <c r="R16" s="359"/>
      <c r="S16" s="420"/>
      <c r="T16" s="420"/>
      <c r="U16" s="420"/>
      <c r="V16" s="453"/>
      <c r="W16" s="420"/>
      <c r="X16" s="420"/>
      <c r="Y16" s="420"/>
      <c r="Z16" s="453"/>
      <c r="AA16" s="359"/>
      <c r="AB16" s="359"/>
    </row>
    <row r="17" spans="1:11" ht="15.75" thickBot="1" x14ac:dyDescent="0.3">
      <c r="A17" s="143">
        <v>1</v>
      </c>
      <c r="B17" s="457">
        <v>2</v>
      </c>
      <c r="C17" s="675">
        <v>3</v>
      </c>
      <c r="D17" s="1002">
        <v>4</v>
      </c>
      <c r="E17" s="1003">
        <v>3</v>
      </c>
      <c r="F17" s="1002">
        <v>6</v>
      </c>
      <c r="G17" s="1002">
        <v>7</v>
      </c>
      <c r="H17" s="1002">
        <v>8</v>
      </c>
      <c r="I17" s="1151">
        <v>4</v>
      </c>
      <c r="J17" s="1151">
        <v>5</v>
      </c>
      <c r="K17" s="1151">
        <v>6</v>
      </c>
    </row>
    <row r="18" spans="1:11" x14ac:dyDescent="0.25">
      <c r="A18" s="144" t="s">
        <v>855</v>
      </c>
      <c r="B18" s="512" t="s">
        <v>427</v>
      </c>
      <c r="C18" s="676">
        <v>74</v>
      </c>
      <c r="D18" s="1004">
        <v>0</v>
      </c>
      <c r="E18" s="1005">
        <v>0</v>
      </c>
      <c r="F18" s="1004">
        <f>C18*0.9</f>
        <v>66.600000000000009</v>
      </c>
      <c r="G18" s="1004">
        <f>D18*0.9</f>
        <v>0</v>
      </c>
      <c r="H18" s="1004">
        <v>0</v>
      </c>
      <c r="I18" s="1152">
        <v>0</v>
      </c>
      <c r="J18" s="1158"/>
      <c r="K18" s="1159"/>
    </row>
    <row r="19" spans="1:11" x14ac:dyDescent="0.25">
      <c r="A19" s="145" t="s">
        <v>856</v>
      </c>
      <c r="B19" s="513" t="s">
        <v>652</v>
      </c>
      <c r="C19" s="677">
        <v>304</v>
      </c>
      <c r="D19" s="140">
        <v>0</v>
      </c>
      <c r="E19" s="1006">
        <v>0</v>
      </c>
      <c r="F19" s="140">
        <f>C19*0.75</f>
        <v>228</v>
      </c>
      <c r="G19" s="140">
        <f>D19*0.75</f>
        <v>0</v>
      </c>
      <c r="H19" s="140">
        <v>0</v>
      </c>
      <c r="I19" s="1153">
        <v>0</v>
      </c>
      <c r="J19" s="1006"/>
      <c r="K19" s="1156"/>
    </row>
    <row r="20" spans="1:11" x14ac:dyDescent="0.25">
      <c r="A20" s="146" t="s">
        <v>857</v>
      </c>
      <c r="B20" s="514" t="s">
        <v>653</v>
      </c>
      <c r="C20" s="678">
        <v>630</v>
      </c>
      <c r="D20" s="141">
        <v>1200</v>
      </c>
      <c r="E20" s="1007">
        <v>200</v>
      </c>
      <c r="F20" s="141"/>
      <c r="G20" s="141"/>
      <c r="H20" s="1011"/>
      <c r="I20" s="1154">
        <v>200</v>
      </c>
      <c r="J20" s="1006">
        <v>88</v>
      </c>
      <c r="K20" s="1282">
        <f>J20/I20</f>
        <v>0.44</v>
      </c>
    </row>
    <row r="21" spans="1:11" x14ac:dyDescent="0.25">
      <c r="A21" s="146" t="s">
        <v>858</v>
      </c>
      <c r="B21" s="514" t="s">
        <v>654</v>
      </c>
      <c r="C21" s="678">
        <v>513</v>
      </c>
      <c r="D21" s="141">
        <v>410</v>
      </c>
      <c r="E21" s="1007"/>
      <c r="F21" s="141"/>
      <c r="G21" s="141"/>
      <c r="H21" s="1011"/>
      <c r="I21" s="1154"/>
      <c r="J21" s="1006"/>
      <c r="K21" s="1282"/>
    </row>
    <row r="22" spans="1:11" x14ac:dyDescent="0.25">
      <c r="A22" s="146" t="s">
        <v>859</v>
      </c>
      <c r="B22" s="514" t="s">
        <v>928</v>
      </c>
      <c r="C22" s="678"/>
      <c r="D22" s="141">
        <v>0</v>
      </c>
      <c r="E22" s="1007">
        <v>0</v>
      </c>
      <c r="F22" s="141"/>
      <c r="G22" s="141"/>
      <c r="H22" s="1011"/>
      <c r="I22" s="1154">
        <v>0</v>
      </c>
      <c r="J22" s="1006">
        <v>98</v>
      </c>
      <c r="K22" s="1282">
        <v>0</v>
      </c>
    </row>
    <row r="23" spans="1:11" x14ac:dyDescent="0.25">
      <c r="A23" s="146" t="s">
        <v>860</v>
      </c>
      <c r="B23" s="514" t="s">
        <v>655</v>
      </c>
      <c r="C23" s="678">
        <v>60</v>
      </c>
      <c r="D23" s="141">
        <v>60</v>
      </c>
      <c r="E23" s="1007"/>
      <c r="F23" s="141"/>
      <c r="G23" s="141"/>
      <c r="H23" s="1011"/>
      <c r="I23" s="1154"/>
      <c r="J23" s="1006">
        <v>50</v>
      </c>
      <c r="K23" s="1282">
        <v>0</v>
      </c>
    </row>
    <row r="24" spans="1:11" x14ac:dyDescent="0.25">
      <c r="A24" s="146" t="s">
        <v>861</v>
      </c>
      <c r="B24" s="514" t="s">
        <v>656</v>
      </c>
      <c r="C24" s="678">
        <v>161</v>
      </c>
      <c r="D24" s="141">
        <v>270</v>
      </c>
      <c r="E24" s="1007"/>
      <c r="F24" s="141"/>
      <c r="G24" s="141"/>
      <c r="H24" s="1011"/>
      <c r="I24" s="1154"/>
      <c r="J24" s="1006"/>
      <c r="K24" s="1282"/>
    </row>
    <row r="25" spans="1:11" x14ac:dyDescent="0.25">
      <c r="A25" s="146" t="s">
        <v>862</v>
      </c>
      <c r="B25" s="514" t="s">
        <v>1050</v>
      </c>
      <c r="C25" s="678">
        <v>182</v>
      </c>
      <c r="D25" s="141"/>
      <c r="E25" s="1007">
        <v>70</v>
      </c>
      <c r="F25" s="141"/>
      <c r="G25" s="141"/>
      <c r="H25" s="1011"/>
      <c r="I25" s="1162">
        <f>70+107</f>
        <v>177</v>
      </c>
      <c r="J25" s="140">
        <v>107</v>
      </c>
      <c r="K25" s="1282">
        <f>J25/I25</f>
        <v>0.60451977401129942</v>
      </c>
    </row>
    <row r="26" spans="1:11" x14ac:dyDescent="0.25">
      <c r="A26" s="146" t="s">
        <v>863</v>
      </c>
      <c r="B26" s="514" t="s">
        <v>913</v>
      </c>
      <c r="C26" s="678">
        <v>500</v>
      </c>
      <c r="D26" s="141"/>
      <c r="E26" s="1007"/>
      <c r="F26" s="141"/>
      <c r="G26" s="141"/>
      <c r="H26" s="1011"/>
      <c r="I26" s="1162"/>
      <c r="J26" s="140"/>
      <c r="K26" s="1282"/>
    </row>
    <row r="27" spans="1:11" x14ac:dyDescent="0.25">
      <c r="A27" s="145" t="s">
        <v>864</v>
      </c>
      <c r="B27" s="513" t="s">
        <v>647</v>
      </c>
      <c r="C27" s="677"/>
      <c r="D27" s="140">
        <v>144</v>
      </c>
      <c r="E27" s="1006">
        <v>0</v>
      </c>
      <c r="F27" s="140"/>
      <c r="G27" s="140"/>
      <c r="H27" s="1008"/>
      <c r="I27" s="1163">
        <v>0</v>
      </c>
      <c r="J27" s="140"/>
      <c r="K27" s="1282"/>
    </row>
    <row r="28" spans="1:11" x14ac:dyDescent="0.25">
      <c r="A28" s="145" t="s">
        <v>865</v>
      </c>
      <c r="B28" s="513" t="s">
        <v>1051</v>
      </c>
      <c r="C28" s="677"/>
      <c r="D28" s="140"/>
      <c r="E28" s="1006">
        <f>9194-270</f>
        <v>8924</v>
      </c>
      <c r="F28" s="1012"/>
      <c r="G28" s="1012"/>
      <c r="H28" s="1013"/>
      <c r="I28" s="1163">
        <f>9194-270-107</f>
        <v>8817</v>
      </c>
      <c r="J28" s="140">
        <f>820+1525+33+4306</f>
        <v>6684</v>
      </c>
      <c r="K28" s="1282">
        <f>J28/I28</f>
        <v>0.75808097992514456</v>
      </c>
    </row>
    <row r="29" spans="1:11" ht="15.75" thickBot="1" x14ac:dyDescent="0.3">
      <c r="A29" s="925" t="s">
        <v>866</v>
      </c>
      <c r="B29" s="926" t="s">
        <v>657</v>
      </c>
      <c r="C29" s="927">
        <v>2100</v>
      </c>
      <c r="D29" s="1012"/>
      <c r="E29" s="1014"/>
      <c r="F29" s="1012"/>
      <c r="G29" s="1012"/>
      <c r="H29" s="1013"/>
      <c r="I29" s="1164"/>
      <c r="J29" s="1007"/>
      <c r="K29" s="1157"/>
    </row>
    <row r="30" spans="1:11" ht="15.75" thickBot="1" x14ac:dyDescent="0.3">
      <c r="A30" s="143"/>
      <c r="B30" s="515" t="s">
        <v>1049</v>
      </c>
      <c r="C30" s="679">
        <f>SUM(C18:C29)</f>
        <v>4524</v>
      </c>
      <c r="D30" s="1009">
        <v>2084</v>
      </c>
      <c r="E30" s="1010">
        <f>SUM(E18:E28)</f>
        <v>9194</v>
      </c>
      <c r="F30" s="1009">
        <f>SUM(F18:F27)</f>
        <v>294.60000000000002</v>
      </c>
      <c r="G30" s="1009">
        <f>SUM(G18:G27)</f>
        <v>0</v>
      </c>
      <c r="H30" s="1009">
        <f>SUM(H18:H27)</f>
        <v>0</v>
      </c>
      <c r="I30" s="1155">
        <f>SUM(I18:I28)</f>
        <v>9194</v>
      </c>
      <c r="J30" s="1155">
        <f>SUM(J18:J28)</f>
        <v>7027</v>
      </c>
      <c r="K30" s="1283">
        <f>J30/I30</f>
        <v>0.76430280617794211</v>
      </c>
    </row>
    <row r="31" spans="1:11" ht="15.75" thickBot="1" x14ac:dyDescent="0.3">
      <c r="C31" s="681"/>
      <c r="D31" s="681"/>
      <c r="E31" s="1165"/>
      <c r="F31" s="1166"/>
      <c r="G31" s="1166"/>
      <c r="H31" s="1166"/>
      <c r="I31" s="1165"/>
      <c r="J31" s="1149"/>
      <c r="K31" s="1284"/>
    </row>
    <row r="32" spans="1:11" ht="15.75" thickBot="1" x14ac:dyDescent="0.3">
      <c r="A32" s="459"/>
      <c r="B32" s="102" t="s">
        <v>888</v>
      </c>
      <c r="C32" s="680">
        <f>C13+C30</f>
        <v>17519</v>
      </c>
      <c r="D32" s="680">
        <v>13747</v>
      </c>
      <c r="E32" s="1168">
        <f t="shared" ref="E32:J32" si="2">E30+E13</f>
        <v>9584</v>
      </c>
      <c r="F32" s="1167">
        <f t="shared" si="2"/>
        <v>13735.9</v>
      </c>
      <c r="G32" s="1167">
        <f t="shared" si="2"/>
        <v>10311.5</v>
      </c>
      <c r="H32" s="1167">
        <f t="shared" si="2"/>
        <v>324</v>
      </c>
      <c r="I32" s="1168">
        <f t="shared" si="2"/>
        <v>11297</v>
      </c>
      <c r="J32" s="1168">
        <f t="shared" si="2"/>
        <v>9120</v>
      </c>
      <c r="K32" s="1285">
        <f>K30/J30</f>
        <v>1.0876658690450294E-4</v>
      </c>
    </row>
  </sheetData>
  <mergeCells count="1">
    <mergeCell ref="A1:K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6" orientation="portrait" r:id="rId1"/>
  <headerFooter alignWithMargins="0">
    <oddHeader>&amp;R&amp;"Times New Roman CE,Félkövér"&amp;11 5. melléklet a 3/2016. (IV.29.)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00" workbookViewId="0">
      <selection activeCell="J30" sqref="J30"/>
    </sheetView>
  </sheetViews>
  <sheetFormatPr defaultColWidth="9.33203125" defaultRowHeight="12.75" x14ac:dyDescent="0.2"/>
  <cols>
    <col min="1" max="1" width="3.6640625" style="889" bestFit="1" customWidth="1"/>
    <col min="2" max="2" width="30.6640625" style="889" customWidth="1"/>
    <col min="3" max="3" width="36.5" style="40" customWidth="1"/>
    <col min="4" max="4" width="17.1640625" style="924" hidden="1" customWidth="1"/>
    <col min="5" max="5" width="17.1640625" style="732" hidden="1" customWidth="1"/>
    <col min="6" max="6" width="16.83203125" style="732" hidden="1" customWidth="1"/>
    <col min="7" max="7" width="15.1640625" style="40" customWidth="1"/>
    <col min="8" max="8" width="16" style="732" hidden="1" customWidth="1"/>
    <col min="9" max="9" width="12.83203125" style="40" customWidth="1"/>
    <col min="10" max="11" width="13.83203125" style="40" customWidth="1"/>
    <col min="12" max="16384" width="9.33203125" style="40"/>
  </cols>
  <sheetData>
    <row r="1" spans="1:11" ht="24.75" customHeight="1" x14ac:dyDescent="0.2">
      <c r="A1" s="1637" t="s">
        <v>1040</v>
      </c>
      <c r="B1" s="1637"/>
      <c r="C1" s="1637"/>
      <c r="D1" s="1637"/>
      <c r="E1" s="1637"/>
      <c r="F1" s="1637"/>
      <c r="G1" s="1637"/>
      <c r="H1" s="1637"/>
      <c r="I1" s="1637"/>
      <c r="J1" s="1637"/>
      <c r="K1" s="1637"/>
    </row>
    <row r="2" spans="1:11" ht="14.25" thickBot="1" x14ac:dyDescent="0.3">
      <c r="B2" s="886"/>
      <c r="C2" s="50"/>
      <c r="D2" s="918"/>
      <c r="E2" s="645"/>
      <c r="F2" s="1642" t="s">
        <v>1069</v>
      </c>
      <c r="G2" s="1642"/>
      <c r="H2" s="1642"/>
      <c r="I2" s="1642"/>
    </row>
    <row r="3" spans="1:11" s="42" customFormat="1" ht="48.75" customHeight="1" thickBot="1" x14ac:dyDescent="0.25">
      <c r="A3" s="1076"/>
      <c r="B3" s="1643" t="s">
        <v>14</v>
      </c>
      <c r="C3" s="1644"/>
      <c r="D3" s="149" t="s">
        <v>357</v>
      </c>
      <c r="E3" s="897" t="s">
        <v>1034</v>
      </c>
      <c r="F3" s="640" t="s">
        <v>915</v>
      </c>
      <c r="G3" s="640" t="s">
        <v>941</v>
      </c>
      <c r="H3" s="47" t="s">
        <v>916</v>
      </c>
      <c r="I3" s="639" t="s">
        <v>1075</v>
      </c>
      <c r="J3" s="1177" t="s">
        <v>1095</v>
      </c>
      <c r="K3" s="1178" t="s">
        <v>1094</v>
      </c>
    </row>
    <row r="4" spans="1:11" s="50" customFormat="1" ht="15" customHeight="1" thickBot="1" x14ac:dyDescent="0.25">
      <c r="A4" s="1076"/>
      <c r="B4" s="1643">
        <v>1</v>
      </c>
      <c r="C4" s="1644"/>
      <c r="D4" s="48">
        <v>2</v>
      </c>
      <c r="E4" s="898" t="s">
        <v>1036</v>
      </c>
      <c r="F4" s="899">
        <v>4</v>
      </c>
      <c r="G4" s="899">
        <v>2</v>
      </c>
      <c r="H4" s="49">
        <v>6</v>
      </c>
      <c r="I4" s="1171">
        <v>3</v>
      </c>
      <c r="J4" s="1180"/>
      <c r="K4" s="1170"/>
    </row>
    <row r="5" spans="1:11" x14ac:dyDescent="0.2">
      <c r="A5" s="1081" t="s">
        <v>855</v>
      </c>
      <c r="B5" s="1089" t="s">
        <v>988</v>
      </c>
      <c r="C5" s="894" t="s">
        <v>989</v>
      </c>
      <c r="D5" s="881"/>
      <c r="E5" s="919" t="s">
        <v>1035</v>
      </c>
      <c r="F5" s="900">
        <v>0</v>
      </c>
      <c r="G5" s="900">
        <v>4000000</v>
      </c>
      <c r="H5" s="52">
        <f t="shared" ref="H5:H22" si="0">D5-F5-G5</f>
        <v>-4000000</v>
      </c>
      <c r="I5" s="1172">
        <v>4000000</v>
      </c>
      <c r="J5" s="1277"/>
      <c r="K5" s="1179"/>
    </row>
    <row r="6" spans="1:11" ht="25.5" x14ac:dyDescent="0.2">
      <c r="A6" s="1082" t="s">
        <v>856</v>
      </c>
      <c r="B6" s="1090" t="s">
        <v>960</v>
      </c>
      <c r="C6" s="895" t="s">
        <v>967</v>
      </c>
      <c r="D6" s="882"/>
      <c r="E6" s="919" t="s">
        <v>1035</v>
      </c>
      <c r="F6" s="900"/>
      <c r="G6" s="900">
        <v>250000</v>
      </c>
      <c r="H6" s="52">
        <f t="shared" si="0"/>
        <v>-250000</v>
      </c>
      <c r="I6" s="1172">
        <v>250000</v>
      </c>
      <c r="J6" s="1261"/>
      <c r="K6" s="1175"/>
    </row>
    <row r="7" spans="1:11" x14ac:dyDescent="0.2">
      <c r="A7" s="1082" t="s">
        <v>857</v>
      </c>
      <c r="B7" s="1090" t="s">
        <v>990</v>
      </c>
      <c r="C7" s="895" t="s">
        <v>989</v>
      </c>
      <c r="D7" s="882"/>
      <c r="E7" s="919" t="s">
        <v>1035</v>
      </c>
      <c r="F7" s="900"/>
      <c r="G7" s="900">
        <v>2500000</v>
      </c>
      <c r="H7" s="52">
        <f t="shared" si="0"/>
        <v>-2500000</v>
      </c>
      <c r="I7" s="1172">
        <v>2500000</v>
      </c>
      <c r="J7" s="1261"/>
      <c r="K7" s="1175"/>
    </row>
    <row r="8" spans="1:11" ht="25.5" x14ac:dyDescent="0.2">
      <c r="A8" s="1082" t="s">
        <v>858</v>
      </c>
      <c r="B8" s="1090" t="s">
        <v>983</v>
      </c>
      <c r="C8" s="895" t="s">
        <v>984</v>
      </c>
      <c r="D8" s="882"/>
      <c r="E8" s="919" t="s">
        <v>1035</v>
      </c>
      <c r="F8" s="900"/>
      <c r="G8" s="900">
        <v>1000000</v>
      </c>
      <c r="H8" s="52">
        <f t="shared" si="0"/>
        <v>-1000000</v>
      </c>
      <c r="I8" s="1172">
        <v>1000000</v>
      </c>
      <c r="J8" s="1261"/>
      <c r="K8" s="1175"/>
    </row>
    <row r="9" spans="1:11" ht="25.5" x14ac:dyDescent="0.2">
      <c r="A9" s="1082" t="s">
        <v>859</v>
      </c>
      <c r="B9" s="1090" t="s">
        <v>983</v>
      </c>
      <c r="C9" s="895" t="s">
        <v>985</v>
      </c>
      <c r="D9" s="882"/>
      <c r="E9" s="919" t="s">
        <v>1035</v>
      </c>
      <c r="F9" s="900"/>
      <c r="G9" s="900">
        <v>3900000</v>
      </c>
      <c r="H9" s="52">
        <f t="shared" si="0"/>
        <v>-3900000</v>
      </c>
      <c r="I9" s="1172">
        <v>3900000</v>
      </c>
      <c r="J9" s="1261"/>
      <c r="K9" s="1175"/>
    </row>
    <row r="10" spans="1:11" s="552" customFormat="1" x14ac:dyDescent="0.2">
      <c r="A10" s="1082" t="s">
        <v>860</v>
      </c>
      <c r="B10" s="1090" t="s">
        <v>986</v>
      </c>
      <c r="C10" s="895" t="s">
        <v>987</v>
      </c>
      <c r="D10" s="882"/>
      <c r="E10" s="919" t="s">
        <v>1035</v>
      </c>
      <c r="F10" s="900"/>
      <c r="G10" s="900">
        <v>100000</v>
      </c>
      <c r="H10" s="52">
        <f t="shared" si="0"/>
        <v>-100000</v>
      </c>
      <c r="I10" s="1172">
        <v>100000</v>
      </c>
      <c r="J10" s="1262">
        <v>117043</v>
      </c>
      <c r="K10" s="1265">
        <f>J10/I10</f>
        <v>1.1704300000000001</v>
      </c>
    </row>
    <row r="11" spans="1:11" s="552" customFormat="1" x14ac:dyDescent="0.2">
      <c r="A11" s="1082" t="s">
        <v>861</v>
      </c>
      <c r="B11" s="1090" t="s">
        <v>969</v>
      </c>
      <c r="C11" s="895" t="s">
        <v>970</v>
      </c>
      <c r="D11" s="882"/>
      <c r="E11" s="919" t="s">
        <v>1035</v>
      </c>
      <c r="F11" s="900"/>
      <c r="G11" s="900">
        <v>300000</v>
      </c>
      <c r="H11" s="52">
        <f t="shared" si="0"/>
        <v>-300000</v>
      </c>
      <c r="I11" s="1172">
        <v>300000</v>
      </c>
      <c r="J11" s="1262"/>
      <c r="K11" s="1176"/>
    </row>
    <row r="12" spans="1:11" s="552" customFormat="1" x14ac:dyDescent="0.2">
      <c r="A12" s="1082" t="s">
        <v>862</v>
      </c>
      <c r="B12" s="1090" t="s">
        <v>980</v>
      </c>
      <c r="C12" s="895" t="s">
        <v>981</v>
      </c>
      <c r="D12" s="882"/>
      <c r="E12" s="919" t="s">
        <v>1035</v>
      </c>
      <c r="F12" s="900"/>
      <c r="G12" s="900">
        <v>100000</v>
      </c>
      <c r="H12" s="52">
        <f t="shared" si="0"/>
        <v>-100000</v>
      </c>
      <c r="I12" s="1172">
        <v>100000</v>
      </c>
      <c r="J12" s="1262"/>
      <c r="K12" s="1176"/>
    </row>
    <row r="13" spans="1:11" s="552" customFormat="1" x14ac:dyDescent="0.2">
      <c r="A13" s="1082" t="s">
        <v>863</v>
      </c>
      <c r="B13" s="1090" t="s">
        <v>980</v>
      </c>
      <c r="C13" s="895" t="s">
        <v>982</v>
      </c>
      <c r="D13" s="882"/>
      <c r="E13" s="919" t="s">
        <v>1035</v>
      </c>
      <c r="F13" s="900"/>
      <c r="G13" s="900">
        <v>100000</v>
      </c>
      <c r="H13" s="52">
        <f t="shared" si="0"/>
        <v>-100000</v>
      </c>
      <c r="I13" s="1172">
        <v>100000</v>
      </c>
      <c r="J13" s="1262">
        <v>96063</v>
      </c>
      <c r="K13" s="1265">
        <f>J13/I13</f>
        <v>0.96062999999999998</v>
      </c>
    </row>
    <row r="14" spans="1:11" s="552" customFormat="1" x14ac:dyDescent="0.2">
      <c r="A14" s="1082" t="s">
        <v>864</v>
      </c>
      <c r="B14" s="1090" t="s">
        <v>1014</v>
      </c>
      <c r="C14" s="895" t="s">
        <v>993</v>
      </c>
      <c r="D14" s="882"/>
      <c r="E14" s="919" t="s">
        <v>1035</v>
      </c>
      <c r="F14" s="900"/>
      <c r="G14" s="900">
        <v>250000</v>
      </c>
      <c r="H14" s="52">
        <f t="shared" si="0"/>
        <v>-250000</v>
      </c>
      <c r="I14" s="1172">
        <v>250000</v>
      </c>
      <c r="J14" s="1262"/>
      <c r="K14" s="1176"/>
    </row>
    <row r="15" spans="1:11" s="552" customFormat="1" x14ac:dyDescent="0.2">
      <c r="A15" s="1082" t="s">
        <v>865</v>
      </c>
      <c r="B15" s="1090" t="s">
        <v>1014</v>
      </c>
      <c r="C15" s="895" t="s">
        <v>994</v>
      </c>
      <c r="D15" s="882"/>
      <c r="E15" s="919" t="s">
        <v>1035</v>
      </c>
      <c r="F15" s="900"/>
      <c r="G15" s="900">
        <v>1205000</v>
      </c>
      <c r="H15" s="52">
        <f t="shared" si="0"/>
        <v>-1205000</v>
      </c>
      <c r="I15" s="1172">
        <v>1205000</v>
      </c>
      <c r="J15" s="1262"/>
      <c r="K15" s="1176"/>
    </row>
    <row r="16" spans="1:11" s="552" customFormat="1" x14ac:dyDescent="0.2">
      <c r="A16" s="1082" t="s">
        <v>866</v>
      </c>
      <c r="B16" s="1090" t="s">
        <v>1014</v>
      </c>
      <c r="C16" s="895" t="s">
        <v>995</v>
      </c>
      <c r="D16" s="882"/>
      <c r="E16" s="919" t="s">
        <v>1035</v>
      </c>
      <c r="F16" s="900"/>
      <c r="G16" s="900">
        <v>723000</v>
      </c>
      <c r="H16" s="52">
        <f t="shared" si="0"/>
        <v>-723000</v>
      </c>
      <c r="I16" s="1172">
        <v>723000</v>
      </c>
      <c r="J16" s="1262">
        <v>723050</v>
      </c>
      <c r="K16" s="1265">
        <f>J16/I16</f>
        <v>1.0000691562932227</v>
      </c>
    </row>
    <row r="17" spans="1:11" s="552" customFormat="1" x14ac:dyDescent="0.2">
      <c r="A17" s="1082" t="s">
        <v>867</v>
      </c>
      <c r="B17" s="1090" t="s">
        <v>1014</v>
      </c>
      <c r="C17" s="895" t="s">
        <v>996</v>
      </c>
      <c r="D17" s="882"/>
      <c r="E17" s="919" t="s">
        <v>1035</v>
      </c>
      <c r="F17" s="900"/>
      <c r="G17" s="900">
        <v>800000</v>
      </c>
      <c r="H17" s="52">
        <f t="shared" si="0"/>
        <v>-800000</v>
      </c>
      <c r="I17" s="1172">
        <v>800000</v>
      </c>
      <c r="J17" s="1262"/>
      <c r="K17" s="1176"/>
    </row>
    <row r="18" spans="1:11" x14ac:dyDescent="0.2">
      <c r="A18" s="1082" t="s">
        <v>868</v>
      </c>
      <c r="B18" s="1090" t="s">
        <v>1014</v>
      </c>
      <c r="C18" s="895" t="s">
        <v>997</v>
      </c>
      <c r="D18" s="882"/>
      <c r="E18" s="919" t="s">
        <v>1035</v>
      </c>
      <c r="F18" s="900"/>
      <c r="G18" s="900">
        <v>50000</v>
      </c>
      <c r="H18" s="52">
        <f t="shared" si="0"/>
        <v>-50000</v>
      </c>
      <c r="I18" s="1172">
        <v>50000</v>
      </c>
      <c r="J18" s="1261"/>
      <c r="K18" s="1175"/>
    </row>
    <row r="19" spans="1:11" x14ac:dyDescent="0.2">
      <c r="A19" s="1082" t="s">
        <v>869</v>
      </c>
      <c r="B19" s="1090" t="s">
        <v>1014</v>
      </c>
      <c r="C19" s="895" t="s">
        <v>1007</v>
      </c>
      <c r="D19" s="882"/>
      <c r="E19" s="919" t="s">
        <v>1035</v>
      </c>
      <c r="F19" s="900"/>
      <c r="G19" s="900">
        <v>3600000</v>
      </c>
      <c r="H19" s="52">
        <f t="shared" si="0"/>
        <v>-3600000</v>
      </c>
      <c r="I19" s="1172">
        <v>3600000</v>
      </c>
      <c r="J19" s="1261">
        <v>2100000</v>
      </c>
      <c r="K19" s="1266">
        <f>J19/I19</f>
        <v>0.58333333333333337</v>
      </c>
    </row>
    <row r="20" spans="1:11" x14ac:dyDescent="0.2">
      <c r="A20" s="1082" t="s">
        <v>870</v>
      </c>
      <c r="B20" s="1090" t="s">
        <v>1014</v>
      </c>
      <c r="C20" s="895" t="s">
        <v>1008</v>
      </c>
      <c r="D20" s="882"/>
      <c r="E20" s="919" t="s">
        <v>1035</v>
      </c>
      <c r="F20" s="900"/>
      <c r="G20" s="900">
        <v>190000</v>
      </c>
      <c r="H20" s="52">
        <f t="shared" si="0"/>
        <v>-190000</v>
      </c>
      <c r="I20" s="1172">
        <v>190000</v>
      </c>
      <c r="J20" s="1261">
        <v>148661</v>
      </c>
      <c r="K20" s="1266">
        <f>J20/I20</f>
        <v>0.78242631578947364</v>
      </c>
    </row>
    <row r="21" spans="1:11" ht="25.5" x14ac:dyDescent="0.2">
      <c r="A21" s="1082" t="s">
        <v>871</v>
      </c>
      <c r="B21" s="1090" t="s">
        <v>1014</v>
      </c>
      <c r="C21" s="895" t="s">
        <v>1011</v>
      </c>
      <c r="D21" s="882"/>
      <c r="E21" s="919" t="s">
        <v>1035</v>
      </c>
      <c r="F21" s="900"/>
      <c r="G21" s="900">
        <v>250000</v>
      </c>
      <c r="H21" s="52">
        <f t="shared" si="0"/>
        <v>-250000</v>
      </c>
      <c r="I21" s="1172">
        <v>250000</v>
      </c>
      <c r="J21" s="1261"/>
      <c r="K21" s="1175"/>
    </row>
    <row r="22" spans="1:11" x14ac:dyDescent="0.2">
      <c r="A22" s="1082" t="s">
        <v>872</v>
      </c>
      <c r="B22" s="1090" t="s">
        <v>1014</v>
      </c>
      <c r="C22" s="895" t="s">
        <v>1009</v>
      </c>
      <c r="D22" s="882"/>
      <c r="E22" s="919" t="s">
        <v>1035</v>
      </c>
      <c r="F22" s="900"/>
      <c r="G22" s="900">
        <v>620000</v>
      </c>
      <c r="H22" s="52">
        <f t="shared" si="0"/>
        <v>-620000</v>
      </c>
      <c r="I22" s="1172">
        <v>620000</v>
      </c>
      <c r="J22" s="1261">
        <f>18346+28346+39354+200709+41260+207400</f>
        <v>535415</v>
      </c>
      <c r="K22" s="1266">
        <f>J22/I22</f>
        <v>0.86357258064516129</v>
      </c>
    </row>
    <row r="23" spans="1:11" x14ac:dyDescent="0.2">
      <c r="A23" s="1082" t="s">
        <v>873</v>
      </c>
      <c r="B23" s="1090" t="s">
        <v>1014</v>
      </c>
      <c r="C23" s="895" t="s">
        <v>1010</v>
      </c>
      <c r="D23" s="1080"/>
      <c r="E23" s="919" t="s">
        <v>1035</v>
      </c>
      <c r="F23" s="900"/>
      <c r="G23" s="900">
        <v>200000</v>
      </c>
      <c r="H23" s="1059"/>
      <c r="I23" s="1172">
        <v>200000</v>
      </c>
      <c r="J23" s="1261"/>
      <c r="K23" s="1175"/>
    </row>
    <row r="24" spans="1:11" ht="25.5" x14ac:dyDescent="0.2">
      <c r="A24" s="1110" t="s">
        <v>874</v>
      </c>
      <c r="B24" s="1091" t="s">
        <v>1014</v>
      </c>
      <c r="C24" s="1111" t="s">
        <v>1088</v>
      </c>
      <c r="D24" s="1077"/>
      <c r="E24" s="1083"/>
      <c r="F24" s="1078"/>
      <c r="G24" s="1079"/>
      <c r="H24" s="1084"/>
      <c r="I24" s="1173">
        <v>300000</v>
      </c>
      <c r="J24" s="1261"/>
      <c r="K24" s="1175"/>
    </row>
    <row r="25" spans="1:11" x14ac:dyDescent="0.2">
      <c r="A25" s="1181">
        <v>21</v>
      </c>
      <c r="B25" s="1182" t="s">
        <v>969</v>
      </c>
      <c r="C25" s="1111" t="s">
        <v>1092</v>
      </c>
      <c r="D25" s="1183"/>
      <c r="E25" s="920"/>
      <c r="F25" s="901"/>
      <c r="G25" s="1173"/>
      <c r="H25" s="1184"/>
      <c r="I25" s="1173">
        <v>9000</v>
      </c>
      <c r="J25" s="1264">
        <v>71000</v>
      </c>
      <c r="K25" s="1267">
        <f>J25/I25</f>
        <v>7.8888888888888893</v>
      </c>
    </row>
    <row r="26" spans="1:11" x14ac:dyDescent="0.2">
      <c r="A26" s="1181" t="s">
        <v>876</v>
      </c>
      <c r="B26" s="1274" t="s">
        <v>1014</v>
      </c>
      <c r="C26" s="1275" t="s">
        <v>1097</v>
      </c>
      <c r="D26" s="1276"/>
      <c r="E26" s="920"/>
      <c r="F26" s="901"/>
      <c r="G26" s="901"/>
      <c r="H26" s="1086"/>
      <c r="I26" s="901"/>
      <c r="J26" s="1264">
        <f>25173+385450</f>
        <v>410623</v>
      </c>
      <c r="K26" s="1267">
        <v>0</v>
      </c>
    </row>
    <row r="27" spans="1:11" ht="26.25" thickBot="1" x14ac:dyDescent="0.25">
      <c r="A27" s="1112">
        <v>23</v>
      </c>
      <c r="B27" s="1271" t="s">
        <v>1098</v>
      </c>
      <c r="C27" s="1272" t="s">
        <v>1099</v>
      </c>
      <c r="D27" s="1273"/>
      <c r="E27" s="1113"/>
      <c r="F27" s="1061"/>
      <c r="G27" s="1061"/>
      <c r="H27" s="1062"/>
      <c r="I27" s="1061"/>
      <c r="J27" s="1258">
        <f>18110+8819</f>
        <v>26929</v>
      </c>
      <c r="K27" s="1269">
        <v>0</v>
      </c>
    </row>
    <row r="28" spans="1:11" x14ac:dyDescent="0.2">
      <c r="A28" s="1645" t="s">
        <v>1041</v>
      </c>
      <c r="B28" s="1646"/>
      <c r="C28" s="1190"/>
      <c r="D28" s="1191"/>
      <c r="E28" s="921"/>
      <c r="F28" s="904">
        <f>SUM(F5:F23)</f>
        <v>0</v>
      </c>
      <c r="G28" s="904">
        <f>SUM(G5:G23)</f>
        <v>20138000</v>
      </c>
      <c r="H28" s="1192">
        <f>SUM(H5:H23)</f>
        <v>-19938000</v>
      </c>
      <c r="I28" s="904">
        <f>SUM(I5:I25)</f>
        <v>20447000</v>
      </c>
      <c r="J28" s="1259">
        <f>SUM(J5:J27)</f>
        <v>4228784</v>
      </c>
      <c r="K28" s="1268">
        <f>J28/I28</f>
        <v>0.20681684354673058</v>
      </c>
    </row>
    <row r="29" spans="1:11" ht="13.5" thickBot="1" x14ac:dyDescent="0.25">
      <c r="A29" s="1638" t="s">
        <v>1038</v>
      </c>
      <c r="B29" s="1639"/>
      <c r="C29" s="1194"/>
      <c r="D29" s="1060"/>
      <c r="E29" s="923"/>
      <c r="F29" s="907">
        <f>SUM(F6:F28)</f>
        <v>0</v>
      </c>
      <c r="G29" s="907">
        <f>G28*0.27</f>
        <v>5437260</v>
      </c>
      <c r="H29" s="1195">
        <f>SUM(H6:H28)</f>
        <v>-35876000</v>
      </c>
      <c r="I29" s="907">
        <f>I28*0.27</f>
        <v>5520690</v>
      </c>
      <c r="J29" s="1258">
        <v>1051692</v>
      </c>
      <c r="K29" s="1269">
        <f>J29/I29</f>
        <v>0.1905001005309119</v>
      </c>
    </row>
    <row r="30" spans="1:11" ht="13.5" thickBot="1" x14ac:dyDescent="0.25">
      <c r="A30" s="1640" t="s">
        <v>1042</v>
      </c>
      <c r="B30" s="1641"/>
      <c r="C30" s="1186"/>
      <c r="D30" s="1187"/>
      <c r="E30" s="1188"/>
      <c r="F30" s="1189">
        <f>SUM(F7:F29)</f>
        <v>0</v>
      </c>
      <c r="G30" s="1070">
        <f>G28+G29</f>
        <v>25575260</v>
      </c>
      <c r="H30" s="1196">
        <f>SUM(H7:H29)</f>
        <v>-71502000</v>
      </c>
      <c r="I30" s="1070">
        <f>I28+I29</f>
        <v>25967690</v>
      </c>
      <c r="J30" s="1070">
        <f>J28+J29</f>
        <v>5280476</v>
      </c>
      <c r="K30" s="1278">
        <f>J30/I30</f>
        <v>0.20334792967722581</v>
      </c>
    </row>
    <row r="31" spans="1:11" x14ac:dyDescent="0.2">
      <c r="B31" s="40"/>
      <c r="C31" s="924"/>
      <c r="D31" s="732"/>
      <c r="F31" s="40"/>
      <c r="G31" s="732"/>
      <c r="H31" s="40"/>
    </row>
  </sheetData>
  <mergeCells count="7">
    <mergeCell ref="A1:K1"/>
    <mergeCell ref="A29:B29"/>
    <mergeCell ref="A30:B30"/>
    <mergeCell ref="F2:I2"/>
    <mergeCell ref="B3:C3"/>
    <mergeCell ref="B4:C4"/>
    <mergeCell ref="A28:B28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99" orientation="landscape" horizontalDpi="300" verticalDpi="300" r:id="rId1"/>
  <headerFooter alignWithMargins="0">
    <oddHeader>&amp;R&amp;"Times New Roman CE,Félkövér dőlt"&amp;11 &amp;"Times New Roman CE,Félkövér"6. melléklet a 3/2016. (IV.29.)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view="pageLayout" topLeftCell="B1" zoomScaleNormal="100" zoomScaleSheetLayoutView="85" workbookViewId="0">
      <selection activeCell="B35" sqref="B35"/>
    </sheetView>
  </sheetViews>
  <sheetFormatPr defaultColWidth="9.33203125" defaultRowHeight="12.75" x14ac:dyDescent="0.2"/>
  <cols>
    <col min="1" max="1" width="50" style="890" bestFit="1" customWidth="1"/>
    <col min="2" max="2" width="28.83203125" style="889" customWidth="1"/>
    <col min="3" max="3" width="17.1640625" style="40" hidden="1" customWidth="1"/>
    <col min="4" max="4" width="17.1640625" style="924" customWidth="1"/>
    <col min="5" max="5" width="17.1640625" style="732" hidden="1" customWidth="1"/>
    <col min="6" max="6" width="17.1640625" style="732" customWidth="1"/>
    <col min="7" max="7" width="17.1640625" style="40" hidden="1" customWidth="1"/>
    <col min="8" max="8" width="17.1640625" style="1114" customWidth="1"/>
    <col min="9" max="10" width="17.1640625" style="40" customWidth="1"/>
    <col min="11" max="16384" width="9.33203125" style="40"/>
  </cols>
  <sheetData>
    <row r="1" spans="1:10" ht="24.75" customHeight="1" x14ac:dyDescent="0.2">
      <c r="A1" s="1637" t="s">
        <v>792</v>
      </c>
      <c r="B1" s="1637"/>
      <c r="C1" s="1637"/>
      <c r="D1" s="1637"/>
      <c r="E1" s="1637"/>
      <c r="F1" s="1637"/>
      <c r="G1" s="1637"/>
      <c r="H1" s="1637"/>
      <c r="I1" s="1637"/>
      <c r="J1" s="1637"/>
    </row>
    <row r="2" spans="1:10" ht="23.25" customHeight="1" thickBot="1" x14ac:dyDescent="0.25">
      <c r="B2" s="886"/>
      <c r="C2" s="50"/>
      <c r="D2" s="918"/>
      <c r="E2" s="645"/>
      <c r="F2" s="1648"/>
      <c r="G2" s="1648"/>
      <c r="H2" s="1648"/>
      <c r="J2" s="1270" t="s">
        <v>1069</v>
      </c>
    </row>
    <row r="3" spans="1:10" s="42" customFormat="1" ht="48.75" customHeight="1" thickBot="1" x14ac:dyDescent="0.25">
      <c r="A3" s="1647" t="s">
        <v>15</v>
      </c>
      <c r="B3" s="1644"/>
      <c r="C3" s="149" t="s">
        <v>357</v>
      </c>
      <c r="D3" s="897" t="s">
        <v>1034</v>
      </c>
      <c r="E3" s="640" t="s">
        <v>915</v>
      </c>
      <c r="F3" s="640" t="s">
        <v>941</v>
      </c>
      <c r="G3" s="47" t="s">
        <v>916</v>
      </c>
      <c r="H3" s="1197" t="s">
        <v>1070</v>
      </c>
      <c r="I3" s="1199" t="s">
        <v>1093</v>
      </c>
      <c r="J3" s="1169" t="s">
        <v>1094</v>
      </c>
    </row>
    <row r="4" spans="1:10" s="50" customFormat="1" ht="15" customHeight="1" thickBot="1" x14ac:dyDescent="0.25">
      <c r="A4" s="1647">
        <v>1</v>
      </c>
      <c r="B4" s="1644"/>
      <c r="C4" s="48">
        <v>2</v>
      </c>
      <c r="D4" s="898" t="s">
        <v>1036</v>
      </c>
      <c r="E4" s="899">
        <v>4</v>
      </c>
      <c r="F4" s="899">
        <v>3</v>
      </c>
      <c r="G4" s="49">
        <v>6</v>
      </c>
      <c r="H4" s="1198">
        <v>4</v>
      </c>
      <c r="I4" s="1198">
        <v>5</v>
      </c>
      <c r="J4" s="1198">
        <v>6</v>
      </c>
    </row>
    <row r="5" spans="1:10" ht="15.95" customHeight="1" x14ac:dyDescent="0.2">
      <c r="A5" s="891" t="s">
        <v>979</v>
      </c>
      <c r="B5" s="894" t="s">
        <v>929</v>
      </c>
      <c r="C5" s="881"/>
      <c r="D5" s="919" t="s">
        <v>1035</v>
      </c>
      <c r="E5" s="900">
        <v>0</v>
      </c>
      <c r="F5" s="900">
        <v>1000000</v>
      </c>
      <c r="G5" s="52">
        <f t="shared" ref="G5:G24" si="0">C5-E5-F5</f>
        <v>-1000000</v>
      </c>
      <c r="H5" s="1200">
        <v>1000000</v>
      </c>
      <c r="I5" s="1259"/>
      <c r="J5" s="1193"/>
    </row>
    <row r="6" spans="1:10" s="1106" customFormat="1" ht="15.95" customHeight="1" x14ac:dyDescent="0.2">
      <c r="A6" s="1598" t="s">
        <v>979</v>
      </c>
      <c r="B6" s="1115" t="s">
        <v>1091</v>
      </c>
      <c r="C6" s="1102"/>
      <c r="D6" s="1103"/>
      <c r="E6" s="1104"/>
      <c r="F6" s="1104"/>
      <c r="G6" s="1105"/>
      <c r="H6" s="1200">
        <f>136000</f>
        <v>136000</v>
      </c>
      <c r="I6" s="1260"/>
      <c r="J6" s="1205"/>
    </row>
    <row r="7" spans="1:10" ht="15.95" customHeight="1" x14ac:dyDescent="0.2">
      <c r="A7" s="892" t="s">
        <v>960</v>
      </c>
      <c r="B7" s="895" t="s">
        <v>933</v>
      </c>
      <c r="C7" s="882"/>
      <c r="D7" s="919" t="s">
        <v>1035</v>
      </c>
      <c r="E7" s="900"/>
      <c r="F7" s="900">
        <v>50000</v>
      </c>
      <c r="G7" s="52">
        <f t="shared" si="0"/>
        <v>-50000</v>
      </c>
      <c r="H7" s="1200">
        <v>50000</v>
      </c>
      <c r="I7" s="1261"/>
      <c r="J7" s="1175"/>
    </row>
    <row r="8" spans="1:10" ht="15.95" customHeight="1" x14ac:dyDescent="0.2">
      <c r="A8" s="892" t="s">
        <v>960</v>
      </c>
      <c r="B8" s="895" t="s">
        <v>961</v>
      </c>
      <c r="C8" s="882"/>
      <c r="D8" s="919" t="s">
        <v>1035</v>
      </c>
      <c r="E8" s="900"/>
      <c r="F8" s="900">
        <v>100000</v>
      </c>
      <c r="G8" s="52">
        <f t="shared" si="0"/>
        <v>-100000</v>
      </c>
      <c r="H8" s="1200">
        <v>100000</v>
      </c>
      <c r="I8" s="1261"/>
      <c r="J8" s="1175"/>
    </row>
    <row r="9" spans="1:10" ht="15.95" customHeight="1" x14ac:dyDescent="0.2">
      <c r="A9" s="892" t="s">
        <v>960</v>
      </c>
      <c r="B9" s="895" t="s">
        <v>962</v>
      </c>
      <c r="C9" s="882"/>
      <c r="D9" s="919" t="s">
        <v>1035</v>
      </c>
      <c r="E9" s="900"/>
      <c r="F9" s="900">
        <v>80000</v>
      </c>
      <c r="G9" s="52">
        <f t="shared" si="0"/>
        <v>-80000</v>
      </c>
      <c r="H9" s="1200">
        <v>80000</v>
      </c>
      <c r="I9" s="1261"/>
      <c r="J9" s="1175"/>
    </row>
    <row r="10" spans="1:10" ht="15.95" customHeight="1" x14ac:dyDescent="0.2">
      <c r="A10" s="892" t="s">
        <v>960</v>
      </c>
      <c r="B10" s="895" t="s">
        <v>963</v>
      </c>
      <c r="C10" s="882"/>
      <c r="D10" s="919" t="s">
        <v>1035</v>
      </c>
      <c r="E10" s="900"/>
      <c r="F10" s="900">
        <v>30000</v>
      </c>
      <c r="G10" s="52">
        <f t="shared" si="0"/>
        <v>-30000</v>
      </c>
      <c r="H10" s="1200">
        <v>30000</v>
      </c>
      <c r="I10" s="1261"/>
      <c r="J10" s="1175"/>
    </row>
    <row r="11" spans="1:10" s="552" customFormat="1" ht="15.95" customHeight="1" x14ac:dyDescent="0.2">
      <c r="A11" s="892" t="s">
        <v>960</v>
      </c>
      <c r="B11" s="895" t="s">
        <v>964</v>
      </c>
      <c r="C11" s="882"/>
      <c r="D11" s="919" t="s">
        <v>1035</v>
      </c>
      <c r="E11" s="900"/>
      <c r="F11" s="900">
        <v>75000</v>
      </c>
      <c r="G11" s="52">
        <f t="shared" si="0"/>
        <v>-75000</v>
      </c>
      <c r="H11" s="1200">
        <v>75000</v>
      </c>
      <c r="I11" s="1262"/>
      <c r="J11" s="1176"/>
    </row>
    <row r="12" spans="1:10" s="552" customFormat="1" ht="15.95" customHeight="1" x14ac:dyDescent="0.2">
      <c r="A12" s="892" t="s">
        <v>960</v>
      </c>
      <c r="B12" s="895" t="s">
        <v>965</v>
      </c>
      <c r="C12" s="882"/>
      <c r="D12" s="919" t="s">
        <v>1035</v>
      </c>
      <c r="E12" s="900"/>
      <c r="F12" s="900">
        <v>150000</v>
      </c>
      <c r="G12" s="52">
        <f t="shared" si="0"/>
        <v>-150000</v>
      </c>
      <c r="H12" s="1200">
        <v>150000</v>
      </c>
      <c r="I12" s="1262"/>
      <c r="J12" s="1176"/>
    </row>
    <row r="13" spans="1:10" s="552" customFormat="1" ht="15.95" customHeight="1" x14ac:dyDescent="0.2">
      <c r="A13" s="892" t="s">
        <v>960</v>
      </c>
      <c r="B13" s="895" t="s">
        <v>966</v>
      </c>
      <c r="C13" s="882"/>
      <c r="D13" s="919" t="s">
        <v>1035</v>
      </c>
      <c r="E13" s="900"/>
      <c r="F13" s="900">
        <v>200000</v>
      </c>
      <c r="G13" s="52">
        <f t="shared" si="0"/>
        <v>-200000</v>
      </c>
      <c r="H13" s="1200">
        <v>200000</v>
      </c>
      <c r="I13" s="1262"/>
      <c r="J13" s="1176"/>
    </row>
    <row r="14" spans="1:10" s="552" customFormat="1" ht="15.95" customHeight="1" x14ac:dyDescent="0.2">
      <c r="A14" s="892" t="s">
        <v>960</v>
      </c>
      <c r="B14" s="895" t="s">
        <v>968</v>
      </c>
      <c r="C14" s="882"/>
      <c r="D14" s="919" t="s">
        <v>1035</v>
      </c>
      <c r="E14" s="900"/>
      <c r="F14" s="900">
        <v>80000</v>
      </c>
      <c r="G14" s="52">
        <f t="shared" si="0"/>
        <v>-80000</v>
      </c>
      <c r="H14" s="1200">
        <v>80000</v>
      </c>
      <c r="I14" s="1262"/>
      <c r="J14" s="1176"/>
    </row>
    <row r="15" spans="1:10" s="552" customFormat="1" ht="15.95" customHeight="1" x14ac:dyDescent="0.2">
      <c r="A15" s="892" t="s">
        <v>960</v>
      </c>
      <c r="B15" s="895" t="s">
        <v>1100</v>
      </c>
      <c r="C15" s="882"/>
      <c r="D15" s="919" t="s">
        <v>1035</v>
      </c>
      <c r="E15" s="900"/>
      <c r="F15" s="900"/>
      <c r="G15" s="52"/>
      <c r="H15" s="1200"/>
      <c r="I15" s="1262">
        <f>112950+138950</f>
        <v>251900</v>
      </c>
      <c r="J15" s="1176"/>
    </row>
    <row r="16" spans="1:10" s="552" customFormat="1" ht="15.95" customHeight="1" x14ac:dyDescent="0.2">
      <c r="A16" s="892" t="s">
        <v>977</v>
      </c>
      <c r="B16" s="895" t="s">
        <v>930</v>
      </c>
      <c r="C16" s="882"/>
      <c r="D16" s="919" t="s">
        <v>1035</v>
      </c>
      <c r="E16" s="900"/>
      <c r="F16" s="900">
        <v>150000</v>
      </c>
      <c r="G16" s="52">
        <f t="shared" si="0"/>
        <v>-150000</v>
      </c>
      <c r="H16" s="1200">
        <v>150000</v>
      </c>
      <c r="I16" s="1262"/>
      <c r="J16" s="1176"/>
    </row>
    <row r="17" spans="1:10" s="552" customFormat="1" ht="15.95" customHeight="1" x14ac:dyDescent="0.2">
      <c r="A17" s="892" t="s">
        <v>971</v>
      </c>
      <c r="B17" s="895" t="s">
        <v>929</v>
      </c>
      <c r="C17" s="882"/>
      <c r="D17" s="919" t="s">
        <v>1035</v>
      </c>
      <c r="E17" s="900"/>
      <c r="F17" s="900">
        <v>1000000</v>
      </c>
      <c r="G17" s="52">
        <f t="shared" si="0"/>
        <v>-1000000</v>
      </c>
      <c r="H17" s="1200">
        <f>4500000/1.27+668693</f>
        <v>4212000.0866141729</v>
      </c>
      <c r="I17" s="1262">
        <f>1107617+154640+192246+133529+21380+831044+10283+4409+26650+574016+398897</f>
        <v>3454711</v>
      </c>
      <c r="J17" s="1265">
        <f>I17/H17</f>
        <v>0.82020677325699642</v>
      </c>
    </row>
    <row r="18" spans="1:10" s="552" customFormat="1" ht="15.95" customHeight="1" x14ac:dyDescent="0.2">
      <c r="A18" s="892" t="s">
        <v>971</v>
      </c>
      <c r="B18" s="895" t="s">
        <v>931</v>
      </c>
      <c r="C18" s="882"/>
      <c r="D18" s="919" t="s">
        <v>1035</v>
      </c>
      <c r="E18" s="900"/>
      <c r="F18" s="900">
        <v>1000000</v>
      </c>
      <c r="G18" s="52">
        <f t="shared" si="0"/>
        <v>-1000000</v>
      </c>
      <c r="H18" s="1200">
        <v>0</v>
      </c>
      <c r="I18" s="1262">
        <f>57654+1563+190170</f>
        <v>249387</v>
      </c>
      <c r="J18" s="1265">
        <v>0</v>
      </c>
    </row>
    <row r="19" spans="1:10" s="552" customFormat="1" ht="15.95" customHeight="1" x14ac:dyDescent="0.2">
      <c r="A19" s="892" t="s">
        <v>971</v>
      </c>
      <c r="B19" s="895" t="s">
        <v>972</v>
      </c>
      <c r="C19" s="882"/>
      <c r="D19" s="919" t="s">
        <v>1035</v>
      </c>
      <c r="E19" s="900"/>
      <c r="F19" s="900">
        <v>2000000</v>
      </c>
      <c r="G19" s="52">
        <f t="shared" si="0"/>
        <v>-2000000</v>
      </c>
      <c r="H19" s="1200">
        <v>0</v>
      </c>
      <c r="I19" s="1262"/>
      <c r="J19" s="1176"/>
    </row>
    <row r="20" spans="1:10" ht="15.95" customHeight="1" x14ac:dyDescent="0.2">
      <c r="A20" s="892" t="s">
        <v>971</v>
      </c>
      <c r="B20" s="895" t="s">
        <v>973</v>
      </c>
      <c r="C20" s="882"/>
      <c r="D20" s="919" t="s">
        <v>1035</v>
      </c>
      <c r="E20" s="900"/>
      <c r="F20" s="900">
        <v>100000</v>
      </c>
      <c r="G20" s="52">
        <f t="shared" si="0"/>
        <v>-100000</v>
      </c>
      <c r="H20" s="1200">
        <v>0</v>
      </c>
      <c r="I20" s="1261"/>
      <c r="J20" s="1175"/>
    </row>
    <row r="21" spans="1:10" ht="15.95" customHeight="1" x14ac:dyDescent="0.2">
      <c r="A21" s="892" t="s">
        <v>971</v>
      </c>
      <c r="B21" s="895" t="s">
        <v>932</v>
      </c>
      <c r="C21" s="882"/>
      <c r="D21" s="919" t="s">
        <v>1035</v>
      </c>
      <c r="E21" s="900"/>
      <c r="F21" s="900">
        <v>250000</v>
      </c>
      <c r="G21" s="52">
        <f t="shared" si="0"/>
        <v>-250000</v>
      </c>
      <c r="H21" s="1200">
        <v>0</v>
      </c>
      <c r="I21" s="1261"/>
      <c r="J21" s="1175"/>
    </row>
    <row r="22" spans="1:10" ht="15.95" customHeight="1" x14ac:dyDescent="0.2">
      <c r="A22" s="892" t="s">
        <v>971</v>
      </c>
      <c r="B22" s="895" t="s">
        <v>974</v>
      </c>
      <c r="C22" s="882"/>
      <c r="D22" s="919" t="s">
        <v>1035</v>
      </c>
      <c r="E22" s="900"/>
      <c r="F22" s="900">
        <v>70000</v>
      </c>
      <c r="G22" s="52">
        <f t="shared" si="0"/>
        <v>-70000</v>
      </c>
      <c r="H22" s="1200">
        <v>0</v>
      </c>
      <c r="I22" s="1261"/>
      <c r="J22" s="1175"/>
    </row>
    <row r="23" spans="1:10" ht="30" customHeight="1" x14ac:dyDescent="0.2">
      <c r="A23" s="892" t="s">
        <v>971</v>
      </c>
      <c r="B23" s="895" t="s">
        <v>975</v>
      </c>
      <c r="C23" s="882"/>
      <c r="D23" s="919" t="s">
        <v>1035</v>
      </c>
      <c r="E23" s="900"/>
      <c r="F23" s="900">
        <v>230000</v>
      </c>
      <c r="G23" s="52">
        <f t="shared" si="0"/>
        <v>-230000</v>
      </c>
      <c r="H23" s="1200">
        <v>230000</v>
      </c>
      <c r="I23" s="1261">
        <v>146300</v>
      </c>
      <c r="J23" s="1175"/>
    </row>
    <row r="24" spans="1:10" ht="15.95" customHeight="1" x14ac:dyDescent="0.2">
      <c r="A24" s="892" t="s">
        <v>971</v>
      </c>
      <c r="B24" s="895" t="s">
        <v>1556</v>
      </c>
      <c r="C24" s="882"/>
      <c r="D24" s="919" t="s">
        <v>1035</v>
      </c>
      <c r="E24" s="900"/>
      <c r="F24" s="900">
        <v>110000</v>
      </c>
      <c r="G24" s="52">
        <f t="shared" si="0"/>
        <v>-110000</v>
      </c>
      <c r="H24" s="1200">
        <v>110000</v>
      </c>
      <c r="I24" s="1261">
        <v>110800</v>
      </c>
      <c r="J24" s="1175"/>
    </row>
    <row r="25" spans="1:10" ht="15.95" customHeight="1" thickBot="1" x14ac:dyDescent="0.25">
      <c r="A25" s="892" t="s">
        <v>971</v>
      </c>
      <c r="B25" s="895" t="s">
        <v>976</v>
      </c>
      <c r="C25" s="883"/>
      <c r="D25" s="919" t="s">
        <v>1035</v>
      </c>
      <c r="E25" s="901"/>
      <c r="F25" s="901">
        <v>100000</v>
      </c>
      <c r="G25" s="53"/>
      <c r="H25" s="1201">
        <v>100000</v>
      </c>
      <c r="I25" s="1261"/>
      <c r="J25" s="1175"/>
    </row>
    <row r="26" spans="1:10" s="732" customFormat="1" ht="30" customHeight="1" thickBot="1" x14ac:dyDescent="0.25">
      <c r="A26" s="892" t="s">
        <v>983</v>
      </c>
      <c r="B26" s="896" t="s">
        <v>975</v>
      </c>
      <c r="C26" s="884"/>
      <c r="D26" s="919" t="s">
        <v>1035</v>
      </c>
      <c r="E26" s="901"/>
      <c r="F26" s="901">
        <v>102000</v>
      </c>
      <c r="G26" s="885"/>
      <c r="H26" s="1201">
        <v>102000</v>
      </c>
      <c r="I26" s="1263">
        <v>80460</v>
      </c>
      <c r="J26" s="1206"/>
    </row>
    <row r="27" spans="1:10" s="1106" customFormat="1" ht="30" customHeight="1" x14ac:dyDescent="0.2">
      <c r="A27" s="892" t="s">
        <v>983</v>
      </c>
      <c r="B27" s="896" t="s">
        <v>1091</v>
      </c>
      <c r="C27" s="1107"/>
      <c r="D27" s="1103"/>
      <c r="E27" s="1108"/>
      <c r="F27" s="1108"/>
      <c r="G27" s="1109"/>
      <c r="H27" s="1201">
        <f>72000</f>
        <v>72000</v>
      </c>
      <c r="I27" s="1260"/>
      <c r="J27" s="1205"/>
    </row>
    <row r="28" spans="1:10" x14ac:dyDescent="0.2">
      <c r="A28" s="892" t="s">
        <v>991</v>
      </c>
      <c r="B28" s="887" t="s">
        <v>992</v>
      </c>
      <c r="C28" s="999"/>
      <c r="D28" s="919" t="s">
        <v>1035</v>
      </c>
      <c r="E28" s="901"/>
      <c r="F28" s="901">
        <v>200000</v>
      </c>
      <c r="G28" s="53"/>
      <c r="H28" s="1201">
        <v>200000</v>
      </c>
      <c r="I28" s="1261"/>
      <c r="J28" s="1175"/>
    </row>
    <row r="29" spans="1:10" x14ac:dyDescent="0.2">
      <c r="A29" s="892" t="s">
        <v>978</v>
      </c>
      <c r="B29" s="887" t="s">
        <v>930</v>
      </c>
      <c r="C29" s="999"/>
      <c r="D29" s="919" t="s">
        <v>1035</v>
      </c>
      <c r="E29" s="901"/>
      <c r="F29" s="901">
        <v>150000</v>
      </c>
      <c r="G29" s="53"/>
      <c r="H29" s="1201">
        <v>150000</v>
      </c>
      <c r="I29" s="1261"/>
      <c r="J29" s="1175"/>
    </row>
    <row r="30" spans="1:10" x14ac:dyDescent="0.2">
      <c r="A30" s="892" t="s">
        <v>1014</v>
      </c>
      <c r="B30" s="887" t="s">
        <v>1013</v>
      </c>
      <c r="C30" s="999"/>
      <c r="D30" s="919" t="s">
        <v>1035</v>
      </c>
      <c r="E30" s="901"/>
      <c r="F30" s="901">
        <v>2020000</v>
      </c>
      <c r="G30" s="53"/>
      <c r="H30" s="1201">
        <v>2020000</v>
      </c>
      <c r="I30" s="1261"/>
      <c r="J30" s="1175"/>
    </row>
    <row r="31" spans="1:10" x14ac:dyDescent="0.2">
      <c r="A31" s="909" t="s">
        <v>1014</v>
      </c>
      <c r="B31" s="910" t="s">
        <v>1012</v>
      </c>
      <c r="C31" s="999"/>
      <c r="D31" s="920" t="s">
        <v>1033</v>
      </c>
      <c r="E31" s="901"/>
      <c r="F31" s="901">
        <v>7204000</v>
      </c>
      <c r="G31" s="53">
        <f>C25-E31-F31</f>
        <v>-7204000</v>
      </c>
      <c r="H31" s="1201">
        <v>7204000</v>
      </c>
      <c r="I31" s="1261">
        <f>67500+819000+35267+20050+1749600+675900+2241400+60000+270000+350000+213500</f>
        <v>6502217</v>
      </c>
      <c r="J31" s="1266">
        <f>I31/H31</f>
        <v>0.90258425874514159</v>
      </c>
    </row>
    <row r="32" spans="1:10" ht="25.5" x14ac:dyDescent="0.2">
      <c r="A32" s="909" t="s">
        <v>1014</v>
      </c>
      <c r="B32" s="910" t="s">
        <v>1083</v>
      </c>
      <c r="C32" s="999"/>
      <c r="D32" s="1063" t="s">
        <v>1035</v>
      </c>
      <c r="E32" s="901"/>
      <c r="F32" s="901"/>
      <c r="G32" s="53"/>
      <c r="H32" s="1201">
        <f>2649000/1.27</f>
        <v>2085826.7716535432</v>
      </c>
      <c r="I32" s="1261"/>
      <c r="J32" s="1175"/>
    </row>
    <row r="33" spans="1:10" x14ac:dyDescent="0.2">
      <c r="A33" s="892" t="s">
        <v>1014</v>
      </c>
      <c r="B33" s="887" t="s">
        <v>1084</v>
      </c>
      <c r="C33" s="1058"/>
      <c r="D33" s="1064" t="s">
        <v>1035</v>
      </c>
      <c r="E33" s="900"/>
      <c r="F33" s="900"/>
      <c r="G33" s="1059"/>
      <c r="H33" s="1200">
        <f>2978139/1.27</f>
        <v>2344991.3385826773</v>
      </c>
      <c r="I33" s="1261"/>
      <c r="J33" s="1175"/>
    </row>
    <row r="34" spans="1:10" ht="25.5" x14ac:dyDescent="0.2">
      <c r="A34" s="909" t="s">
        <v>983</v>
      </c>
      <c r="B34" s="910" t="s">
        <v>1085</v>
      </c>
      <c r="C34" s="1085"/>
      <c r="D34" s="1063" t="s">
        <v>1035</v>
      </c>
      <c r="E34" s="901"/>
      <c r="F34" s="901"/>
      <c r="G34" s="1086"/>
      <c r="H34" s="1201">
        <v>118110</v>
      </c>
      <c r="I34" s="1261"/>
      <c r="J34" s="1175"/>
    </row>
    <row r="35" spans="1:10" x14ac:dyDescent="0.2">
      <c r="A35" s="909" t="s">
        <v>979</v>
      </c>
      <c r="B35" s="910" t="s">
        <v>1089</v>
      </c>
      <c r="C35" s="1085"/>
      <c r="D35" s="1063" t="s">
        <v>1035</v>
      </c>
      <c r="E35" s="901"/>
      <c r="F35" s="901"/>
      <c r="G35" s="1086"/>
      <c r="H35" s="1201">
        <v>0</v>
      </c>
      <c r="I35" s="1261"/>
      <c r="J35" s="1175"/>
    </row>
    <row r="36" spans="1:10" x14ac:dyDescent="0.2">
      <c r="A36" s="909" t="s">
        <v>1101</v>
      </c>
      <c r="B36" s="910" t="s">
        <v>1102</v>
      </c>
      <c r="C36" s="1085"/>
      <c r="D36" s="1063" t="s">
        <v>1035</v>
      </c>
      <c r="E36" s="901"/>
      <c r="F36" s="901"/>
      <c r="G36" s="1086"/>
      <c r="H36" s="1201"/>
      <c r="I36" s="1264">
        <v>1190000</v>
      </c>
      <c r="J36" s="1185"/>
    </row>
    <row r="37" spans="1:10" ht="13.5" thickBot="1" x14ac:dyDescent="0.25">
      <c r="A37" s="909" t="s">
        <v>1090</v>
      </c>
      <c r="B37" s="910"/>
      <c r="C37" s="1085"/>
      <c r="D37" s="1063" t="s">
        <v>1035</v>
      </c>
      <c r="E37" s="901"/>
      <c r="F37" s="901"/>
      <c r="G37" s="1086"/>
      <c r="H37" s="1257">
        <v>69496755</v>
      </c>
      <c r="I37" s="1264">
        <v>69496755</v>
      </c>
      <c r="J37" s="1267">
        <f>I37/H37</f>
        <v>1</v>
      </c>
    </row>
    <row r="38" spans="1:10" ht="13.5" thickBot="1" x14ac:dyDescent="0.25">
      <c r="A38" s="911" t="s">
        <v>1037</v>
      </c>
      <c r="B38" s="912"/>
      <c r="C38" s="913"/>
      <c r="D38" s="921"/>
      <c r="E38" s="904">
        <f>SUM(E5:E31)</f>
        <v>0</v>
      </c>
      <c r="F38" s="914">
        <f>SUM(F5:F31)</f>
        <v>16451000</v>
      </c>
      <c r="G38" s="908">
        <f>SUM(G5:G31)</f>
        <v>-13879000</v>
      </c>
      <c r="H38" s="1202">
        <f>SUM(H5:H37)</f>
        <v>90496683.196850389</v>
      </c>
      <c r="I38" s="1191">
        <f>SUM(I5:I37)</f>
        <v>81482530</v>
      </c>
      <c r="J38" s="1268">
        <f>I38/H38</f>
        <v>0.90039244667959151</v>
      </c>
    </row>
    <row r="39" spans="1:10" ht="13.5" thickBot="1" x14ac:dyDescent="0.25">
      <c r="A39" s="902" t="s">
        <v>1038</v>
      </c>
      <c r="B39" s="903"/>
      <c r="C39" s="905"/>
      <c r="D39" s="922"/>
      <c r="E39" s="906">
        <f>SUM(E7:E38)</f>
        <v>0</v>
      </c>
      <c r="F39" s="915">
        <f>F38*0.27</f>
        <v>4441770</v>
      </c>
      <c r="G39" s="908">
        <f>SUM(G7:G38)</f>
        <v>-26758000</v>
      </c>
      <c r="H39" s="1203">
        <f>H38*0.27</f>
        <v>24434104.463149607</v>
      </c>
      <c r="I39" s="1174">
        <f>I38*0.27-70000</f>
        <v>21930283.100000001</v>
      </c>
      <c r="J39" s="1266">
        <f>I39/H39</f>
        <v>0.89752759848736208</v>
      </c>
    </row>
    <row r="40" spans="1:10" ht="13.5" thickBot="1" x14ac:dyDescent="0.25">
      <c r="A40" s="893" t="s">
        <v>1039</v>
      </c>
      <c r="B40" s="888"/>
      <c r="C40" s="916"/>
      <c r="D40" s="923"/>
      <c r="E40" s="907">
        <f>SUM(E8:E39)</f>
        <v>0</v>
      </c>
      <c r="F40" s="917">
        <f>F38+F39</f>
        <v>20892770</v>
      </c>
      <c r="G40" s="908">
        <f>SUM(G8:G39)</f>
        <v>-53466000</v>
      </c>
      <c r="H40" s="1204">
        <f>H38+H39</f>
        <v>114930787.66</v>
      </c>
      <c r="I40" s="1060">
        <f>I38+I39</f>
        <v>103412813.09999999</v>
      </c>
      <c r="J40" s="1269">
        <f>I40/H40</f>
        <v>0.89978338446549544</v>
      </c>
    </row>
    <row r="42" spans="1:10" ht="13.5" thickBot="1" x14ac:dyDescent="0.25">
      <c r="A42" s="1065" t="s">
        <v>1080</v>
      </c>
    </row>
    <row r="43" spans="1:10" ht="13.5" thickBot="1" x14ac:dyDescent="0.25">
      <c r="A43" s="911"/>
      <c r="B43" s="912" t="s">
        <v>1013</v>
      </c>
      <c r="C43" s="913"/>
      <c r="D43" s="921"/>
      <c r="E43" s="904"/>
      <c r="F43" s="914"/>
      <c r="G43" s="908"/>
      <c r="H43" s="1099">
        <f>20199000-2020000</f>
        <v>18179000</v>
      </c>
      <c r="I43" s="1099"/>
      <c r="J43" s="1207"/>
    </row>
    <row r="44" spans="1:10" ht="13.5" thickBot="1" x14ac:dyDescent="0.25">
      <c r="A44" s="893"/>
      <c r="B44" s="888" t="s">
        <v>1086</v>
      </c>
      <c r="C44" s="916"/>
      <c r="D44" s="923"/>
      <c r="E44" s="907"/>
      <c r="F44" s="917"/>
      <c r="G44" s="908"/>
      <c r="H44" s="1100">
        <v>3246000</v>
      </c>
      <c r="I44" s="1208"/>
      <c r="J44" s="1208"/>
    </row>
    <row r="45" spans="1:10" ht="13.5" thickBot="1" x14ac:dyDescent="0.25">
      <c r="A45" s="1066" t="s">
        <v>1080</v>
      </c>
      <c r="B45" s="1067" t="s">
        <v>888</v>
      </c>
      <c r="C45" s="1068"/>
      <c r="D45" s="1069"/>
      <c r="E45" s="1070"/>
      <c r="F45" s="1071"/>
      <c r="G45" s="908"/>
      <c r="H45" s="1101">
        <f>H43+H44</f>
        <v>21425000</v>
      </c>
      <c r="I45" s="1209"/>
      <c r="J45" s="1209"/>
    </row>
  </sheetData>
  <mergeCells count="4">
    <mergeCell ref="A3:B3"/>
    <mergeCell ref="A4:B4"/>
    <mergeCell ref="F2:H2"/>
    <mergeCell ref="A1:J1"/>
  </mergeCells>
  <phoneticPr fontId="0" type="noConversion"/>
  <printOptions horizontalCentered="1"/>
  <pageMargins left="0.25" right="0.25" top="0.75" bottom="0.75" header="0.3" footer="0.3"/>
  <pageSetup paperSize="9" scale="62" orientation="landscape" horizontalDpi="300" verticalDpi="300" r:id="rId1"/>
  <headerFooter alignWithMargins="0">
    <oddHeader>&amp;R&amp;"Times New Roman CE,Félkövér dőlt"&amp;12 &amp;11 &amp;"Times New Roman CE,Félkövér"7. melléklet a 3/2016. (IV.29.)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view="pageLayout" zoomScaleNormal="100" zoomScaleSheetLayoutView="85" workbookViewId="0">
      <selection activeCell="G20" sqref="G20"/>
    </sheetView>
  </sheetViews>
  <sheetFormatPr defaultColWidth="9.33203125" defaultRowHeight="12.75" x14ac:dyDescent="0.2"/>
  <cols>
    <col min="1" max="1" width="75" style="876" customWidth="1"/>
    <col min="2" max="2" width="15.1640625" style="876" customWidth="1"/>
    <col min="3" max="3" width="12.6640625" style="876" hidden="1" customWidth="1"/>
    <col min="4" max="4" width="14.5" style="876" hidden="1" customWidth="1"/>
    <col min="5" max="7" width="20.1640625" style="876" customWidth="1"/>
    <col min="8" max="16384" width="9.33203125" style="876"/>
  </cols>
  <sheetData>
    <row r="1" spans="1:7" x14ac:dyDescent="0.2">
      <c r="A1" s="1649"/>
      <c r="B1" s="1649"/>
      <c r="C1" s="1649"/>
      <c r="D1" s="1649"/>
      <c r="E1" s="941"/>
    </row>
    <row r="2" spans="1:7" x14ac:dyDescent="0.2">
      <c r="A2" s="1650" t="s">
        <v>901</v>
      </c>
      <c r="B2" s="1650"/>
      <c r="C2" s="1650"/>
      <c r="D2" s="1650"/>
      <c r="E2" s="1650"/>
      <c r="F2" s="1650"/>
      <c r="G2" s="1650"/>
    </row>
    <row r="3" spans="1:7" x14ac:dyDescent="0.2">
      <c r="A3" s="1650" t="s">
        <v>1015</v>
      </c>
      <c r="B3" s="1650"/>
      <c r="C3" s="1650"/>
      <c r="D3" s="1650"/>
      <c r="E3" s="1650"/>
      <c r="F3" s="1650"/>
      <c r="G3" s="1650"/>
    </row>
    <row r="4" spans="1:7" x14ac:dyDescent="0.2">
      <c r="A4" s="1650" t="s">
        <v>1016</v>
      </c>
      <c r="B4" s="1650"/>
      <c r="C4" s="1650"/>
      <c r="D4" s="1650"/>
      <c r="E4" s="1650"/>
      <c r="F4" s="1650"/>
      <c r="G4" s="1650"/>
    </row>
    <row r="5" spans="1:7" ht="13.5" thickBot="1" x14ac:dyDescent="0.25">
      <c r="G5" s="876" t="s">
        <v>1069</v>
      </c>
    </row>
    <row r="6" spans="1:7" ht="26.25" thickBot="1" x14ac:dyDescent="0.25">
      <c r="A6" s="879" t="s">
        <v>355</v>
      </c>
      <c r="B6" s="880" t="s">
        <v>900</v>
      </c>
      <c r="C6" s="1092"/>
      <c r="D6" s="1092"/>
      <c r="E6" s="880" t="s">
        <v>1071</v>
      </c>
      <c r="F6" s="880" t="s">
        <v>1093</v>
      </c>
      <c r="G6" s="880" t="s">
        <v>1094</v>
      </c>
    </row>
    <row r="7" spans="1:7" x14ac:dyDescent="0.2">
      <c r="A7" s="1093" t="s">
        <v>1017</v>
      </c>
      <c r="B7" s="877">
        <v>0</v>
      </c>
      <c r="C7" s="1094"/>
      <c r="D7" s="1094"/>
      <c r="E7" s="1211">
        <v>0</v>
      </c>
      <c r="F7" s="1213"/>
      <c r="G7" s="1214"/>
    </row>
    <row r="8" spans="1:7" x14ac:dyDescent="0.2">
      <c r="A8" s="1095" t="s">
        <v>356</v>
      </c>
      <c r="B8" s="862">
        <v>150000</v>
      </c>
      <c r="C8" s="1094"/>
      <c r="D8" s="1094"/>
      <c r="E8" s="1210">
        <v>150000</v>
      </c>
      <c r="F8" s="1599">
        <v>78000</v>
      </c>
      <c r="G8" s="1326">
        <f>F8/E8</f>
        <v>0.52</v>
      </c>
    </row>
    <row r="9" spans="1:7" x14ac:dyDescent="0.2">
      <c r="A9" s="1095" t="s">
        <v>1018</v>
      </c>
      <c r="B9" s="862">
        <v>0</v>
      </c>
      <c r="C9" s="862" t="e">
        <f>#REF!+#REF!+#REF!+#REF!+#REF!+#REF!+#REF!+#REF!+#REF!+#REF!+#REF!+#REF!</f>
        <v>#REF!</v>
      </c>
      <c r="D9" s="862" t="e">
        <f>#REF!+#REF!+#REF!+#REF!+#REF!+#REF!+#REF!+#REF!+#REF!+#REF!+#REF!+#REF!</f>
        <v>#REF!</v>
      </c>
      <c r="E9" s="1210">
        <v>0</v>
      </c>
      <c r="F9" s="1599"/>
      <c r="G9" s="1326"/>
    </row>
    <row r="10" spans="1:7" x14ac:dyDescent="0.2">
      <c r="A10" s="1095" t="s">
        <v>1019</v>
      </c>
      <c r="B10" s="862">
        <v>300000</v>
      </c>
      <c r="C10" s="1094"/>
      <c r="D10" s="1094"/>
      <c r="E10" s="1210">
        <f>300000+1324418-250000</f>
        <v>1374418</v>
      </c>
      <c r="F10" s="1599">
        <f>89694+332200+250000+67500</f>
        <v>739394</v>
      </c>
      <c r="G10" s="1326">
        <f t="shared" ref="G10:G26" si="0">F10/E10</f>
        <v>0.53796879842958978</v>
      </c>
    </row>
    <row r="11" spans="1:7" x14ac:dyDescent="0.2">
      <c r="A11" s="1095" t="s">
        <v>1020</v>
      </c>
      <c r="B11" s="862">
        <v>0</v>
      </c>
      <c r="C11" s="1094"/>
      <c r="D11" s="1094"/>
      <c r="E11" s="1210">
        <v>0</v>
      </c>
      <c r="F11" s="1599"/>
      <c r="G11" s="1326"/>
    </row>
    <row r="12" spans="1:7" x14ac:dyDescent="0.2">
      <c r="A12" s="1095" t="s">
        <v>1021</v>
      </c>
      <c r="B12" s="862">
        <v>200000</v>
      </c>
      <c r="C12" s="1094"/>
      <c r="D12" s="1094"/>
      <c r="E12" s="1210">
        <v>200000</v>
      </c>
      <c r="F12" s="1599"/>
      <c r="G12" s="1326">
        <f t="shared" si="0"/>
        <v>0</v>
      </c>
    </row>
    <row r="13" spans="1:7" x14ac:dyDescent="0.2">
      <c r="A13" s="1095" t="s">
        <v>1032</v>
      </c>
      <c r="B13" s="862">
        <v>0</v>
      </c>
      <c r="C13" s="1094"/>
      <c r="D13" s="1094"/>
      <c r="E13" s="1210">
        <v>0</v>
      </c>
      <c r="F13" s="1599"/>
      <c r="G13" s="1326"/>
    </row>
    <row r="14" spans="1:7" x14ac:dyDescent="0.2">
      <c r="A14" s="1095" t="s">
        <v>1087</v>
      </c>
      <c r="B14" s="862">
        <v>0</v>
      </c>
      <c r="C14" s="1094"/>
      <c r="D14" s="1094"/>
      <c r="E14" s="1210">
        <v>250000</v>
      </c>
      <c r="F14" s="1599">
        <f>31826+117874</f>
        <v>149700</v>
      </c>
      <c r="G14" s="1326">
        <f t="shared" si="0"/>
        <v>0.5988</v>
      </c>
    </row>
    <row r="15" spans="1:7" ht="25.5" x14ac:dyDescent="0.2">
      <c r="A15" s="1095" t="s">
        <v>1022</v>
      </c>
      <c r="B15" s="862">
        <v>0</v>
      </c>
      <c r="C15" s="1094"/>
      <c r="D15" s="1094"/>
      <c r="E15" s="1210">
        <v>0</v>
      </c>
      <c r="F15" s="1599"/>
      <c r="G15" s="1326"/>
    </row>
    <row r="16" spans="1:7" x14ac:dyDescent="0.2">
      <c r="A16" s="1095" t="s">
        <v>1023</v>
      </c>
      <c r="B16" s="862">
        <v>50000</v>
      </c>
      <c r="C16" s="1094"/>
      <c r="D16" s="1094"/>
      <c r="E16" s="1210">
        <v>50000</v>
      </c>
      <c r="F16" s="1599">
        <v>16642</v>
      </c>
      <c r="G16" s="1326">
        <f t="shared" si="0"/>
        <v>0.33284000000000002</v>
      </c>
    </row>
    <row r="17" spans="1:7" x14ac:dyDescent="0.2">
      <c r="A17" s="1095" t="s">
        <v>1024</v>
      </c>
      <c r="B17" s="862">
        <v>0</v>
      </c>
      <c r="C17" s="1094"/>
      <c r="D17" s="1094"/>
      <c r="E17" s="1210">
        <v>0</v>
      </c>
      <c r="F17" s="1599"/>
      <c r="G17" s="1326"/>
    </row>
    <row r="18" spans="1:7" ht="25.5" x14ac:dyDescent="0.2">
      <c r="A18" s="1095" t="s">
        <v>1025</v>
      </c>
      <c r="B18" s="862">
        <v>0</v>
      </c>
      <c r="C18" s="1094"/>
      <c r="D18" s="1094"/>
      <c r="E18" s="1210">
        <v>0</v>
      </c>
      <c r="F18" s="1599"/>
      <c r="G18" s="1326"/>
    </row>
    <row r="19" spans="1:7" x14ac:dyDescent="0.2">
      <c r="A19" s="1095" t="s">
        <v>942</v>
      </c>
      <c r="B19" s="862">
        <v>0</v>
      </c>
      <c r="C19" s="1094"/>
      <c r="D19" s="1094"/>
      <c r="E19" s="1210">
        <v>0</v>
      </c>
      <c r="F19" s="1599"/>
      <c r="G19" s="1326"/>
    </row>
    <row r="20" spans="1:7" x14ac:dyDescent="0.2">
      <c r="A20" s="1095" t="s">
        <v>1026</v>
      </c>
      <c r="B20" s="862">
        <v>20000</v>
      </c>
      <c r="C20" s="1094"/>
      <c r="D20" s="1094"/>
      <c r="E20" s="1210">
        <v>20000</v>
      </c>
      <c r="F20" s="1599"/>
      <c r="G20" s="1326">
        <f t="shared" si="0"/>
        <v>0</v>
      </c>
    </row>
    <row r="21" spans="1:7" ht="25.5" x14ac:dyDescent="0.2">
      <c r="A21" s="1095" t="s">
        <v>1027</v>
      </c>
      <c r="B21" s="862">
        <v>50000</v>
      </c>
      <c r="C21" s="1094"/>
      <c r="D21" s="1094"/>
      <c r="E21" s="1210">
        <v>50000</v>
      </c>
      <c r="F21" s="1599"/>
      <c r="G21" s="1326">
        <f t="shared" si="0"/>
        <v>0</v>
      </c>
    </row>
    <row r="22" spans="1:7" x14ac:dyDescent="0.2">
      <c r="A22" s="1095" t="s">
        <v>1028</v>
      </c>
      <c r="B22" s="862">
        <v>120000</v>
      </c>
      <c r="C22" s="1094"/>
      <c r="D22" s="1094"/>
      <c r="E22" s="1210">
        <v>120000</v>
      </c>
      <c r="F22" s="1599">
        <f>98425+26575+26575+7175+18000+4860+4016+14874+5102+18898+867+3213+1063+287+3858+1042+497+1843+472+1748+1062+3933</f>
        <v>244385</v>
      </c>
      <c r="G22" s="1326">
        <f t="shared" si="0"/>
        <v>2.0365416666666665</v>
      </c>
    </row>
    <row r="23" spans="1:7" x14ac:dyDescent="0.2">
      <c r="A23" s="1095" t="s">
        <v>1029</v>
      </c>
      <c r="B23" s="862">
        <v>100000</v>
      </c>
      <c r="C23" s="1094"/>
      <c r="D23" s="1094"/>
      <c r="E23" s="1210">
        <v>100000</v>
      </c>
      <c r="F23" s="1599">
        <v>15000</v>
      </c>
      <c r="G23" s="1326">
        <f t="shared" si="0"/>
        <v>0.15</v>
      </c>
    </row>
    <row r="24" spans="1:7" ht="25.5" x14ac:dyDescent="0.2">
      <c r="A24" s="1095" t="s">
        <v>1030</v>
      </c>
      <c r="B24" s="862">
        <v>120000</v>
      </c>
      <c r="C24" s="1094"/>
      <c r="D24" s="1094"/>
      <c r="E24" s="1210">
        <v>120000</v>
      </c>
      <c r="F24" s="1600">
        <v>167306</v>
      </c>
      <c r="G24" s="1602">
        <f t="shared" si="0"/>
        <v>1.3942166666666667</v>
      </c>
    </row>
    <row r="25" spans="1:7" ht="13.5" thickBot="1" x14ac:dyDescent="0.25">
      <c r="A25" s="1096" t="s">
        <v>1031</v>
      </c>
      <c r="B25" s="863">
        <v>480000</v>
      </c>
      <c r="C25" s="1094"/>
      <c r="D25" s="1094"/>
      <c r="E25" s="1212">
        <v>480000</v>
      </c>
      <c r="F25" s="1601">
        <v>421894</v>
      </c>
      <c r="G25" s="1326">
        <f t="shared" si="0"/>
        <v>0.87894583333333332</v>
      </c>
    </row>
    <row r="26" spans="1:7" ht="13.5" thickBot="1" x14ac:dyDescent="0.25">
      <c r="A26" s="878" t="s">
        <v>1063</v>
      </c>
      <c r="B26" s="1215">
        <f>SUM(B7:B25)</f>
        <v>1590000</v>
      </c>
      <c r="C26" s="1216"/>
      <c r="D26" s="1216"/>
      <c r="E26" s="1215">
        <f>SUM(E7:E25)</f>
        <v>2914418</v>
      </c>
      <c r="F26" s="1215">
        <f>SUM(F7:F25)</f>
        <v>1832321</v>
      </c>
      <c r="G26" s="1327">
        <f t="shared" si="0"/>
        <v>0.62870905957896228</v>
      </c>
    </row>
  </sheetData>
  <mergeCells count="4">
    <mergeCell ref="A1:D1"/>
    <mergeCell ref="A2:G2"/>
    <mergeCell ref="A3:G3"/>
    <mergeCell ref="A4:G4"/>
  </mergeCells>
  <phoneticPr fontId="29" type="noConversion"/>
  <pageMargins left="0.39370078740157483" right="0.15748031496062992" top="0.59055118110236227" bottom="0.43307086614173229" header="0.31496062992125984" footer="0.31496062992125984"/>
  <pageSetup paperSize="9" scale="72" orientation="portrait" r:id="rId1"/>
  <headerFooter>
    <oddHeader>&amp;R&amp;"Times New Roman CE,Félkövér"&amp;11 8. melléklet a 3/2016. (IV.29.)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M104"/>
  <sheetViews>
    <sheetView view="pageLayout" topLeftCell="B1" zoomScaleNormal="115" zoomScaleSheetLayoutView="115" workbookViewId="0">
      <selection activeCell="J82" sqref="J82"/>
    </sheetView>
  </sheetViews>
  <sheetFormatPr defaultColWidth="9.33203125" defaultRowHeight="12.75" x14ac:dyDescent="0.2"/>
  <cols>
    <col min="1" max="1" width="4.6640625" style="517" customWidth="1"/>
    <col min="2" max="2" width="9.6640625" style="518" customWidth="1"/>
    <col min="3" max="3" width="71.83203125" style="518" customWidth="1"/>
    <col min="4" max="5" width="11.33203125" style="519" hidden="1" customWidth="1"/>
    <col min="6" max="8" width="11.33203125" style="519" customWidth="1"/>
    <col min="9" max="9" width="17.1640625" style="1242" bestFit="1" customWidth="1"/>
    <col min="10" max="10" width="21.1640625" style="516" customWidth="1"/>
    <col min="11" max="16384" width="9.33203125" style="516"/>
  </cols>
  <sheetData>
    <row r="1" spans="1:9" s="2" customFormat="1" ht="16.5" customHeight="1" thickBot="1" x14ac:dyDescent="0.25">
      <c r="A1" s="167"/>
      <c r="B1" s="168"/>
      <c r="C1" s="169"/>
      <c r="D1" s="733"/>
      <c r="E1" s="733"/>
      <c r="F1" s="733"/>
      <c r="G1" s="733"/>
      <c r="H1" s="733"/>
    </row>
    <row r="2" spans="1:9" s="70" customFormat="1" ht="25.5" customHeight="1" thickBot="1" x14ac:dyDescent="0.25">
      <c r="A2" s="1651" t="s">
        <v>205</v>
      </c>
      <c r="B2" s="1652"/>
      <c r="C2" s="977" t="s">
        <v>627</v>
      </c>
      <c r="D2" s="954"/>
      <c r="E2" s="955" t="s">
        <v>891</v>
      </c>
      <c r="F2" s="1653" t="s">
        <v>891</v>
      </c>
      <c r="G2" s="1654"/>
      <c r="H2" s="1654"/>
      <c r="I2" s="1655"/>
    </row>
    <row r="3" spans="1:9" s="70" customFormat="1" ht="16.5" hidden="1" thickBot="1" x14ac:dyDescent="0.25">
      <c r="A3" s="950" t="s">
        <v>177</v>
      </c>
      <c r="B3" s="951"/>
      <c r="C3" s="976" t="s">
        <v>892</v>
      </c>
      <c r="D3" s="683" t="s">
        <v>893</v>
      </c>
      <c r="E3" s="683" t="s">
        <v>893</v>
      </c>
      <c r="F3" s="683" t="s">
        <v>893</v>
      </c>
      <c r="G3" s="683" t="s">
        <v>893</v>
      </c>
      <c r="H3" s="1073"/>
    </row>
    <row r="4" spans="1:9" s="71" customFormat="1" ht="15.95" customHeight="1" thickBot="1" x14ac:dyDescent="0.3">
      <c r="A4" s="172"/>
      <c r="B4" s="172"/>
      <c r="C4" s="172"/>
      <c r="D4" s="173"/>
      <c r="E4" s="173" t="s">
        <v>894</v>
      </c>
      <c r="F4" s="173"/>
      <c r="H4" s="173"/>
      <c r="I4" s="173" t="s">
        <v>894</v>
      </c>
    </row>
    <row r="5" spans="1:9" ht="39" thickBot="1" x14ac:dyDescent="0.25">
      <c r="A5" s="1651" t="s">
        <v>179</v>
      </c>
      <c r="B5" s="1652"/>
      <c r="C5" s="174" t="s">
        <v>895</v>
      </c>
      <c r="D5" s="956" t="s">
        <v>1000</v>
      </c>
      <c r="E5" s="774" t="s">
        <v>1001</v>
      </c>
      <c r="F5" s="775" t="s">
        <v>943</v>
      </c>
      <c r="G5" s="775" t="s">
        <v>1068</v>
      </c>
      <c r="H5" s="775" t="s">
        <v>1095</v>
      </c>
      <c r="I5" s="964" t="s">
        <v>1094</v>
      </c>
    </row>
    <row r="6" spans="1:9" s="54" customFormat="1" ht="12.95" customHeight="1" thickBot="1" x14ac:dyDescent="0.25">
      <c r="A6" s="153">
        <v>1</v>
      </c>
      <c r="B6" s="154">
        <v>2</v>
      </c>
      <c r="C6" s="154">
        <v>3</v>
      </c>
      <c r="D6" s="957">
        <v>4</v>
      </c>
      <c r="E6" s="775">
        <v>5</v>
      </c>
      <c r="F6" s="154">
        <v>4</v>
      </c>
      <c r="G6" s="154">
        <v>5</v>
      </c>
      <c r="H6" s="154">
        <v>6</v>
      </c>
      <c r="I6" s="154">
        <v>7</v>
      </c>
    </row>
    <row r="7" spans="1:9" s="54" customFormat="1" ht="15.95" customHeight="1" thickBot="1" x14ac:dyDescent="0.25">
      <c r="A7" s="176"/>
      <c r="B7" s="177"/>
      <c r="C7" s="984" t="s">
        <v>897</v>
      </c>
      <c r="D7" s="686"/>
      <c r="E7" s="785"/>
      <c r="F7" s="785"/>
      <c r="G7" s="687"/>
      <c r="H7" s="687"/>
      <c r="I7" s="687"/>
    </row>
    <row r="8" spans="1:9" s="54" customFormat="1" ht="12" customHeight="1" thickBot="1" x14ac:dyDescent="0.25">
      <c r="A8" s="153" t="s">
        <v>855</v>
      </c>
      <c r="B8" s="179"/>
      <c r="C8" s="739" t="s">
        <v>180</v>
      </c>
      <c r="D8" s="509">
        <v>102887</v>
      </c>
      <c r="E8" s="511">
        <f>+E9+E14</f>
        <v>86508</v>
      </c>
      <c r="F8" s="511">
        <f>+F9+F14</f>
        <v>116064</v>
      </c>
      <c r="G8" s="291">
        <f>+G9+G14</f>
        <v>111616</v>
      </c>
      <c r="H8" s="291">
        <f>+H9+H14</f>
        <v>108113</v>
      </c>
      <c r="I8" s="1220">
        <f>H8/G8</f>
        <v>0.96861561066513757</v>
      </c>
    </row>
    <row r="9" spans="1:9" s="72" customFormat="1" ht="12" customHeight="1" thickBot="1" x14ac:dyDescent="0.25">
      <c r="A9" s="153" t="s">
        <v>856</v>
      </c>
      <c r="B9" s="179"/>
      <c r="C9" s="799" t="s">
        <v>793</v>
      </c>
      <c r="D9" s="509">
        <v>95825</v>
      </c>
      <c r="E9" s="511">
        <f>SUM(E10:E13)</f>
        <v>79070</v>
      </c>
      <c r="F9" s="511">
        <f>SUM(F10:F13)</f>
        <v>98689</v>
      </c>
      <c r="G9" s="291">
        <f>SUM(G10:G13)</f>
        <v>92798</v>
      </c>
      <c r="H9" s="291">
        <f>SUM(H10:H13)</f>
        <v>92161</v>
      </c>
      <c r="I9" s="1220">
        <f>H9/G9</f>
        <v>0.99313562792301557</v>
      </c>
    </row>
    <row r="10" spans="1:9" s="73" customFormat="1" ht="12" customHeight="1" x14ac:dyDescent="0.2">
      <c r="A10" s="181"/>
      <c r="B10" s="182" t="s">
        <v>46</v>
      </c>
      <c r="C10" s="743" t="s">
        <v>899</v>
      </c>
      <c r="D10" s="959">
        <v>92782</v>
      </c>
      <c r="E10" s="777">
        <v>76570</v>
      </c>
      <c r="F10" s="777">
        <v>96496</v>
      </c>
      <c r="G10" s="688">
        <f>96496-10470+3523</f>
        <v>89549</v>
      </c>
      <c r="H10" s="688">
        <f>35368+19436+34687</f>
        <v>89491</v>
      </c>
      <c r="I10" s="1218">
        <f>H10/G10</f>
        <v>0.99935230990854174</v>
      </c>
    </row>
    <row r="11" spans="1:9" s="73" customFormat="1" ht="12" customHeight="1" x14ac:dyDescent="0.2">
      <c r="A11" s="181"/>
      <c r="B11" s="182" t="s">
        <v>47</v>
      </c>
      <c r="C11" s="735" t="s">
        <v>19</v>
      </c>
      <c r="D11" s="959"/>
      <c r="E11" s="777"/>
      <c r="F11" s="777"/>
      <c r="G11" s="688"/>
      <c r="H11" s="688"/>
      <c r="I11" s="1218"/>
    </row>
    <row r="12" spans="1:9" s="73" customFormat="1" ht="12" customHeight="1" x14ac:dyDescent="0.2">
      <c r="A12" s="181"/>
      <c r="B12" s="182" t="s">
        <v>48</v>
      </c>
      <c r="C12" s="735" t="s">
        <v>106</v>
      </c>
      <c r="D12" s="959">
        <v>2094</v>
      </c>
      <c r="E12" s="777">
        <v>2000</v>
      </c>
      <c r="F12" s="777">
        <v>1592</v>
      </c>
      <c r="G12" s="688">
        <f>1592+1056</f>
        <v>2648</v>
      </c>
      <c r="H12" s="688">
        <v>2298</v>
      </c>
      <c r="I12" s="1218">
        <f t="shared" ref="I12:I17" si="0">H12/G12</f>
        <v>0.8678247734138973</v>
      </c>
    </row>
    <row r="13" spans="1:9" s="73" customFormat="1" ht="12" customHeight="1" thickBot="1" x14ac:dyDescent="0.25">
      <c r="A13" s="181"/>
      <c r="B13" s="182" t="s">
        <v>49</v>
      </c>
      <c r="C13" s="798" t="s">
        <v>107</v>
      </c>
      <c r="D13" s="959">
        <v>949</v>
      </c>
      <c r="E13" s="777">
        <v>500</v>
      </c>
      <c r="F13" s="777">
        <v>601</v>
      </c>
      <c r="G13" s="688">
        <v>601</v>
      </c>
      <c r="H13" s="688">
        <v>372</v>
      </c>
      <c r="I13" s="1218">
        <f t="shared" si="0"/>
        <v>0.61896838602329451</v>
      </c>
    </row>
    <row r="14" spans="1:9" s="72" customFormat="1" ht="12" customHeight="1" thickBot="1" x14ac:dyDescent="0.25">
      <c r="A14" s="153" t="s">
        <v>857</v>
      </c>
      <c r="B14" s="179"/>
      <c r="C14" s="799" t="s">
        <v>108</v>
      </c>
      <c r="D14" s="509">
        <v>7060</v>
      </c>
      <c r="E14" s="511">
        <v>7438</v>
      </c>
      <c r="F14" s="511">
        <f>SUM(F15:F22)</f>
        <v>17375</v>
      </c>
      <c r="G14" s="291">
        <f>SUM(G15:G22)</f>
        <v>18818</v>
      </c>
      <c r="H14" s="291">
        <f>SUM(H15:H22)</f>
        <v>15952</v>
      </c>
      <c r="I14" s="1220">
        <f t="shared" si="0"/>
        <v>0.84769901158465299</v>
      </c>
    </row>
    <row r="15" spans="1:9" s="72" customFormat="1" ht="12" customHeight="1" x14ac:dyDescent="0.2">
      <c r="A15" s="183"/>
      <c r="B15" s="182" t="s">
        <v>20</v>
      </c>
      <c r="C15" s="743" t="s">
        <v>1006</v>
      </c>
      <c r="D15" s="958">
        <v>0</v>
      </c>
      <c r="E15" s="776">
        <v>0</v>
      </c>
      <c r="F15" s="776">
        <v>696</v>
      </c>
      <c r="G15" s="689">
        <v>696</v>
      </c>
      <c r="H15" s="689">
        <v>117</v>
      </c>
      <c r="I15" s="1245">
        <f t="shared" si="0"/>
        <v>0.16810344827586207</v>
      </c>
    </row>
    <row r="16" spans="1:9" s="72" customFormat="1" ht="12" customHeight="1" x14ac:dyDescent="0.2">
      <c r="A16" s="181"/>
      <c r="B16" s="182" t="s">
        <v>21</v>
      </c>
      <c r="C16" s="735" t="s">
        <v>114</v>
      </c>
      <c r="D16" s="959">
        <v>102</v>
      </c>
      <c r="E16" s="777">
        <v>0</v>
      </c>
      <c r="F16" s="777">
        <v>511</v>
      </c>
      <c r="G16" s="688">
        <f>511+1057</f>
        <v>1568</v>
      </c>
      <c r="H16" s="688">
        <v>1753</v>
      </c>
      <c r="I16" s="1218">
        <f t="shared" si="0"/>
        <v>1.1179846938775511</v>
      </c>
    </row>
    <row r="17" spans="1:9" s="72" customFormat="1" ht="12" customHeight="1" x14ac:dyDescent="0.2">
      <c r="A17" s="181"/>
      <c r="B17" s="182" t="s">
        <v>22</v>
      </c>
      <c r="C17" s="735" t="s">
        <v>115</v>
      </c>
      <c r="D17" s="959">
        <v>6330</v>
      </c>
      <c r="E17" s="777">
        <v>7223</v>
      </c>
      <c r="F17" s="777">
        <v>16098</v>
      </c>
      <c r="G17" s="688">
        <v>16098</v>
      </c>
      <c r="H17" s="688">
        <v>13700</v>
      </c>
      <c r="I17" s="1218">
        <f t="shared" si="0"/>
        <v>0.85103739594980743</v>
      </c>
    </row>
    <row r="18" spans="1:9" s="72" customFormat="1" ht="12" customHeight="1" x14ac:dyDescent="0.2">
      <c r="A18" s="181"/>
      <c r="B18" s="182" t="s">
        <v>23</v>
      </c>
      <c r="C18" s="735" t="s">
        <v>116</v>
      </c>
      <c r="D18" s="959">
        <v>153</v>
      </c>
      <c r="E18" s="777">
        <v>215</v>
      </c>
      <c r="F18" s="777">
        <v>70</v>
      </c>
      <c r="G18" s="688">
        <v>70</v>
      </c>
      <c r="H18" s="688"/>
      <c r="I18" s="1217">
        <v>0</v>
      </c>
    </row>
    <row r="19" spans="1:9" s="72" customFormat="1" ht="12" customHeight="1" x14ac:dyDescent="0.2">
      <c r="A19" s="181"/>
      <c r="B19" s="182" t="s">
        <v>109</v>
      </c>
      <c r="C19" s="735" t="s">
        <v>117</v>
      </c>
      <c r="D19" s="959"/>
      <c r="E19" s="777">
        <v>0</v>
      </c>
      <c r="F19" s="777"/>
      <c r="G19" s="688"/>
      <c r="H19" s="688"/>
      <c r="I19" s="688"/>
    </row>
    <row r="20" spans="1:9" s="72" customFormat="1" ht="12" customHeight="1" x14ac:dyDescent="0.2">
      <c r="A20" s="184"/>
      <c r="B20" s="182" t="s">
        <v>110</v>
      </c>
      <c r="C20" s="735" t="s">
        <v>210</v>
      </c>
      <c r="D20" s="750">
        <v>0</v>
      </c>
      <c r="E20" s="778">
        <v>0</v>
      </c>
      <c r="F20" s="778">
        <v>0</v>
      </c>
      <c r="G20" s="690">
        <v>0</v>
      </c>
      <c r="H20" s="690"/>
      <c r="I20" s="690"/>
    </row>
    <row r="21" spans="1:9" s="73" customFormat="1" ht="12" customHeight="1" x14ac:dyDescent="0.2">
      <c r="A21" s="181"/>
      <c r="B21" s="182" t="s">
        <v>111</v>
      </c>
      <c r="C21" s="735" t="s">
        <v>119</v>
      </c>
      <c r="D21" s="959">
        <v>216</v>
      </c>
      <c r="E21" s="777">
        <v>0</v>
      </c>
      <c r="F21" s="777">
        <v>0</v>
      </c>
      <c r="G21" s="688">
        <v>0</v>
      </c>
      <c r="H21" s="688">
        <v>12</v>
      </c>
      <c r="I21" s="1217">
        <v>0</v>
      </c>
    </row>
    <row r="22" spans="1:9" s="73" customFormat="1" ht="12" customHeight="1" thickBot="1" x14ac:dyDescent="0.25">
      <c r="A22" s="185"/>
      <c r="B22" s="186" t="s">
        <v>112</v>
      </c>
      <c r="C22" s="798" t="s">
        <v>120</v>
      </c>
      <c r="D22" s="960">
        <v>259</v>
      </c>
      <c r="E22" s="779">
        <v>0</v>
      </c>
      <c r="F22" s="779">
        <v>0</v>
      </c>
      <c r="G22" s="691">
        <f>285+101</f>
        <v>386</v>
      </c>
      <c r="H22" s="691">
        <v>370</v>
      </c>
      <c r="I22" s="1246">
        <f>H22/G22</f>
        <v>0.95854922279792742</v>
      </c>
    </row>
    <row r="23" spans="1:9" s="73" customFormat="1" ht="12" customHeight="1" thickBot="1" x14ac:dyDescent="0.25">
      <c r="A23" s="153" t="s">
        <v>858</v>
      </c>
      <c r="B23" s="187"/>
      <c r="C23" s="799" t="s">
        <v>211</v>
      </c>
      <c r="D23" s="696">
        <v>7832</v>
      </c>
      <c r="E23" s="659">
        <v>8000</v>
      </c>
      <c r="F23" s="659">
        <v>8132</v>
      </c>
      <c r="G23" s="668">
        <v>8132</v>
      </c>
      <c r="H23" s="668">
        <v>7351</v>
      </c>
      <c r="I23" s="1247">
        <f>H23/G23</f>
        <v>0.90395966551893758</v>
      </c>
    </row>
    <row r="24" spans="1:9" s="72" customFormat="1" ht="12" customHeight="1" thickBot="1" x14ac:dyDescent="0.25">
      <c r="A24" s="153" t="s">
        <v>859</v>
      </c>
      <c r="B24" s="179"/>
      <c r="C24" s="799" t="s">
        <v>794</v>
      </c>
      <c r="D24" s="509">
        <v>136964</v>
      </c>
      <c r="E24" s="511">
        <f>SUM(E25:E32)</f>
        <v>154410</v>
      </c>
      <c r="F24" s="511">
        <f>SUM(F25:F32)</f>
        <v>166940</v>
      </c>
      <c r="G24" s="291">
        <f>SUM(G25:G32)</f>
        <v>175811</v>
      </c>
      <c r="H24" s="291">
        <f>SUM(H25:H32)</f>
        <v>175811</v>
      </c>
      <c r="I24" s="1220">
        <f>H24/G24</f>
        <v>1</v>
      </c>
    </row>
    <row r="25" spans="1:9" s="73" customFormat="1" ht="12" customHeight="1" x14ac:dyDescent="0.2">
      <c r="A25" s="181"/>
      <c r="B25" s="182" t="s">
        <v>24</v>
      </c>
      <c r="C25" s="743" t="s">
        <v>795</v>
      </c>
      <c r="D25" s="944">
        <v>122087</v>
      </c>
      <c r="E25" s="651">
        <v>149564</v>
      </c>
      <c r="F25" s="651">
        <f>77154+59520+26553+3713</f>
        <v>166940</v>
      </c>
      <c r="G25" s="666">
        <f>169649+2174+1415</f>
        <v>173238</v>
      </c>
      <c r="H25" s="666">
        <v>173238</v>
      </c>
      <c r="I25" s="1218">
        <f>H25/G25</f>
        <v>1</v>
      </c>
    </row>
    <row r="26" spans="1:9" s="73" customFormat="1" ht="12" customHeight="1" x14ac:dyDescent="0.2">
      <c r="A26" s="181"/>
      <c r="B26" s="182" t="s">
        <v>25</v>
      </c>
      <c r="C26" s="735" t="s">
        <v>129</v>
      </c>
      <c r="D26" s="944">
        <v>5457</v>
      </c>
      <c r="E26" s="651">
        <v>1943</v>
      </c>
      <c r="F26" s="651"/>
      <c r="G26" s="666"/>
      <c r="H26" s="666"/>
      <c r="I26" s="1218"/>
    </row>
    <row r="27" spans="1:9" s="73" customFormat="1" ht="12" customHeight="1" x14ac:dyDescent="0.2">
      <c r="A27" s="181"/>
      <c r="B27" s="182" t="s">
        <v>26</v>
      </c>
      <c r="C27" s="735" t="s">
        <v>29</v>
      </c>
      <c r="D27" s="944">
        <v>0</v>
      </c>
      <c r="E27" s="651">
        <v>966</v>
      </c>
      <c r="F27" s="651"/>
      <c r="G27" s="666">
        <f>792+132+845</f>
        <v>1769</v>
      </c>
      <c r="H27" s="666">
        <v>1769</v>
      </c>
      <c r="I27" s="1218">
        <f>H27/G27</f>
        <v>1</v>
      </c>
    </row>
    <row r="28" spans="1:9" s="73" customFormat="1" ht="12" customHeight="1" x14ac:dyDescent="0.2">
      <c r="A28" s="181"/>
      <c r="B28" s="182" t="s">
        <v>124</v>
      </c>
      <c r="C28" s="735" t="s">
        <v>903</v>
      </c>
      <c r="D28" s="944">
        <v>9420</v>
      </c>
      <c r="E28" s="651">
        <v>0</v>
      </c>
      <c r="F28" s="651"/>
      <c r="G28" s="666"/>
      <c r="H28" s="666"/>
      <c r="I28" s="688"/>
    </row>
    <row r="29" spans="1:9" s="73" customFormat="1" ht="12" customHeight="1" x14ac:dyDescent="0.2">
      <c r="A29" s="181"/>
      <c r="B29" s="182" t="s">
        <v>125</v>
      </c>
      <c r="C29" s="735" t="s">
        <v>131</v>
      </c>
      <c r="D29" s="944">
        <v>0</v>
      </c>
      <c r="E29" s="651">
        <v>0</v>
      </c>
      <c r="F29" s="651">
        <v>0</v>
      </c>
      <c r="G29" s="666">
        <v>0</v>
      </c>
      <c r="H29" s="666"/>
      <c r="I29" s="688"/>
    </row>
    <row r="30" spans="1:9" s="73" customFormat="1" ht="12" customHeight="1" x14ac:dyDescent="0.2">
      <c r="A30" s="181"/>
      <c r="B30" s="182" t="s">
        <v>126</v>
      </c>
      <c r="C30" s="735" t="s">
        <v>132</v>
      </c>
      <c r="D30" s="944">
        <v>0</v>
      </c>
      <c r="E30" s="651">
        <v>0</v>
      </c>
      <c r="F30" s="651">
        <v>0</v>
      </c>
      <c r="G30" s="666">
        <v>0</v>
      </c>
      <c r="H30" s="666"/>
      <c r="I30" s="688"/>
    </row>
    <row r="31" spans="1:9" s="73" customFormat="1" ht="12" customHeight="1" x14ac:dyDescent="0.2">
      <c r="A31" s="181"/>
      <c r="B31" s="182" t="s">
        <v>127</v>
      </c>
      <c r="C31" s="735" t="s">
        <v>212</v>
      </c>
      <c r="D31" s="944">
        <v>0</v>
      </c>
      <c r="E31" s="651">
        <v>0</v>
      </c>
      <c r="F31" s="651"/>
      <c r="G31" s="666">
        <f>139</f>
        <v>139</v>
      </c>
      <c r="H31" s="666">
        <v>139</v>
      </c>
      <c r="I31" s="1218">
        <f>H31/G31</f>
        <v>1</v>
      </c>
    </row>
    <row r="32" spans="1:9" s="73" customFormat="1" ht="12" customHeight="1" thickBot="1" x14ac:dyDescent="0.25">
      <c r="A32" s="185"/>
      <c r="B32" s="186" t="s">
        <v>128</v>
      </c>
      <c r="C32" s="746" t="s">
        <v>181</v>
      </c>
      <c r="D32" s="979"/>
      <c r="E32" s="654">
        <v>1937</v>
      </c>
      <c r="F32" s="654">
        <v>0</v>
      </c>
      <c r="G32" s="667">
        <v>665</v>
      </c>
      <c r="H32" s="667">
        <v>665</v>
      </c>
      <c r="I32" s="1246">
        <v>1</v>
      </c>
    </row>
    <row r="33" spans="1:9" s="73" customFormat="1" ht="12" customHeight="1" thickBot="1" x14ac:dyDescent="0.25">
      <c r="A33" s="161" t="s">
        <v>860</v>
      </c>
      <c r="B33" s="95"/>
      <c r="C33" s="739" t="s">
        <v>358</v>
      </c>
      <c r="D33" s="509">
        <v>16051</v>
      </c>
      <c r="E33" s="511">
        <f>+E34+E40</f>
        <v>37895</v>
      </c>
      <c r="F33" s="511">
        <f>+F34+F40</f>
        <v>22434</v>
      </c>
      <c r="G33" s="291">
        <f>+G34+G40</f>
        <v>130210</v>
      </c>
      <c r="H33" s="291">
        <f>+H34+H40</f>
        <v>128233</v>
      </c>
      <c r="I33" s="1220">
        <f>H33/G33</f>
        <v>0.98481683434452039</v>
      </c>
    </row>
    <row r="34" spans="1:9" s="73" customFormat="1" ht="12" customHeight="1" x14ac:dyDescent="0.2">
      <c r="A34" s="183"/>
      <c r="B34" s="123" t="s">
        <v>27</v>
      </c>
      <c r="C34" s="793" t="s">
        <v>343</v>
      </c>
      <c r="D34" s="980">
        <v>14598</v>
      </c>
      <c r="E34" s="826">
        <f>SUM(E35:E39)</f>
        <v>22134</v>
      </c>
      <c r="F34" s="826">
        <f>SUM(F35:F39)</f>
        <v>10419</v>
      </c>
      <c r="G34" s="692">
        <f>SUM(G35:G39)</f>
        <v>10419</v>
      </c>
      <c r="H34" s="692">
        <f>SUM(H35:H39)</f>
        <v>14925</v>
      </c>
      <c r="I34" s="1248">
        <f>H34/G34</f>
        <v>1.4324791246760726</v>
      </c>
    </row>
    <row r="35" spans="1:9" s="73" customFormat="1" ht="12" customHeight="1" x14ac:dyDescent="0.2">
      <c r="A35" s="181"/>
      <c r="B35" s="120" t="s">
        <v>30</v>
      </c>
      <c r="C35" s="735" t="s">
        <v>213</v>
      </c>
      <c r="D35" s="959">
        <v>4192</v>
      </c>
      <c r="E35" s="777">
        <v>3996</v>
      </c>
      <c r="F35" s="777">
        <v>4696</v>
      </c>
      <c r="G35" s="688">
        <v>4696</v>
      </c>
      <c r="H35" s="688">
        <v>4690</v>
      </c>
      <c r="I35" s="1218">
        <f>H35/G35</f>
        <v>0.99872231686541735</v>
      </c>
    </row>
    <row r="36" spans="1:9" s="73" customFormat="1" ht="12" customHeight="1" x14ac:dyDescent="0.2">
      <c r="A36" s="181"/>
      <c r="B36" s="120" t="s">
        <v>31</v>
      </c>
      <c r="C36" s="735" t="s">
        <v>902</v>
      </c>
      <c r="D36" s="959"/>
      <c r="E36" s="777"/>
      <c r="F36" s="777"/>
      <c r="G36" s="688"/>
      <c r="H36" s="688"/>
      <c r="I36" s="688"/>
    </row>
    <row r="37" spans="1:9" s="73" customFormat="1" ht="12" customHeight="1" x14ac:dyDescent="0.2">
      <c r="A37" s="181"/>
      <c r="B37" s="120" t="s">
        <v>32</v>
      </c>
      <c r="C37" s="735" t="s">
        <v>215</v>
      </c>
      <c r="D37" s="959"/>
      <c r="E37" s="777"/>
      <c r="F37" s="777"/>
      <c r="G37" s="688"/>
      <c r="H37" s="688"/>
      <c r="I37" s="688"/>
    </row>
    <row r="38" spans="1:9" s="73" customFormat="1" ht="12" customHeight="1" x14ac:dyDescent="0.2">
      <c r="A38" s="181"/>
      <c r="B38" s="120" t="s">
        <v>33</v>
      </c>
      <c r="C38" s="735" t="s">
        <v>216</v>
      </c>
      <c r="D38" s="959"/>
      <c r="E38" s="777"/>
      <c r="F38" s="777"/>
      <c r="G38" s="688"/>
      <c r="H38" s="688"/>
      <c r="I38" s="688"/>
    </row>
    <row r="39" spans="1:9" s="73" customFormat="1" ht="12" customHeight="1" x14ac:dyDescent="0.2">
      <c r="A39" s="181"/>
      <c r="B39" s="120" t="s">
        <v>134</v>
      </c>
      <c r="C39" s="735" t="s">
        <v>344</v>
      </c>
      <c r="D39" s="959">
        <v>10406</v>
      </c>
      <c r="E39" s="777">
        <v>18138</v>
      </c>
      <c r="F39" s="777">
        <v>5723</v>
      </c>
      <c r="G39" s="688">
        <v>5723</v>
      </c>
      <c r="H39" s="688">
        <f>4570+5665</f>
        <v>10235</v>
      </c>
      <c r="I39" s="1218">
        <f>H39/G39</f>
        <v>1.788397693517386</v>
      </c>
    </row>
    <row r="40" spans="1:9" s="73" customFormat="1" ht="12" customHeight="1" x14ac:dyDescent="0.2">
      <c r="A40" s="181"/>
      <c r="B40" s="120" t="s">
        <v>28</v>
      </c>
      <c r="C40" s="794" t="s">
        <v>345</v>
      </c>
      <c r="D40" s="981">
        <v>1453</v>
      </c>
      <c r="E40" s="657">
        <v>15761</v>
      </c>
      <c r="F40" s="657">
        <f>SUM(F41:F45)</f>
        <v>12015</v>
      </c>
      <c r="G40" s="693">
        <f>SUM(G41:G45)</f>
        <v>119791</v>
      </c>
      <c r="H40" s="693">
        <f>SUM(H41:H45)</f>
        <v>113308</v>
      </c>
      <c r="I40" s="1249">
        <f>H40/G40</f>
        <v>0.9458807422928267</v>
      </c>
    </row>
    <row r="41" spans="1:9" s="73" customFormat="1" ht="12" customHeight="1" x14ac:dyDescent="0.2">
      <c r="A41" s="181"/>
      <c r="B41" s="120" t="s">
        <v>36</v>
      </c>
      <c r="C41" s="735" t="s">
        <v>213</v>
      </c>
      <c r="D41" s="959"/>
      <c r="E41" s="777"/>
      <c r="F41" s="777"/>
      <c r="G41" s="688"/>
      <c r="H41" s="688"/>
      <c r="I41" s="688"/>
    </row>
    <row r="42" spans="1:9" s="73" customFormat="1" ht="12" customHeight="1" x14ac:dyDescent="0.2">
      <c r="A42" s="181"/>
      <c r="B42" s="120" t="s">
        <v>37</v>
      </c>
      <c r="C42" s="735" t="s">
        <v>214</v>
      </c>
      <c r="D42" s="959"/>
      <c r="E42" s="777"/>
      <c r="F42" s="777"/>
      <c r="G42" s="688"/>
      <c r="H42" s="688"/>
      <c r="I42" s="688"/>
    </row>
    <row r="43" spans="1:9" s="73" customFormat="1" ht="12" customHeight="1" x14ac:dyDescent="0.2">
      <c r="A43" s="181"/>
      <c r="B43" s="120" t="s">
        <v>38</v>
      </c>
      <c r="C43" s="735" t="s">
        <v>215</v>
      </c>
      <c r="D43" s="959"/>
      <c r="E43" s="777"/>
      <c r="F43" s="777"/>
      <c r="G43" s="688"/>
      <c r="H43" s="688"/>
      <c r="I43" s="688"/>
    </row>
    <row r="44" spans="1:9" s="73" customFormat="1" ht="12" customHeight="1" x14ac:dyDescent="0.2">
      <c r="A44" s="181"/>
      <c r="B44" s="120" t="s">
        <v>39</v>
      </c>
      <c r="C44" s="735" t="s">
        <v>216</v>
      </c>
      <c r="D44" s="959">
        <v>1453</v>
      </c>
      <c r="E44" s="777">
        <v>15111</v>
      </c>
      <c r="F44" s="777">
        <v>5532</v>
      </c>
      <c r="G44" s="688">
        <f>5532+98449+1500+7827</f>
        <v>113308</v>
      </c>
      <c r="H44" s="688">
        <f>105481+7827</f>
        <v>113308</v>
      </c>
      <c r="I44" s="1218">
        <f>H44/G44</f>
        <v>1</v>
      </c>
    </row>
    <row r="45" spans="1:9" s="73" customFormat="1" ht="12" customHeight="1" thickBot="1" x14ac:dyDescent="0.25">
      <c r="A45" s="188"/>
      <c r="B45" s="124" t="s">
        <v>135</v>
      </c>
      <c r="C45" s="798" t="s">
        <v>1057</v>
      </c>
      <c r="D45" s="982">
        <v>0</v>
      </c>
      <c r="E45" s="786">
        <v>650</v>
      </c>
      <c r="F45" s="786">
        <v>6483</v>
      </c>
      <c r="G45" s="694">
        <v>6483</v>
      </c>
      <c r="H45" s="694">
        <v>0</v>
      </c>
      <c r="I45" s="1250">
        <f>H45/G45</f>
        <v>0</v>
      </c>
    </row>
    <row r="46" spans="1:9" s="72" customFormat="1" ht="12" customHeight="1" thickBot="1" x14ac:dyDescent="0.25">
      <c r="A46" s="161" t="s">
        <v>861</v>
      </c>
      <c r="B46" s="179"/>
      <c r="C46" s="799" t="s">
        <v>217</v>
      </c>
      <c r="D46" s="509">
        <v>1037</v>
      </c>
      <c r="E46" s="511"/>
      <c r="F46" s="511">
        <f>+F47+F48</f>
        <v>209</v>
      </c>
      <c r="G46" s="291">
        <f>+G47+G48</f>
        <v>209</v>
      </c>
      <c r="H46" s="291">
        <f>+H47+H48</f>
        <v>209</v>
      </c>
      <c r="I46" s="1220">
        <f>H46/G46</f>
        <v>1</v>
      </c>
    </row>
    <row r="47" spans="1:9" s="73" customFormat="1" ht="12" customHeight="1" x14ac:dyDescent="0.2">
      <c r="A47" s="181"/>
      <c r="B47" s="120" t="s">
        <v>34</v>
      </c>
      <c r="C47" s="743" t="s">
        <v>71</v>
      </c>
      <c r="D47" s="959">
        <v>1037</v>
      </c>
      <c r="E47" s="777"/>
      <c r="F47" s="777">
        <v>209</v>
      </c>
      <c r="G47" s="688">
        <v>209</v>
      </c>
      <c r="H47" s="688">
        <v>209</v>
      </c>
      <c r="I47" s="1218">
        <f>H47/G47</f>
        <v>1</v>
      </c>
    </row>
    <row r="48" spans="1:9" s="73" customFormat="1" ht="12" customHeight="1" thickBot="1" x14ac:dyDescent="0.25">
      <c r="A48" s="181"/>
      <c r="B48" s="120" t="s">
        <v>35</v>
      </c>
      <c r="C48" s="798" t="s">
        <v>797</v>
      </c>
      <c r="D48" s="959">
        <v>0</v>
      </c>
      <c r="E48" s="777">
        <v>0</v>
      </c>
      <c r="F48" s="777">
        <v>0</v>
      </c>
      <c r="G48" s="688">
        <v>0</v>
      </c>
      <c r="H48" s="688"/>
      <c r="I48" s="688"/>
    </row>
    <row r="49" spans="1:10" s="73" customFormat="1" ht="12" customHeight="1" thickBot="1" x14ac:dyDescent="0.25">
      <c r="A49" s="153" t="s">
        <v>862</v>
      </c>
      <c r="B49" s="179"/>
      <c r="C49" s="799" t="s">
        <v>796</v>
      </c>
      <c r="D49" s="509">
        <v>7184</v>
      </c>
      <c r="E49" s="511">
        <v>414</v>
      </c>
      <c r="F49" s="511">
        <f>+F50+F51+F52</f>
        <v>0</v>
      </c>
      <c r="G49" s="291">
        <f>+G50+G51+G52</f>
        <v>0</v>
      </c>
      <c r="H49" s="291">
        <v>414</v>
      </c>
      <c r="I49" s="1219">
        <v>0</v>
      </c>
    </row>
    <row r="50" spans="1:10" s="73" customFormat="1" ht="12" customHeight="1" x14ac:dyDescent="0.2">
      <c r="A50" s="189"/>
      <c r="B50" s="120" t="s">
        <v>139</v>
      </c>
      <c r="C50" s="743" t="s">
        <v>137</v>
      </c>
      <c r="D50" s="983"/>
      <c r="E50" s="787"/>
      <c r="F50" s="787"/>
      <c r="G50" s="695"/>
      <c r="H50" s="695">
        <v>414</v>
      </c>
      <c r="I50" s="1251">
        <v>0</v>
      </c>
    </row>
    <row r="51" spans="1:10" s="73" customFormat="1" ht="12" customHeight="1" x14ac:dyDescent="0.2">
      <c r="A51" s="189"/>
      <c r="B51" s="120" t="s">
        <v>140</v>
      </c>
      <c r="C51" s="735" t="s">
        <v>138</v>
      </c>
      <c r="D51" s="983">
        <v>7184</v>
      </c>
      <c r="E51" s="787">
        <v>414</v>
      </c>
      <c r="F51" s="787"/>
      <c r="G51" s="695"/>
      <c r="H51" s="695"/>
      <c r="I51" s="695"/>
    </row>
    <row r="52" spans="1:10" s="73" customFormat="1" ht="12" customHeight="1" thickBot="1" x14ac:dyDescent="0.25">
      <c r="A52" s="181"/>
      <c r="B52" s="120" t="s">
        <v>279</v>
      </c>
      <c r="C52" s="746" t="s">
        <v>219</v>
      </c>
      <c r="D52" s="959"/>
      <c r="E52" s="777"/>
      <c r="F52" s="777"/>
      <c r="G52" s="688"/>
      <c r="H52" s="688"/>
      <c r="I52" s="688"/>
    </row>
    <row r="53" spans="1:10" s="73" customFormat="1" ht="12" customHeight="1" thickBot="1" x14ac:dyDescent="0.25">
      <c r="A53" s="161" t="s">
        <v>863</v>
      </c>
      <c r="B53" s="190"/>
      <c r="C53" s="739" t="s">
        <v>220</v>
      </c>
      <c r="D53" s="696"/>
      <c r="E53" s="659"/>
      <c r="F53" s="659"/>
      <c r="G53" s="668"/>
      <c r="H53" s="668"/>
      <c r="I53" s="1239"/>
    </row>
    <row r="54" spans="1:10" s="72" customFormat="1" ht="12" customHeight="1" thickBot="1" x14ac:dyDescent="0.25">
      <c r="A54" s="191" t="s">
        <v>864</v>
      </c>
      <c r="B54" s="192"/>
      <c r="C54" s="739" t="s">
        <v>359</v>
      </c>
      <c r="D54" s="697">
        <v>271954</v>
      </c>
      <c r="E54" s="931">
        <f>+E9+E14+E23+E24+E33+E46+E49+E53</f>
        <v>287227</v>
      </c>
      <c r="F54" s="978">
        <f>+F9+F14+F23+F24+F33+F46+F49+F53</f>
        <v>313779</v>
      </c>
      <c r="G54" s="698">
        <f>+G9+G14+G23+G24+G33+G46+G49+G53</f>
        <v>425978</v>
      </c>
      <c r="H54" s="698">
        <f>+H9+H14+H23+H24+H33+H46+H49+H53</f>
        <v>420131</v>
      </c>
      <c r="I54" s="1252">
        <f>H54/G54</f>
        <v>0.98627393902971516</v>
      </c>
    </row>
    <row r="55" spans="1:10" s="72" customFormat="1" ht="12" customHeight="1" thickBot="1" x14ac:dyDescent="0.25">
      <c r="A55" s="153" t="s">
        <v>865</v>
      </c>
      <c r="B55" s="125"/>
      <c r="C55" s="739" t="s">
        <v>223</v>
      </c>
      <c r="D55" s="509">
        <v>51718</v>
      </c>
      <c r="E55" s="511">
        <v>34801</v>
      </c>
      <c r="F55" s="511">
        <f>+F56+F57</f>
        <v>0</v>
      </c>
      <c r="G55" s="291">
        <f>+G56+G57</f>
        <v>41688</v>
      </c>
      <c r="H55" s="291">
        <f>+H56+H57</f>
        <v>47865</v>
      </c>
      <c r="I55" s="1220">
        <f>H55/G55</f>
        <v>1.1481721358664363</v>
      </c>
    </row>
    <row r="56" spans="1:10" s="72" customFormat="1" ht="12" customHeight="1" x14ac:dyDescent="0.2">
      <c r="A56" s="183"/>
      <c r="B56" s="123" t="s">
        <v>73</v>
      </c>
      <c r="C56" s="790" t="s">
        <v>905</v>
      </c>
      <c r="D56" s="699">
        <v>51718</v>
      </c>
      <c r="E56" s="827">
        <v>34801</v>
      </c>
      <c r="F56" s="827"/>
      <c r="G56" s="700">
        <v>41688</v>
      </c>
      <c r="H56" s="700">
        <v>41680</v>
      </c>
      <c r="I56" s="1253">
        <f>H56/G56</f>
        <v>0.9998080982536941</v>
      </c>
    </row>
    <row r="57" spans="1:10" s="72" customFormat="1" ht="12" customHeight="1" thickBot="1" x14ac:dyDescent="0.25">
      <c r="A57" s="188"/>
      <c r="B57" s="124" t="s">
        <v>74</v>
      </c>
      <c r="C57" s="791" t="s">
        <v>798</v>
      </c>
      <c r="D57" s="962"/>
      <c r="E57" s="783"/>
      <c r="F57" s="783"/>
      <c r="G57" s="701"/>
      <c r="H57" s="701">
        <v>6185</v>
      </c>
      <c r="I57" s="1250">
        <v>0</v>
      </c>
    </row>
    <row r="58" spans="1:10" s="73" customFormat="1" ht="15" customHeight="1" thickBot="1" x14ac:dyDescent="0.25">
      <c r="A58" s="193" t="s">
        <v>866</v>
      </c>
      <c r="B58" s="734"/>
      <c r="C58" s="747" t="s">
        <v>237</v>
      </c>
      <c r="D58" s="509">
        <v>341</v>
      </c>
      <c r="E58" s="511"/>
      <c r="F58" s="511"/>
      <c r="G58" s="291"/>
      <c r="H58" s="291"/>
      <c r="I58" s="715"/>
    </row>
    <row r="59" spans="1:10" s="73" customFormat="1" ht="12" customHeight="1" thickBot="1" x14ac:dyDescent="0.25">
      <c r="A59" s="193" t="s">
        <v>867</v>
      </c>
      <c r="B59" s="734"/>
      <c r="C59" s="747" t="s">
        <v>907</v>
      </c>
      <c r="D59" s="509">
        <v>324013</v>
      </c>
      <c r="E59" s="511">
        <f>+E54+E55+E58</f>
        <v>322028</v>
      </c>
      <c r="F59" s="511">
        <f>+F54+F55+F58</f>
        <v>313779</v>
      </c>
      <c r="G59" s="510">
        <f>+G54+G55+G58</f>
        <v>467666</v>
      </c>
      <c r="H59" s="510">
        <f>+H54+H55+H58</f>
        <v>467996</v>
      </c>
      <c r="I59" s="1232">
        <f>H59/G59</f>
        <v>1.0007056317970517</v>
      </c>
      <c r="J59" s="731"/>
    </row>
    <row r="60" spans="1:10" s="73" customFormat="1" ht="15" customHeight="1" thickBot="1" x14ac:dyDescent="0.25">
      <c r="A60" s="196"/>
      <c r="B60" s="1097"/>
      <c r="C60" s="1098"/>
      <c r="D60" s="702"/>
      <c r="E60" s="702"/>
      <c r="F60" s="702"/>
      <c r="G60" s="702"/>
      <c r="H60" s="1074"/>
    </row>
    <row r="61" spans="1:10" s="70" customFormat="1" ht="25.5" customHeight="1" thickBot="1" x14ac:dyDescent="0.25">
      <c r="A61" s="1651" t="s">
        <v>205</v>
      </c>
      <c r="B61" s="1652"/>
      <c r="C61" s="977" t="s">
        <v>627</v>
      </c>
      <c r="D61" s="954"/>
      <c r="E61" s="955" t="s">
        <v>891</v>
      </c>
      <c r="F61" s="1656"/>
      <c r="G61" s="1657"/>
      <c r="H61" s="1657"/>
      <c r="I61" s="1658"/>
    </row>
    <row r="62" spans="1:10" ht="14.25" thickBot="1" x14ac:dyDescent="0.3">
      <c r="A62" s="198"/>
      <c r="B62" s="199"/>
      <c r="C62" s="199"/>
      <c r="D62" s="703"/>
      <c r="E62" s="703"/>
      <c r="F62" s="703"/>
      <c r="G62" s="703"/>
      <c r="H62" s="703"/>
      <c r="I62" s="173" t="s">
        <v>894</v>
      </c>
    </row>
    <row r="63" spans="1:10" s="54" customFormat="1" ht="39" thickBot="1" x14ac:dyDescent="0.25">
      <c r="A63" s="200"/>
      <c r="B63" s="201"/>
      <c r="C63" s="942" t="s">
        <v>1</v>
      </c>
      <c r="D63" s="956" t="s">
        <v>998</v>
      </c>
      <c r="E63" s="774" t="s">
        <v>999</v>
      </c>
      <c r="F63" s="956" t="s">
        <v>943</v>
      </c>
      <c r="G63" s="963" t="s">
        <v>1068</v>
      </c>
      <c r="H63" s="775" t="s">
        <v>1095</v>
      </c>
      <c r="I63" s="964" t="s">
        <v>1094</v>
      </c>
    </row>
    <row r="64" spans="1:10" s="74" customFormat="1" ht="12" customHeight="1" thickBot="1" x14ac:dyDescent="0.25">
      <c r="A64" s="161" t="s">
        <v>855</v>
      </c>
      <c r="B64" s="24"/>
      <c r="C64" s="95" t="s">
        <v>815</v>
      </c>
      <c r="D64" s="509">
        <v>119551</v>
      </c>
      <c r="E64" s="511">
        <f>SUM(E65:E69)</f>
        <v>141178</v>
      </c>
      <c r="F64" s="509">
        <f>SUM(F65:F69)</f>
        <v>122458</v>
      </c>
      <c r="G64" s="510">
        <f>SUM(G65:G69)</f>
        <v>166092</v>
      </c>
      <c r="H64" s="510">
        <f>SUM(H65:H69)</f>
        <v>152279</v>
      </c>
      <c r="I64" s="1232">
        <f>H64/G64</f>
        <v>0.91683524793487947</v>
      </c>
    </row>
    <row r="65" spans="1:13" ht="12" customHeight="1" x14ac:dyDescent="0.2">
      <c r="A65" s="203"/>
      <c r="B65" s="122" t="s">
        <v>40</v>
      </c>
      <c r="C65" s="12" t="s">
        <v>886</v>
      </c>
      <c r="D65" s="983">
        <v>29336</v>
      </c>
      <c r="E65" s="787">
        <v>46577</v>
      </c>
      <c r="F65" s="983">
        <v>35320</v>
      </c>
      <c r="G65" s="995">
        <f>35822+225+25+1600</f>
        <v>37672</v>
      </c>
      <c r="H65" s="995">
        <v>34636</v>
      </c>
      <c r="I65" s="1240">
        <f>H65/G65</f>
        <v>0.9194096411127628</v>
      </c>
    </row>
    <row r="66" spans="1:13" ht="12" customHeight="1" x14ac:dyDescent="0.2">
      <c r="A66" s="204"/>
      <c r="B66" s="120" t="s">
        <v>41</v>
      </c>
      <c r="C66" s="9" t="s">
        <v>144</v>
      </c>
      <c r="D66" s="944">
        <v>6100</v>
      </c>
      <c r="E66" s="651">
        <v>12302</v>
      </c>
      <c r="F66" s="944">
        <v>7861</v>
      </c>
      <c r="G66" s="642">
        <f>7997+55+7+900</f>
        <v>8959</v>
      </c>
      <c r="H66" s="966">
        <v>8918</v>
      </c>
      <c r="I66" s="1240">
        <f t="shared" ref="I66:I77" si="1">H66/G66</f>
        <v>0.99542359638352496</v>
      </c>
      <c r="J66" s="732"/>
    </row>
    <row r="67" spans="1:13" ht="12" customHeight="1" x14ac:dyDescent="0.2">
      <c r="A67" s="204"/>
      <c r="B67" s="120" t="s">
        <v>42</v>
      </c>
      <c r="C67" s="9" t="s">
        <v>70</v>
      </c>
      <c r="D67" s="959">
        <v>70898</v>
      </c>
      <c r="E67" s="777">
        <v>72655</v>
      </c>
      <c r="F67" s="959">
        <v>63796</v>
      </c>
      <c r="G67" s="966">
        <f>63796+446+1324+900-280+2214+10188+1670+139+16460+101</f>
        <v>96958</v>
      </c>
      <c r="H67" s="966">
        <v>95346</v>
      </c>
      <c r="I67" s="1240">
        <f t="shared" si="1"/>
        <v>0.98337424451824507</v>
      </c>
      <c r="K67" s="732"/>
    </row>
    <row r="68" spans="1:13" ht="12" customHeight="1" x14ac:dyDescent="0.2">
      <c r="A68" s="204"/>
      <c r="B68" s="120" t="s">
        <v>43</v>
      </c>
      <c r="C68" s="9" t="s">
        <v>145</v>
      </c>
      <c r="D68" s="959">
        <v>4824</v>
      </c>
      <c r="E68" s="777">
        <v>2084</v>
      </c>
      <c r="F68" s="959">
        <v>9194</v>
      </c>
      <c r="G68" s="966">
        <f>9194</f>
        <v>9194</v>
      </c>
      <c r="H68" s="966">
        <v>7027</v>
      </c>
      <c r="I68" s="1240">
        <f t="shared" si="1"/>
        <v>0.76430280617794211</v>
      </c>
      <c r="K68" s="732"/>
    </row>
    <row r="69" spans="1:13" ht="12" customHeight="1" x14ac:dyDescent="0.2">
      <c r="A69" s="204"/>
      <c r="B69" s="120" t="s">
        <v>53</v>
      </c>
      <c r="C69" s="9" t="s">
        <v>146</v>
      </c>
      <c r="D69" s="959">
        <v>8393</v>
      </c>
      <c r="E69" s="777">
        <v>7560</v>
      </c>
      <c r="F69" s="959">
        <f>SUM(F71:F77)</f>
        <v>6287</v>
      </c>
      <c r="G69" s="966">
        <f>SUM(G71:G77)</f>
        <v>13309</v>
      </c>
      <c r="H69" s="966">
        <f>SUM(H71:H77)</f>
        <v>6352</v>
      </c>
      <c r="I69" s="1240">
        <f t="shared" si="1"/>
        <v>0.47727101961078972</v>
      </c>
      <c r="K69" s="732"/>
    </row>
    <row r="70" spans="1:13" ht="12" customHeight="1" x14ac:dyDescent="0.2">
      <c r="A70" s="204"/>
      <c r="B70" s="120" t="s">
        <v>44</v>
      </c>
      <c r="C70" s="9" t="s">
        <v>168</v>
      </c>
      <c r="D70" s="944"/>
      <c r="E70" s="651"/>
      <c r="F70" s="944"/>
      <c r="G70" s="642"/>
      <c r="H70" s="642"/>
      <c r="I70" s="1240"/>
      <c r="K70" s="732"/>
    </row>
    <row r="71" spans="1:13" ht="12" customHeight="1" x14ac:dyDescent="0.2">
      <c r="A71" s="204"/>
      <c r="B71" s="120" t="s">
        <v>45</v>
      </c>
      <c r="C71" s="987" t="s">
        <v>799</v>
      </c>
      <c r="D71" s="959"/>
      <c r="E71" s="777"/>
      <c r="F71" s="959"/>
      <c r="G71" s="966"/>
      <c r="H71" s="966"/>
      <c r="I71" s="1240"/>
      <c r="K71" s="732"/>
    </row>
    <row r="72" spans="1:13" ht="12" customHeight="1" x14ac:dyDescent="0.2">
      <c r="A72" s="204"/>
      <c r="B72" s="120" t="s">
        <v>54</v>
      </c>
      <c r="C72" s="988" t="s">
        <v>360</v>
      </c>
      <c r="D72" s="959"/>
      <c r="E72" s="777"/>
      <c r="F72" s="959">
        <v>302</v>
      </c>
      <c r="G72" s="966">
        <v>302</v>
      </c>
      <c r="H72" s="966">
        <v>302</v>
      </c>
      <c r="I72" s="1240">
        <f t="shared" si="1"/>
        <v>1</v>
      </c>
      <c r="K72" s="732"/>
      <c r="M72" s="1072"/>
    </row>
    <row r="73" spans="1:13" ht="12" customHeight="1" x14ac:dyDescent="0.2">
      <c r="A73" s="204"/>
      <c r="B73" s="120" t="s">
        <v>55</v>
      </c>
      <c r="C73" s="988" t="s">
        <v>800</v>
      </c>
      <c r="D73" s="959">
        <v>6325</v>
      </c>
      <c r="E73" s="777">
        <v>4460</v>
      </c>
      <c r="F73" s="959">
        <v>4679</v>
      </c>
      <c r="G73" s="966">
        <f>4679+264+110</f>
        <v>5053</v>
      </c>
      <c r="H73" s="966">
        <v>4594</v>
      </c>
      <c r="I73" s="1240">
        <f t="shared" si="1"/>
        <v>0.90916287354047098</v>
      </c>
      <c r="K73" s="732"/>
    </row>
    <row r="74" spans="1:13" ht="12" customHeight="1" x14ac:dyDescent="0.2">
      <c r="A74" s="204"/>
      <c r="B74" s="120" t="s">
        <v>56</v>
      </c>
      <c r="C74" s="988" t="s">
        <v>938</v>
      </c>
      <c r="D74" s="959"/>
      <c r="E74" s="777">
        <v>1500</v>
      </c>
      <c r="F74" s="959">
        <v>1000</v>
      </c>
      <c r="G74" s="966">
        <v>1000</v>
      </c>
      <c r="H74" s="966">
        <v>1000</v>
      </c>
      <c r="I74" s="1240">
        <f t="shared" si="1"/>
        <v>1</v>
      </c>
      <c r="K74" s="732"/>
    </row>
    <row r="75" spans="1:13" ht="12" customHeight="1" x14ac:dyDescent="0.2">
      <c r="A75" s="204"/>
      <c r="B75" s="120" t="s">
        <v>57</v>
      </c>
      <c r="C75" s="989" t="s">
        <v>1074</v>
      </c>
      <c r="D75" s="959">
        <v>130</v>
      </c>
      <c r="E75" s="777">
        <v>100</v>
      </c>
      <c r="F75" s="959"/>
      <c r="G75" s="966">
        <v>6548</v>
      </c>
      <c r="H75" s="966"/>
      <c r="I75" s="1240">
        <f t="shared" si="1"/>
        <v>0</v>
      </c>
      <c r="K75" s="732"/>
    </row>
    <row r="76" spans="1:13" ht="12" customHeight="1" x14ac:dyDescent="0.2">
      <c r="A76" s="204"/>
      <c r="B76" s="120" t="s">
        <v>59</v>
      </c>
      <c r="C76" s="115" t="s">
        <v>801</v>
      </c>
      <c r="D76" s="959">
        <v>1938</v>
      </c>
      <c r="E76" s="777"/>
      <c r="F76" s="959"/>
      <c r="G76" s="966">
        <v>100</v>
      </c>
      <c r="H76" s="966">
        <v>168</v>
      </c>
      <c r="I76" s="1240">
        <f t="shared" si="1"/>
        <v>1.68</v>
      </c>
      <c r="K76" s="732"/>
    </row>
    <row r="77" spans="1:13" ht="12" customHeight="1" thickBot="1" x14ac:dyDescent="0.25">
      <c r="A77" s="205"/>
      <c r="B77" s="126" t="s">
        <v>147</v>
      </c>
      <c r="C77" s="117" t="s">
        <v>1002</v>
      </c>
      <c r="D77" s="960"/>
      <c r="E77" s="779">
        <v>1500</v>
      </c>
      <c r="F77" s="960">
        <v>306</v>
      </c>
      <c r="G77" s="968">
        <v>306</v>
      </c>
      <c r="H77" s="968">
        <v>288</v>
      </c>
      <c r="I77" s="1240">
        <f t="shared" si="1"/>
        <v>0.94117647058823528</v>
      </c>
      <c r="K77" s="732"/>
    </row>
    <row r="78" spans="1:13" ht="12" customHeight="1" thickBot="1" x14ac:dyDescent="0.25">
      <c r="A78" s="161" t="s">
        <v>856</v>
      </c>
      <c r="B78" s="24"/>
      <c r="C78" s="95" t="s">
        <v>814</v>
      </c>
      <c r="D78" s="509">
        <v>17736</v>
      </c>
      <c r="E78" s="511">
        <f>SUM(E79:E88)</f>
        <v>18175</v>
      </c>
      <c r="F78" s="509">
        <f>SUM(F79:F88)</f>
        <v>46469</v>
      </c>
      <c r="G78" s="510">
        <f>SUM(G79:G88)-G81</f>
        <v>142940</v>
      </c>
      <c r="H78" s="510">
        <f>SUM(H79:H88)-H81</f>
        <v>110771</v>
      </c>
      <c r="I78" s="1232">
        <f>H78/G78</f>
        <v>0.77494753043234921</v>
      </c>
      <c r="K78" s="732"/>
    </row>
    <row r="79" spans="1:13" s="74" customFormat="1" ht="12" customHeight="1" x14ac:dyDescent="0.2">
      <c r="A79" s="203"/>
      <c r="B79" s="122" t="s">
        <v>46</v>
      </c>
      <c r="C79" s="790" t="s">
        <v>802</v>
      </c>
      <c r="D79" s="974">
        <v>14406</v>
      </c>
      <c r="E79" s="649">
        <v>10099</v>
      </c>
      <c r="F79" s="974">
        <v>9602</v>
      </c>
      <c r="G79" s="641">
        <f>25576+380</f>
        <v>25956</v>
      </c>
      <c r="H79" s="641">
        <v>5280</v>
      </c>
      <c r="I79" s="1240">
        <f>H79/G79</f>
        <v>0.2034211742949607</v>
      </c>
      <c r="K79" s="732"/>
    </row>
    <row r="80" spans="1:13" ht="12" customHeight="1" x14ac:dyDescent="0.2">
      <c r="A80" s="204"/>
      <c r="B80" s="120" t="s">
        <v>47</v>
      </c>
      <c r="C80" s="735" t="s">
        <v>148</v>
      </c>
      <c r="D80" s="944">
        <v>3307</v>
      </c>
      <c r="E80" s="651">
        <v>8076</v>
      </c>
      <c r="F80" s="944">
        <v>36867</v>
      </c>
      <c r="G80" s="642">
        <f>26670+1500-1500+88261</f>
        <v>114931</v>
      </c>
      <c r="H80" s="642">
        <v>103413</v>
      </c>
      <c r="I80" s="1240">
        <f t="shared" ref="I80:I87" si="2">H80/G80</f>
        <v>0.89978334826983142</v>
      </c>
      <c r="K80" s="732"/>
    </row>
    <row r="81" spans="1:11" ht="12" customHeight="1" x14ac:dyDescent="0.2">
      <c r="A81" s="204"/>
      <c r="B81" s="120" t="s">
        <v>48</v>
      </c>
      <c r="C81" s="735" t="s">
        <v>251</v>
      </c>
      <c r="D81" s="944">
        <v>11</v>
      </c>
      <c r="E81" s="651"/>
      <c r="F81" s="944"/>
      <c r="G81" s="642">
        <f>1844+209</f>
        <v>2053</v>
      </c>
      <c r="H81" s="642">
        <v>2078</v>
      </c>
      <c r="I81" s="1240">
        <f t="shared" si="2"/>
        <v>1.0121773015099853</v>
      </c>
      <c r="K81" s="732"/>
    </row>
    <row r="82" spans="1:11" ht="12" customHeight="1" x14ac:dyDescent="0.2">
      <c r="A82" s="204"/>
      <c r="B82" s="120" t="s">
        <v>49</v>
      </c>
      <c r="C82" s="735" t="s">
        <v>803</v>
      </c>
      <c r="D82" s="944"/>
      <c r="E82" s="651"/>
      <c r="F82" s="944"/>
      <c r="G82" s="642">
        <v>209</v>
      </c>
      <c r="H82" s="642">
        <v>209</v>
      </c>
      <c r="I82" s="1240">
        <f t="shared" si="2"/>
        <v>1</v>
      </c>
      <c r="K82" s="732"/>
    </row>
    <row r="83" spans="1:11" ht="12" customHeight="1" x14ac:dyDescent="0.2">
      <c r="A83" s="204"/>
      <c r="B83" s="120" t="s">
        <v>50</v>
      </c>
      <c r="C83" s="988" t="s">
        <v>808</v>
      </c>
      <c r="D83" s="944"/>
      <c r="E83" s="651"/>
      <c r="F83" s="944"/>
      <c r="G83" s="642"/>
      <c r="H83" s="642"/>
      <c r="I83" s="1240"/>
      <c r="K83" s="732"/>
    </row>
    <row r="84" spans="1:11" ht="12" customHeight="1" x14ac:dyDescent="0.2">
      <c r="A84" s="204"/>
      <c r="B84" s="120" t="s">
        <v>58</v>
      </c>
      <c r="C84" s="988" t="s">
        <v>807</v>
      </c>
      <c r="D84" s="944">
        <v>11</v>
      </c>
      <c r="E84" s="651"/>
      <c r="F84" s="944"/>
      <c r="G84" s="642"/>
      <c r="H84" s="642"/>
      <c r="I84" s="1240"/>
      <c r="K84" s="732"/>
    </row>
    <row r="85" spans="1:11" ht="12" customHeight="1" x14ac:dyDescent="0.2">
      <c r="A85" s="204"/>
      <c r="B85" s="120" t="s">
        <v>60</v>
      </c>
      <c r="C85" s="988" t="s">
        <v>806</v>
      </c>
      <c r="D85" s="944"/>
      <c r="E85" s="651"/>
      <c r="F85" s="944"/>
      <c r="G85" s="642"/>
      <c r="H85" s="642"/>
      <c r="I85" s="1240"/>
      <c r="K85" s="732"/>
    </row>
    <row r="86" spans="1:11" s="74" customFormat="1" ht="12" customHeight="1" x14ac:dyDescent="0.2">
      <c r="A86" s="204"/>
      <c r="B86" s="120" t="s">
        <v>149</v>
      </c>
      <c r="C86" s="988" t="s">
        <v>805</v>
      </c>
      <c r="D86" s="944"/>
      <c r="E86" s="651"/>
      <c r="F86" s="944"/>
      <c r="G86" s="642"/>
      <c r="H86" s="642"/>
      <c r="I86" s="1240"/>
      <c r="K86" s="732"/>
    </row>
    <row r="87" spans="1:11" ht="12.75" customHeight="1" x14ac:dyDescent="0.2">
      <c r="A87" s="204"/>
      <c r="B87" s="120" t="s">
        <v>150</v>
      </c>
      <c r="C87" s="988" t="s">
        <v>804</v>
      </c>
      <c r="D87" s="944"/>
      <c r="E87" s="651"/>
      <c r="F87" s="944"/>
      <c r="G87" s="642">
        <v>1844</v>
      </c>
      <c r="H87" s="642">
        <v>1869</v>
      </c>
      <c r="I87" s="1240">
        <f t="shared" si="2"/>
        <v>1.0135574837310195</v>
      </c>
      <c r="K87" s="732"/>
    </row>
    <row r="88" spans="1:11" ht="22.5" customHeight="1" thickBot="1" x14ac:dyDescent="0.25">
      <c r="A88" s="204"/>
      <c r="B88" s="120" t="s">
        <v>151</v>
      </c>
      <c r="C88" s="990" t="s">
        <v>809</v>
      </c>
      <c r="D88" s="944"/>
      <c r="E88" s="651"/>
      <c r="F88" s="944"/>
      <c r="G88" s="642"/>
      <c r="H88" s="642"/>
      <c r="I88" s="1240"/>
      <c r="K88" s="732"/>
    </row>
    <row r="89" spans="1:11" ht="12" customHeight="1" thickBot="1" x14ac:dyDescent="0.25">
      <c r="A89" s="305" t="s">
        <v>857</v>
      </c>
      <c r="B89" s="26"/>
      <c r="C89" s="991" t="s">
        <v>810</v>
      </c>
      <c r="D89" s="702">
        <v>0</v>
      </c>
      <c r="E89" s="511">
        <f>+E90+E91</f>
        <v>15701</v>
      </c>
      <c r="F89" s="702">
        <f>+F90+F91</f>
        <v>6592</v>
      </c>
      <c r="G89" s="971">
        <f>+G90+G91</f>
        <v>23261</v>
      </c>
      <c r="H89" s="971">
        <f>+H90+H91</f>
        <v>0</v>
      </c>
      <c r="I89" s="1254">
        <v>0</v>
      </c>
    </row>
    <row r="90" spans="1:11" s="74" customFormat="1" ht="12" customHeight="1" x14ac:dyDescent="0.2">
      <c r="A90" s="306"/>
      <c r="B90" s="123" t="s">
        <v>20</v>
      </c>
      <c r="C90" s="992" t="s">
        <v>3</v>
      </c>
      <c r="D90" s="961"/>
      <c r="E90" s="780">
        <v>12884</v>
      </c>
      <c r="F90" s="961">
        <v>3346</v>
      </c>
      <c r="G90" s="969">
        <f>11208-1525-714+9327</f>
        <v>18296</v>
      </c>
      <c r="H90" s="969">
        <v>0</v>
      </c>
      <c r="I90" s="1255">
        <v>0</v>
      </c>
    </row>
    <row r="91" spans="1:11" s="74" customFormat="1" ht="12" customHeight="1" thickBot="1" x14ac:dyDescent="0.25">
      <c r="A91" s="307"/>
      <c r="B91" s="124" t="s">
        <v>21</v>
      </c>
      <c r="C91" s="993" t="s">
        <v>1005</v>
      </c>
      <c r="D91" s="982"/>
      <c r="E91" s="786">
        <v>2817</v>
      </c>
      <c r="F91" s="982">
        <v>3246</v>
      </c>
      <c r="G91" s="1238">
        <f>3246+15797+2382-16460</f>
        <v>4965</v>
      </c>
      <c r="H91" s="1238">
        <v>0</v>
      </c>
      <c r="I91" s="1256">
        <v>0</v>
      </c>
    </row>
    <row r="92" spans="1:11" s="74" customFormat="1" ht="12" customHeight="1" thickBot="1" x14ac:dyDescent="0.25">
      <c r="A92" s="161" t="s">
        <v>858</v>
      </c>
      <c r="B92" s="309"/>
      <c r="C92" s="799" t="s">
        <v>256</v>
      </c>
      <c r="D92" s="985"/>
      <c r="E92" s="788"/>
      <c r="F92" s="985"/>
      <c r="G92" s="996"/>
      <c r="H92" s="996"/>
      <c r="I92" s="1241"/>
    </row>
    <row r="93" spans="1:11" s="74" customFormat="1" ht="12" customHeight="1" thickBot="1" x14ac:dyDescent="0.25">
      <c r="A93" s="161" t="s">
        <v>859</v>
      </c>
      <c r="B93" s="138"/>
      <c r="C93" s="994" t="s">
        <v>207</v>
      </c>
      <c r="D93" s="696">
        <v>136729</v>
      </c>
      <c r="E93" s="659">
        <v>146974</v>
      </c>
      <c r="F93" s="696">
        <f>'10. sz. mell.'!F25+'11. sz. mell.'!F25</f>
        <v>138260</v>
      </c>
      <c r="G93" s="644">
        <f>'10. sz. mell.'!G25+'11. sz. mell.'!G25</f>
        <v>129669</v>
      </c>
      <c r="H93" s="644">
        <v>129461</v>
      </c>
      <c r="I93" s="1243">
        <f>H93/G93</f>
        <v>0.9983959157547293</v>
      </c>
    </row>
    <row r="94" spans="1:11" s="74" customFormat="1" ht="12" customHeight="1" thickBot="1" x14ac:dyDescent="0.25">
      <c r="A94" s="161" t="s">
        <v>860</v>
      </c>
      <c r="B94" s="24"/>
      <c r="C94" s="739" t="s">
        <v>811</v>
      </c>
      <c r="D94" s="986">
        <v>274004</v>
      </c>
      <c r="E94" s="789">
        <f>+E64+E78+E89+E92+E93</f>
        <v>322028</v>
      </c>
      <c r="F94" s="986">
        <f>+F64+F78+F89+F92+F93</f>
        <v>313779</v>
      </c>
      <c r="G94" s="997">
        <f>+G64+G78+G89+G92+G93</f>
        <v>461962</v>
      </c>
      <c r="H94" s="997">
        <f>+H64+H78+H89+H92+H93</f>
        <v>392511</v>
      </c>
      <c r="I94" s="1244">
        <f>H94/G94</f>
        <v>0.84966079461081212</v>
      </c>
      <c r="J94" s="824"/>
    </row>
    <row r="95" spans="1:11" s="74" customFormat="1" ht="12" customHeight="1" thickBot="1" x14ac:dyDescent="0.25">
      <c r="A95" s="161" t="s">
        <v>861</v>
      </c>
      <c r="B95" s="24"/>
      <c r="C95" s="739" t="s">
        <v>813</v>
      </c>
      <c r="D95" s="509">
        <v>0</v>
      </c>
      <c r="E95" s="511">
        <f>+E96+E97</f>
        <v>0</v>
      </c>
      <c r="F95" s="509">
        <f>+F96+F97</f>
        <v>0</v>
      </c>
      <c r="G95" s="510">
        <f>+G96+G97</f>
        <v>5704</v>
      </c>
      <c r="H95" s="510"/>
      <c r="I95" s="1232">
        <v>0</v>
      </c>
    </row>
    <row r="96" spans="1:11" ht="12.75" customHeight="1" x14ac:dyDescent="0.2">
      <c r="A96" s="203"/>
      <c r="B96" s="120" t="s">
        <v>206</v>
      </c>
      <c r="C96" s="790" t="s">
        <v>1073</v>
      </c>
      <c r="D96" s="983"/>
      <c r="E96" s="787"/>
      <c r="F96" s="983"/>
      <c r="G96" s="995">
        <v>5704</v>
      </c>
      <c r="H96" s="995"/>
      <c r="I96" s="1240">
        <v>0</v>
      </c>
    </row>
    <row r="97" spans="1:11" ht="12" customHeight="1" thickBot="1" x14ac:dyDescent="0.25">
      <c r="A97" s="205"/>
      <c r="B97" s="126" t="s">
        <v>35</v>
      </c>
      <c r="C97" s="791" t="s">
        <v>812</v>
      </c>
      <c r="D97" s="960"/>
      <c r="E97" s="779"/>
      <c r="F97" s="960"/>
      <c r="G97" s="968"/>
      <c r="H97" s="968"/>
      <c r="I97" s="968"/>
    </row>
    <row r="98" spans="1:11" ht="13.5" thickBot="1" x14ac:dyDescent="0.25">
      <c r="A98" s="161" t="s">
        <v>862</v>
      </c>
      <c r="B98" s="190"/>
      <c r="C98" s="739" t="s">
        <v>267</v>
      </c>
      <c r="D98" s="864">
        <v>5999</v>
      </c>
      <c r="E98" s="784"/>
      <c r="F98" s="864"/>
      <c r="G98" s="973"/>
      <c r="H98" s="973"/>
      <c r="I98" s="973"/>
    </row>
    <row r="99" spans="1:11" ht="15" customHeight="1" thickBot="1" x14ac:dyDescent="0.25">
      <c r="A99" s="161" t="s">
        <v>863</v>
      </c>
      <c r="B99" s="190"/>
      <c r="C99" s="739" t="s">
        <v>908</v>
      </c>
      <c r="D99" s="864">
        <v>280003</v>
      </c>
      <c r="E99" s="784">
        <f>+E94+E95+E98</f>
        <v>322028</v>
      </c>
      <c r="F99" s="864">
        <f>+F94+F95+F98</f>
        <v>313779</v>
      </c>
      <c r="G99" s="973">
        <f>+G94+G95+G98</f>
        <v>467666</v>
      </c>
      <c r="H99" s="973">
        <f>+H94+H95+H98</f>
        <v>392511</v>
      </c>
      <c r="I99" s="1232">
        <f>H99/G99</f>
        <v>0.83929770391689795</v>
      </c>
      <c r="J99" s="732"/>
      <c r="K99" s="732"/>
    </row>
    <row r="100" spans="1:11" ht="15" hidden="1" customHeight="1" thickBot="1" x14ac:dyDescent="0.25">
      <c r="A100" s="209" t="s">
        <v>182</v>
      </c>
      <c r="B100" s="210"/>
      <c r="C100" s="211"/>
      <c r="D100" s="93"/>
      <c r="E100" s="93"/>
      <c r="F100" s="93"/>
      <c r="G100" s="93"/>
      <c r="H100" s="1075"/>
      <c r="I100" s="1075"/>
    </row>
    <row r="101" spans="1:11" ht="14.25" hidden="1" customHeight="1" thickBot="1" x14ac:dyDescent="0.25">
      <c r="A101" s="209" t="s">
        <v>183</v>
      </c>
      <c r="B101" s="210"/>
      <c r="C101" s="211"/>
      <c r="D101" s="93"/>
      <c r="E101" s="93"/>
      <c r="F101" s="93"/>
      <c r="G101" s="93"/>
      <c r="H101" s="1075"/>
    </row>
    <row r="102" spans="1:11" hidden="1" x14ac:dyDescent="0.2"/>
    <row r="103" spans="1:11" x14ac:dyDescent="0.2">
      <c r="I103" s="552"/>
    </row>
    <row r="104" spans="1:11" x14ac:dyDescent="0.2">
      <c r="F104" s="520"/>
      <c r="G104" s="520"/>
      <c r="H104" s="520"/>
    </row>
  </sheetData>
  <sheetProtection formatCells="0"/>
  <mergeCells count="5">
    <mergeCell ref="A2:B2"/>
    <mergeCell ref="A5:B5"/>
    <mergeCell ref="A61:B61"/>
    <mergeCell ref="F2:I2"/>
    <mergeCell ref="F61:I6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300" r:id="rId1"/>
  <headerFooter alignWithMargins="0">
    <oddHeader>&amp;R&amp;"Times New Roman CE,Félkövér"&amp;11 9. melléklet a 3/2016. (IV.29.) önkormányzati rendelethez</oddHeader>
  </headerFooter>
  <rowBreaks count="1" manualBreakCount="1">
    <brk id="60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07" customWidth="1"/>
    <col min="2" max="2" width="9.6640625" style="208" customWidth="1"/>
    <col min="3" max="3" width="72" style="208" customWidth="1"/>
    <col min="4" max="4" width="25" style="208" customWidth="1"/>
    <col min="5" max="16384" width="9.33203125" style="4"/>
  </cols>
  <sheetData>
    <row r="1" spans="1:4" s="2" customFormat="1" ht="21" customHeight="1" thickBot="1" x14ac:dyDescent="0.25">
      <c r="A1" s="167"/>
      <c r="B1" s="168"/>
      <c r="C1" s="169"/>
      <c r="D1" s="214" t="s">
        <v>816</v>
      </c>
    </row>
    <row r="2" spans="1:4" s="70" customFormat="1" ht="25.5" customHeight="1" x14ac:dyDescent="0.2">
      <c r="A2" s="1659" t="s">
        <v>178</v>
      </c>
      <c r="B2" s="1660"/>
      <c r="C2" s="308" t="s">
        <v>185</v>
      </c>
      <c r="D2" s="327" t="s">
        <v>7</v>
      </c>
    </row>
    <row r="3" spans="1:4" s="70" customFormat="1" ht="16.5" hidden="1" thickBot="1" x14ac:dyDescent="0.25">
      <c r="A3" s="170" t="s">
        <v>177</v>
      </c>
      <c r="B3" s="171"/>
      <c r="C3" s="328" t="s">
        <v>187</v>
      </c>
      <c r="D3" s="329" t="s">
        <v>208</v>
      </c>
    </row>
    <row r="4" spans="1:4" s="71" customFormat="1" ht="15.95" customHeight="1" thickBot="1" x14ac:dyDescent="0.3">
      <c r="A4" s="172"/>
      <c r="B4" s="172"/>
      <c r="C4" s="172"/>
      <c r="D4" s="173" t="s">
        <v>894</v>
      </c>
    </row>
    <row r="5" spans="1:4" ht="13.5" thickBot="1" x14ac:dyDescent="0.25">
      <c r="A5" s="1651" t="s">
        <v>179</v>
      </c>
      <c r="B5" s="1652"/>
      <c r="C5" s="174" t="s">
        <v>895</v>
      </c>
      <c r="D5" s="175" t="s">
        <v>896</v>
      </c>
    </row>
    <row r="6" spans="1:4" s="54" customFormat="1" ht="12.95" customHeight="1" thickBot="1" x14ac:dyDescent="0.25">
      <c r="A6" s="153">
        <v>1</v>
      </c>
      <c r="B6" s="154">
        <v>2</v>
      </c>
      <c r="C6" s="154">
        <v>3</v>
      </c>
      <c r="D6" s="155">
        <v>4</v>
      </c>
    </row>
    <row r="7" spans="1:4" s="54" customFormat="1" ht="15.95" customHeight="1" thickBot="1" x14ac:dyDescent="0.25">
      <c r="A7" s="176"/>
      <c r="B7" s="177"/>
      <c r="C7" s="177" t="s">
        <v>897</v>
      </c>
      <c r="D7" s="178"/>
    </row>
    <row r="8" spans="1:4" s="72" customFormat="1" ht="12" customHeight="1" thickBot="1" x14ac:dyDescent="0.25">
      <c r="A8" s="153" t="s">
        <v>855</v>
      </c>
      <c r="B8" s="179"/>
      <c r="C8" s="180" t="s">
        <v>184</v>
      </c>
      <c r="D8" s="271">
        <f>SUM(D9:D16)</f>
        <v>0</v>
      </c>
    </row>
    <row r="9" spans="1:4" s="72" customFormat="1" ht="12" customHeight="1" x14ac:dyDescent="0.2">
      <c r="A9" s="183"/>
      <c r="B9" s="182" t="s">
        <v>40</v>
      </c>
      <c r="C9" s="12" t="s">
        <v>113</v>
      </c>
      <c r="D9" s="310"/>
    </row>
    <row r="10" spans="1:4" s="72" customFormat="1" ht="12" customHeight="1" x14ac:dyDescent="0.2">
      <c r="A10" s="181"/>
      <c r="B10" s="182" t="s">
        <v>41</v>
      </c>
      <c r="C10" s="9" t="s">
        <v>114</v>
      </c>
      <c r="D10" s="269"/>
    </row>
    <row r="11" spans="1:4" s="72" customFormat="1" ht="12" customHeight="1" x14ac:dyDescent="0.2">
      <c r="A11" s="181"/>
      <c r="B11" s="182" t="s">
        <v>42</v>
      </c>
      <c r="C11" s="9" t="s">
        <v>115</v>
      </c>
      <c r="D11" s="269"/>
    </row>
    <row r="12" spans="1:4" s="72" customFormat="1" ht="12" customHeight="1" x14ac:dyDescent="0.2">
      <c r="A12" s="181"/>
      <c r="B12" s="182" t="s">
        <v>43</v>
      </c>
      <c r="C12" s="9" t="s">
        <v>116</v>
      </c>
      <c r="D12" s="269"/>
    </row>
    <row r="13" spans="1:4" s="72" customFormat="1" ht="12" customHeight="1" x14ac:dyDescent="0.2">
      <c r="A13" s="181"/>
      <c r="B13" s="182" t="s">
        <v>72</v>
      </c>
      <c r="C13" s="8" t="s">
        <v>117</v>
      </c>
      <c r="D13" s="269"/>
    </row>
    <row r="14" spans="1:4" s="72" customFormat="1" ht="12" customHeight="1" x14ac:dyDescent="0.2">
      <c r="A14" s="184"/>
      <c r="B14" s="182" t="s">
        <v>44</v>
      </c>
      <c r="C14" s="9" t="s">
        <v>118</v>
      </c>
      <c r="D14" s="311"/>
    </row>
    <row r="15" spans="1:4" s="73" customFormat="1" ht="12" customHeight="1" x14ac:dyDescent="0.2">
      <c r="A15" s="181"/>
      <c r="B15" s="182" t="s">
        <v>45</v>
      </c>
      <c r="C15" s="9" t="s">
        <v>820</v>
      </c>
      <c r="D15" s="269"/>
    </row>
    <row r="16" spans="1:4" s="73" customFormat="1" ht="12" customHeight="1" thickBot="1" x14ac:dyDescent="0.25">
      <c r="A16" s="185"/>
      <c r="B16" s="186" t="s">
        <v>54</v>
      </c>
      <c r="C16" s="8" t="s">
        <v>175</v>
      </c>
      <c r="D16" s="270"/>
    </row>
    <row r="17" spans="1:4" s="72" customFormat="1" ht="12" customHeight="1" thickBot="1" x14ac:dyDescent="0.25">
      <c r="A17" s="153" t="s">
        <v>856</v>
      </c>
      <c r="B17" s="179"/>
      <c r="C17" s="180" t="s">
        <v>821</v>
      </c>
      <c r="D17" s="271">
        <f>SUM(D18:D21)</f>
        <v>0</v>
      </c>
    </row>
    <row r="18" spans="1:4" s="73" customFormat="1" ht="12" customHeight="1" x14ac:dyDescent="0.2">
      <c r="A18" s="181"/>
      <c r="B18" s="182" t="s">
        <v>46</v>
      </c>
      <c r="C18" s="11" t="s">
        <v>817</v>
      </c>
      <c r="D18" s="269"/>
    </row>
    <row r="19" spans="1:4" s="73" customFormat="1" ht="12" customHeight="1" x14ac:dyDescent="0.2">
      <c r="A19" s="181"/>
      <c r="B19" s="182" t="s">
        <v>47</v>
      </c>
      <c r="C19" s="9" t="s">
        <v>818</v>
      </c>
      <c r="D19" s="269"/>
    </row>
    <row r="20" spans="1:4" s="73" customFormat="1" ht="12" customHeight="1" x14ac:dyDescent="0.2">
      <c r="A20" s="181"/>
      <c r="B20" s="182" t="s">
        <v>48</v>
      </c>
      <c r="C20" s="9" t="s">
        <v>819</v>
      </c>
      <c r="D20" s="269"/>
    </row>
    <row r="21" spans="1:4" s="73" customFormat="1" ht="12" customHeight="1" thickBot="1" x14ac:dyDescent="0.25">
      <c r="A21" s="181"/>
      <c r="B21" s="182" t="s">
        <v>49</v>
      </c>
      <c r="C21" s="9" t="s">
        <v>818</v>
      </c>
      <c r="D21" s="269"/>
    </row>
    <row r="22" spans="1:4" s="73" customFormat="1" ht="12" customHeight="1" thickBot="1" x14ac:dyDescent="0.25">
      <c r="A22" s="161" t="s">
        <v>857</v>
      </c>
      <c r="B22" s="95"/>
      <c r="C22" s="95" t="s">
        <v>822</v>
      </c>
      <c r="D22" s="271">
        <f>+D23+D24</f>
        <v>0</v>
      </c>
    </row>
    <row r="23" spans="1:4" s="73" customFormat="1" ht="12" customHeight="1" x14ac:dyDescent="0.2">
      <c r="A23" s="306"/>
      <c r="B23" s="326" t="s">
        <v>20</v>
      </c>
      <c r="C23" s="112" t="s">
        <v>218</v>
      </c>
      <c r="D23" s="332"/>
    </row>
    <row r="24" spans="1:4" s="73" customFormat="1" ht="12" customHeight="1" thickBot="1" x14ac:dyDescent="0.25">
      <c r="A24" s="324"/>
      <c r="B24" s="325" t="s">
        <v>21</v>
      </c>
      <c r="C24" s="113" t="s">
        <v>222</v>
      </c>
      <c r="D24" s="333"/>
    </row>
    <row r="25" spans="1:4" s="73" customFormat="1" ht="12" customHeight="1" thickBot="1" x14ac:dyDescent="0.25">
      <c r="A25" s="161" t="s">
        <v>858</v>
      </c>
      <c r="B25" s="95"/>
      <c r="C25" s="95" t="s">
        <v>209</v>
      </c>
      <c r="D25" s="292"/>
    </row>
    <row r="26" spans="1:4" s="72" customFormat="1" ht="12" customHeight="1" thickBot="1" x14ac:dyDescent="0.25">
      <c r="A26" s="161" t="s">
        <v>859</v>
      </c>
      <c r="B26" s="179"/>
      <c r="C26" s="95" t="s">
        <v>823</v>
      </c>
      <c r="D26" s="292"/>
    </row>
    <row r="27" spans="1:4" s="72" customFormat="1" ht="12" customHeight="1" thickBot="1" x14ac:dyDescent="0.25">
      <c r="A27" s="153" t="s">
        <v>860</v>
      </c>
      <c r="B27" s="125"/>
      <c r="C27" s="95" t="s">
        <v>828</v>
      </c>
      <c r="D27" s="313">
        <f>+D8+D17+D22+D25+D26</f>
        <v>0</v>
      </c>
    </row>
    <row r="28" spans="1:4" s="72" customFormat="1" ht="12" customHeight="1" thickBot="1" x14ac:dyDescent="0.25">
      <c r="A28" s="321" t="s">
        <v>861</v>
      </c>
      <c r="B28" s="330"/>
      <c r="C28" s="323" t="s">
        <v>824</v>
      </c>
      <c r="D28" s="334">
        <f>+D29+D30</f>
        <v>0</v>
      </c>
    </row>
    <row r="29" spans="1:4" s="72" customFormat="1" ht="12" customHeight="1" x14ac:dyDescent="0.2">
      <c r="A29" s="183"/>
      <c r="B29" s="123" t="s">
        <v>34</v>
      </c>
      <c r="C29" s="112" t="s">
        <v>325</v>
      </c>
      <c r="D29" s="332"/>
    </row>
    <row r="30" spans="1:4" s="73" customFormat="1" ht="12" customHeight="1" thickBot="1" x14ac:dyDescent="0.25">
      <c r="A30" s="331"/>
      <c r="B30" s="124" t="s">
        <v>35</v>
      </c>
      <c r="C30" s="322" t="s">
        <v>825</v>
      </c>
      <c r="D30" s="66"/>
    </row>
    <row r="31" spans="1:4" s="73" customFormat="1" ht="12" customHeight="1" thickBot="1" x14ac:dyDescent="0.25">
      <c r="A31" s="193" t="s">
        <v>862</v>
      </c>
      <c r="B31" s="319"/>
      <c r="C31" s="320" t="s">
        <v>826</v>
      </c>
      <c r="D31" s="312"/>
    </row>
    <row r="32" spans="1:4" s="73" customFormat="1" ht="15" customHeight="1" thickBot="1" x14ac:dyDescent="0.25">
      <c r="A32" s="193" t="s">
        <v>863</v>
      </c>
      <c r="B32" s="194"/>
      <c r="C32" s="195" t="s">
        <v>827</v>
      </c>
      <c r="D32" s="316">
        <f>+D27+D28+D31</f>
        <v>0</v>
      </c>
    </row>
    <row r="33" spans="1:4" s="73" customFormat="1" ht="15" customHeight="1" x14ac:dyDescent="0.2">
      <c r="A33" s="196"/>
      <c r="B33" s="196"/>
      <c r="C33" s="197"/>
      <c r="D33" s="314"/>
    </row>
    <row r="34" spans="1:4" ht="13.5" thickBot="1" x14ac:dyDescent="0.25">
      <c r="A34" s="198"/>
      <c r="B34" s="199"/>
      <c r="C34" s="199"/>
      <c r="D34" s="315"/>
    </row>
    <row r="35" spans="1:4" s="54" customFormat="1" ht="16.5" customHeight="1" thickBot="1" x14ac:dyDescent="0.25">
      <c r="A35" s="200"/>
      <c r="B35" s="201"/>
      <c r="C35" s="202" t="s">
        <v>1</v>
      </c>
      <c r="D35" s="316"/>
    </row>
    <row r="36" spans="1:4" s="74" customFormat="1" ht="12" customHeight="1" thickBot="1" x14ac:dyDescent="0.25">
      <c r="A36" s="161" t="s">
        <v>855</v>
      </c>
      <c r="B36" s="24"/>
      <c r="C36" s="95" t="s">
        <v>815</v>
      </c>
      <c r="D36" s="271">
        <f>SUM(D37:D41)</f>
        <v>0</v>
      </c>
    </row>
    <row r="37" spans="1:4" ht="12" customHeight="1" x14ac:dyDescent="0.2">
      <c r="A37" s="203"/>
      <c r="B37" s="122" t="s">
        <v>40</v>
      </c>
      <c r="C37" s="11" t="s">
        <v>886</v>
      </c>
      <c r="D37" s="59"/>
    </row>
    <row r="38" spans="1:4" ht="12" customHeight="1" x14ac:dyDescent="0.2">
      <c r="A38" s="204"/>
      <c r="B38" s="120" t="s">
        <v>41</v>
      </c>
      <c r="C38" s="9" t="s">
        <v>144</v>
      </c>
      <c r="D38" s="62"/>
    </row>
    <row r="39" spans="1:4" ht="12" customHeight="1" x14ac:dyDescent="0.2">
      <c r="A39" s="204"/>
      <c r="B39" s="120" t="s">
        <v>42</v>
      </c>
      <c r="C39" s="9" t="s">
        <v>70</v>
      </c>
      <c r="D39" s="62"/>
    </row>
    <row r="40" spans="1:4" ht="12" customHeight="1" x14ac:dyDescent="0.2">
      <c r="A40" s="204"/>
      <c r="B40" s="120" t="s">
        <v>43</v>
      </c>
      <c r="C40" s="9" t="s">
        <v>145</v>
      </c>
      <c r="D40" s="62"/>
    </row>
    <row r="41" spans="1:4" ht="12" customHeight="1" thickBot="1" x14ac:dyDescent="0.25">
      <c r="A41" s="204"/>
      <c r="B41" s="120" t="s">
        <v>53</v>
      </c>
      <c r="C41" s="9" t="s">
        <v>146</v>
      </c>
      <c r="D41" s="62"/>
    </row>
    <row r="42" spans="1:4" ht="12" customHeight="1" thickBot="1" x14ac:dyDescent="0.25">
      <c r="A42" s="161" t="s">
        <v>856</v>
      </c>
      <c r="B42" s="24"/>
      <c r="C42" s="95" t="s">
        <v>832</v>
      </c>
      <c r="D42" s="271">
        <f>SUM(D43:D46)</f>
        <v>0</v>
      </c>
    </row>
    <row r="43" spans="1:4" s="74" customFormat="1" ht="12" customHeight="1" x14ac:dyDescent="0.2">
      <c r="A43" s="203"/>
      <c r="B43" s="122" t="s">
        <v>46</v>
      </c>
      <c r="C43" s="11" t="s">
        <v>250</v>
      </c>
      <c r="D43" s="59"/>
    </row>
    <row r="44" spans="1:4" ht="12" customHeight="1" x14ac:dyDescent="0.2">
      <c r="A44" s="204"/>
      <c r="B44" s="120" t="s">
        <v>47</v>
      </c>
      <c r="C44" s="9" t="s">
        <v>148</v>
      </c>
      <c r="D44" s="62"/>
    </row>
    <row r="45" spans="1:4" ht="12" customHeight="1" x14ac:dyDescent="0.2">
      <c r="A45" s="204"/>
      <c r="B45" s="120" t="s">
        <v>50</v>
      </c>
      <c r="C45" s="9" t="s">
        <v>2</v>
      </c>
      <c r="D45" s="62"/>
    </row>
    <row r="46" spans="1:4" ht="12" customHeight="1" thickBot="1" x14ac:dyDescent="0.25">
      <c r="A46" s="204"/>
      <c r="B46" s="120" t="s">
        <v>60</v>
      </c>
      <c r="C46" s="9" t="s">
        <v>829</v>
      </c>
      <c r="D46" s="62"/>
    </row>
    <row r="47" spans="1:4" ht="12" customHeight="1" thickBot="1" x14ac:dyDescent="0.25">
      <c r="A47" s="161" t="s">
        <v>857</v>
      </c>
      <c r="B47" s="24"/>
      <c r="C47" s="24" t="s">
        <v>830</v>
      </c>
      <c r="D47" s="292"/>
    </row>
    <row r="48" spans="1:4" s="73" customFormat="1" ht="12" customHeight="1" thickBot="1" x14ac:dyDescent="0.25">
      <c r="A48" s="193" t="s">
        <v>858</v>
      </c>
      <c r="B48" s="319"/>
      <c r="C48" s="320" t="s">
        <v>833</v>
      </c>
      <c r="D48" s="312"/>
    </row>
    <row r="49" spans="1:4" ht="15" customHeight="1" thickBot="1" x14ac:dyDescent="0.25">
      <c r="A49" s="161" t="s">
        <v>859</v>
      </c>
      <c r="B49" s="190"/>
      <c r="C49" s="206" t="s">
        <v>831</v>
      </c>
      <c r="D49" s="317">
        <f>+D36+D42+D47+D48</f>
        <v>0</v>
      </c>
    </row>
    <row r="50" spans="1:4" ht="13.5" thickBot="1" x14ac:dyDescent="0.25">
      <c r="D50" s="318"/>
    </row>
    <row r="51" spans="1:4" ht="15" customHeight="1" thickBot="1" x14ac:dyDescent="0.25">
      <c r="A51" s="209" t="s">
        <v>182</v>
      </c>
      <c r="B51" s="210"/>
      <c r="C51" s="211"/>
      <c r="D51" s="93"/>
    </row>
    <row r="52" spans="1:4" ht="14.25" customHeight="1" thickBot="1" x14ac:dyDescent="0.25">
      <c r="A52" s="209" t="s">
        <v>183</v>
      </c>
      <c r="B52" s="210"/>
      <c r="C52" s="211"/>
      <c r="D52" s="93"/>
    </row>
  </sheetData>
  <sheetProtection formatCells="0"/>
  <mergeCells count="2">
    <mergeCell ref="A2:B2"/>
    <mergeCell ref="A5:B5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167"/>
      <c r="B1" s="168"/>
      <c r="C1" s="215"/>
      <c r="D1" s="214" t="s">
        <v>367</v>
      </c>
    </row>
    <row r="2" spans="1:4" s="70" customFormat="1" ht="25.5" customHeight="1" x14ac:dyDescent="0.2">
      <c r="A2" s="1659" t="s">
        <v>178</v>
      </c>
      <c r="B2" s="1660"/>
      <c r="C2" s="212" t="s">
        <v>185</v>
      </c>
      <c r="D2" s="216" t="s">
        <v>7</v>
      </c>
    </row>
    <row r="3" spans="1:4" s="70" customFormat="1" ht="16.5" thickBot="1" x14ac:dyDescent="0.25">
      <c r="A3" s="170" t="s">
        <v>177</v>
      </c>
      <c r="B3" s="171"/>
      <c r="C3" s="213" t="s">
        <v>5</v>
      </c>
      <c r="D3" s="217" t="s">
        <v>891</v>
      </c>
    </row>
    <row r="4" spans="1:4" s="71" customFormat="1" ht="15.95" customHeight="1" thickBot="1" x14ac:dyDescent="0.3">
      <c r="A4" s="172"/>
      <c r="B4" s="172"/>
      <c r="C4" s="172"/>
      <c r="D4" s="173" t="s">
        <v>894</v>
      </c>
    </row>
    <row r="5" spans="1:4" ht="13.5" thickBot="1" x14ac:dyDescent="0.25">
      <c r="A5" s="1651" t="s">
        <v>179</v>
      </c>
      <c r="B5" s="1652"/>
      <c r="C5" s="174" t="s">
        <v>895</v>
      </c>
      <c r="D5" s="175" t="s">
        <v>896</v>
      </c>
    </row>
    <row r="6" spans="1:4" s="54" customFormat="1" ht="12.95" customHeight="1" thickBot="1" x14ac:dyDescent="0.25">
      <c r="A6" s="153">
        <v>1</v>
      </c>
      <c r="B6" s="154">
        <v>2</v>
      </c>
      <c r="C6" s="154">
        <v>3</v>
      </c>
      <c r="D6" s="155">
        <v>4</v>
      </c>
    </row>
    <row r="7" spans="1:4" s="54" customFormat="1" ht="15.95" customHeight="1" thickBot="1" x14ac:dyDescent="0.25">
      <c r="A7" s="176"/>
      <c r="B7" s="177"/>
      <c r="C7" s="177" t="s">
        <v>897</v>
      </c>
      <c r="D7" s="178"/>
    </row>
    <row r="8" spans="1:4" s="72" customFormat="1" ht="12" customHeight="1" thickBot="1" x14ac:dyDescent="0.25">
      <c r="A8" s="153" t="s">
        <v>855</v>
      </c>
      <c r="B8" s="179"/>
      <c r="C8" s="180" t="s">
        <v>184</v>
      </c>
      <c r="D8" s="271">
        <f>SUM(D9:D16)</f>
        <v>0</v>
      </c>
    </row>
    <row r="9" spans="1:4" s="72" customFormat="1" ht="12" customHeight="1" x14ac:dyDescent="0.2">
      <c r="A9" s="183"/>
      <c r="B9" s="182" t="s">
        <v>40</v>
      </c>
      <c r="C9" s="12" t="s">
        <v>113</v>
      </c>
      <c r="D9" s="310"/>
    </row>
    <row r="10" spans="1:4" s="72" customFormat="1" ht="12" customHeight="1" x14ac:dyDescent="0.2">
      <c r="A10" s="181"/>
      <c r="B10" s="182" t="s">
        <v>41</v>
      </c>
      <c r="C10" s="9" t="s">
        <v>114</v>
      </c>
      <c r="D10" s="269"/>
    </row>
    <row r="11" spans="1:4" s="72" customFormat="1" ht="12" customHeight="1" x14ac:dyDescent="0.2">
      <c r="A11" s="181"/>
      <c r="B11" s="182" t="s">
        <v>42</v>
      </c>
      <c r="C11" s="9" t="s">
        <v>115</v>
      </c>
      <c r="D11" s="269"/>
    </row>
    <row r="12" spans="1:4" s="72" customFormat="1" ht="12" customHeight="1" x14ac:dyDescent="0.2">
      <c r="A12" s="181"/>
      <c r="B12" s="182" t="s">
        <v>43</v>
      </c>
      <c r="C12" s="9" t="s">
        <v>116</v>
      </c>
      <c r="D12" s="269"/>
    </row>
    <row r="13" spans="1:4" s="72" customFormat="1" ht="12" customHeight="1" x14ac:dyDescent="0.2">
      <c r="A13" s="181"/>
      <c r="B13" s="182" t="s">
        <v>72</v>
      </c>
      <c r="C13" s="8" t="s">
        <v>117</v>
      </c>
      <c r="D13" s="269"/>
    </row>
    <row r="14" spans="1:4" s="72" customFormat="1" ht="12" customHeight="1" x14ac:dyDescent="0.2">
      <c r="A14" s="184"/>
      <c r="B14" s="182" t="s">
        <v>44</v>
      </c>
      <c r="C14" s="9" t="s">
        <v>118</v>
      </c>
      <c r="D14" s="311"/>
    </row>
    <row r="15" spans="1:4" s="73" customFormat="1" ht="12" customHeight="1" x14ac:dyDescent="0.2">
      <c r="A15" s="181"/>
      <c r="B15" s="182" t="s">
        <v>45</v>
      </c>
      <c r="C15" s="9" t="s">
        <v>820</v>
      </c>
      <c r="D15" s="269"/>
    </row>
    <row r="16" spans="1:4" s="73" customFormat="1" ht="12" customHeight="1" thickBot="1" x14ac:dyDescent="0.25">
      <c r="A16" s="185"/>
      <c r="B16" s="186" t="s">
        <v>54</v>
      </c>
      <c r="C16" s="8" t="s">
        <v>175</v>
      </c>
      <c r="D16" s="270"/>
    </row>
    <row r="17" spans="1:4" s="72" customFormat="1" ht="12" customHeight="1" thickBot="1" x14ac:dyDescent="0.25">
      <c r="A17" s="153" t="s">
        <v>856</v>
      </c>
      <c r="B17" s="179"/>
      <c r="C17" s="180" t="s">
        <v>821</v>
      </c>
      <c r="D17" s="271">
        <f>SUM(D18:D21)</f>
        <v>0</v>
      </c>
    </row>
    <row r="18" spans="1:4" s="73" customFormat="1" ht="12" customHeight="1" x14ac:dyDescent="0.2">
      <c r="A18" s="181"/>
      <c r="B18" s="182" t="s">
        <v>46</v>
      </c>
      <c r="C18" s="11" t="s">
        <v>817</v>
      </c>
      <c r="D18" s="269"/>
    </row>
    <row r="19" spans="1:4" s="73" customFormat="1" ht="12" customHeight="1" x14ac:dyDescent="0.2">
      <c r="A19" s="181"/>
      <c r="B19" s="182" t="s">
        <v>47</v>
      </c>
      <c r="C19" s="9" t="s">
        <v>818</v>
      </c>
      <c r="D19" s="269"/>
    </row>
    <row r="20" spans="1:4" s="73" customFormat="1" ht="12" customHeight="1" x14ac:dyDescent="0.2">
      <c r="A20" s="181"/>
      <c r="B20" s="182" t="s">
        <v>48</v>
      </c>
      <c r="C20" s="9" t="s">
        <v>819</v>
      </c>
      <c r="D20" s="269"/>
    </row>
    <row r="21" spans="1:4" s="73" customFormat="1" ht="12" customHeight="1" thickBot="1" x14ac:dyDescent="0.25">
      <c r="A21" s="181"/>
      <c r="B21" s="182" t="s">
        <v>49</v>
      </c>
      <c r="C21" s="9" t="s">
        <v>818</v>
      </c>
      <c r="D21" s="269"/>
    </row>
    <row r="22" spans="1:4" s="73" customFormat="1" ht="12" customHeight="1" thickBot="1" x14ac:dyDescent="0.25">
      <c r="A22" s="161" t="s">
        <v>857</v>
      </c>
      <c r="B22" s="95"/>
      <c r="C22" s="95" t="s">
        <v>822</v>
      </c>
      <c r="D22" s="271">
        <f>+D23+D24</f>
        <v>0</v>
      </c>
    </row>
    <row r="23" spans="1:4" s="72" customFormat="1" ht="12" customHeight="1" x14ac:dyDescent="0.2">
      <c r="A23" s="306"/>
      <c r="B23" s="326" t="s">
        <v>20</v>
      </c>
      <c r="C23" s="112" t="s">
        <v>218</v>
      </c>
      <c r="D23" s="332"/>
    </row>
    <row r="24" spans="1:4" s="72" customFormat="1" ht="12" customHeight="1" thickBot="1" x14ac:dyDescent="0.25">
      <c r="A24" s="324"/>
      <c r="B24" s="325" t="s">
        <v>21</v>
      </c>
      <c r="C24" s="113" t="s">
        <v>222</v>
      </c>
      <c r="D24" s="333"/>
    </row>
    <row r="25" spans="1:4" s="72" customFormat="1" ht="12" customHeight="1" thickBot="1" x14ac:dyDescent="0.25">
      <c r="A25" s="161" t="s">
        <v>858</v>
      </c>
      <c r="B25" s="179"/>
      <c r="C25" s="95" t="s">
        <v>839</v>
      </c>
      <c r="D25" s="292"/>
    </row>
    <row r="26" spans="1:4" s="73" customFormat="1" ht="12" customHeight="1" thickBot="1" x14ac:dyDescent="0.25">
      <c r="A26" s="153" t="s">
        <v>859</v>
      </c>
      <c r="B26" s="125"/>
      <c r="C26" s="95" t="s">
        <v>835</v>
      </c>
      <c r="D26" s="313"/>
    </row>
    <row r="27" spans="1:4" s="73" customFormat="1" ht="15" customHeight="1" thickBot="1" x14ac:dyDescent="0.25">
      <c r="A27" s="321" t="s">
        <v>860</v>
      </c>
      <c r="B27" s="330"/>
      <c r="C27" s="323" t="s">
        <v>837</v>
      </c>
      <c r="D27" s="334">
        <f>+D28+D29</f>
        <v>0</v>
      </c>
    </row>
    <row r="28" spans="1:4" s="73" customFormat="1" ht="15" customHeight="1" x14ac:dyDescent="0.2">
      <c r="A28" s="183"/>
      <c r="B28" s="123" t="s">
        <v>27</v>
      </c>
      <c r="C28" s="112" t="s">
        <v>325</v>
      </c>
      <c r="D28" s="332"/>
    </row>
    <row r="29" spans="1:4" ht="15.75" thickBot="1" x14ac:dyDescent="0.25">
      <c r="A29" s="331"/>
      <c r="B29" s="124" t="s">
        <v>28</v>
      </c>
      <c r="C29" s="322" t="s">
        <v>825</v>
      </c>
      <c r="D29" s="66"/>
    </row>
    <row r="30" spans="1:4" s="54" customFormat="1" ht="16.5" customHeight="1" thickBot="1" x14ac:dyDescent="0.25">
      <c r="A30" s="193" t="s">
        <v>861</v>
      </c>
      <c r="B30" s="319"/>
      <c r="C30" s="320" t="s">
        <v>838</v>
      </c>
      <c r="D30" s="312"/>
    </row>
    <row r="31" spans="1:4" s="74" customFormat="1" ht="12" customHeight="1" thickBot="1" x14ac:dyDescent="0.25">
      <c r="A31" s="193" t="s">
        <v>862</v>
      </c>
      <c r="B31" s="194"/>
      <c r="C31" s="195" t="s">
        <v>836</v>
      </c>
      <c r="D31" s="316">
        <f>+D26+D27+D30</f>
        <v>0</v>
      </c>
    </row>
    <row r="32" spans="1:4" ht="12" customHeight="1" x14ac:dyDescent="0.2">
      <c r="A32" s="196"/>
      <c r="B32" s="196"/>
      <c r="C32" s="197"/>
      <c r="D32" s="314"/>
    </row>
    <row r="33" spans="1:4" ht="12" customHeight="1" thickBot="1" x14ac:dyDescent="0.25">
      <c r="A33" s="198"/>
      <c r="B33" s="199"/>
      <c r="C33" s="199"/>
      <c r="D33" s="315"/>
    </row>
    <row r="34" spans="1:4" ht="12" customHeight="1" thickBot="1" x14ac:dyDescent="0.25">
      <c r="A34" s="200"/>
      <c r="B34" s="201"/>
      <c r="C34" s="202" t="s">
        <v>1</v>
      </c>
      <c r="D34" s="316"/>
    </row>
    <row r="35" spans="1:4" ht="12" customHeight="1" thickBot="1" x14ac:dyDescent="0.25">
      <c r="A35" s="161" t="s">
        <v>855</v>
      </c>
      <c r="B35" s="24"/>
      <c r="C35" s="95" t="s">
        <v>815</v>
      </c>
      <c r="D35" s="271">
        <f>SUM(D36:D40)</f>
        <v>0</v>
      </c>
    </row>
    <row r="36" spans="1:4" ht="12" customHeight="1" x14ac:dyDescent="0.2">
      <c r="A36" s="203"/>
      <c r="B36" s="122" t="s">
        <v>40</v>
      </c>
      <c r="C36" s="11" t="s">
        <v>886</v>
      </c>
      <c r="D36" s="59"/>
    </row>
    <row r="37" spans="1:4" ht="12" customHeight="1" x14ac:dyDescent="0.2">
      <c r="A37" s="204"/>
      <c r="B37" s="120" t="s">
        <v>41</v>
      </c>
      <c r="C37" s="9" t="s">
        <v>144</v>
      </c>
      <c r="D37" s="62"/>
    </row>
    <row r="38" spans="1:4" s="74" customFormat="1" ht="12" customHeight="1" x14ac:dyDescent="0.2">
      <c r="A38" s="204"/>
      <c r="B38" s="120" t="s">
        <v>42</v>
      </c>
      <c r="C38" s="9" t="s">
        <v>70</v>
      </c>
      <c r="D38" s="62"/>
    </row>
    <row r="39" spans="1:4" ht="12" customHeight="1" x14ac:dyDescent="0.2">
      <c r="A39" s="204"/>
      <c r="B39" s="120" t="s">
        <v>43</v>
      </c>
      <c r="C39" s="9" t="s">
        <v>145</v>
      </c>
      <c r="D39" s="62"/>
    </row>
    <row r="40" spans="1:4" ht="12" customHeight="1" thickBot="1" x14ac:dyDescent="0.25">
      <c r="A40" s="204"/>
      <c r="B40" s="120" t="s">
        <v>53</v>
      </c>
      <c r="C40" s="9" t="s">
        <v>146</v>
      </c>
      <c r="D40" s="62"/>
    </row>
    <row r="41" spans="1:4" ht="12" customHeight="1" thickBot="1" x14ac:dyDescent="0.25">
      <c r="A41" s="161" t="s">
        <v>856</v>
      </c>
      <c r="B41" s="24"/>
      <c r="C41" s="95" t="s">
        <v>832</v>
      </c>
      <c r="D41" s="271">
        <f>SUM(D42:D45)</f>
        <v>0</v>
      </c>
    </row>
    <row r="42" spans="1:4" ht="12" customHeight="1" x14ac:dyDescent="0.2">
      <c r="A42" s="203"/>
      <c r="B42" s="122" t="s">
        <v>46</v>
      </c>
      <c r="C42" s="11" t="s">
        <v>250</v>
      </c>
      <c r="D42" s="59"/>
    </row>
    <row r="43" spans="1:4" ht="15" customHeight="1" x14ac:dyDescent="0.2">
      <c r="A43" s="204"/>
      <c r="B43" s="120" t="s">
        <v>47</v>
      </c>
      <c r="C43" s="9" t="s">
        <v>148</v>
      </c>
      <c r="D43" s="62"/>
    </row>
    <row r="44" spans="1:4" x14ac:dyDescent="0.2">
      <c r="A44" s="204"/>
      <c r="B44" s="120" t="s">
        <v>50</v>
      </c>
      <c r="C44" s="9" t="s">
        <v>2</v>
      </c>
      <c r="D44" s="62"/>
    </row>
    <row r="45" spans="1:4" ht="15" customHeight="1" thickBot="1" x14ac:dyDescent="0.25">
      <c r="A45" s="204"/>
      <c r="B45" s="120" t="s">
        <v>60</v>
      </c>
      <c r="C45" s="9" t="s">
        <v>829</v>
      </c>
      <c r="D45" s="62"/>
    </row>
    <row r="46" spans="1:4" ht="14.25" customHeight="1" thickBot="1" x14ac:dyDescent="0.25">
      <c r="A46" s="161" t="s">
        <v>857</v>
      </c>
      <c r="B46" s="24"/>
      <c r="C46" s="24" t="s">
        <v>830</v>
      </c>
      <c r="D46" s="292"/>
    </row>
    <row r="47" spans="1:4" ht="13.5" thickBot="1" x14ac:dyDescent="0.25">
      <c r="A47" s="193" t="s">
        <v>858</v>
      </c>
      <c r="B47" s="319"/>
      <c r="C47" s="320" t="s">
        <v>833</v>
      </c>
      <c r="D47" s="312"/>
    </row>
    <row r="48" spans="1:4" ht="13.5" thickBot="1" x14ac:dyDescent="0.25">
      <c r="A48" s="161" t="s">
        <v>859</v>
      </c>
      <c r="B48" s="190"/>
      <c r="C48" s="206" t="s">
        <v>831</v>
      </c>
      <c r="D48" s="317">
        <f>+D35+D41+D46+D47</f>
        <v>0</v>
      </c>
    </row>
    <row r="49" spans="1:4" ht="13.5" thickBot="1" x14ac:dyDescent="0.25">
      <c r="A49" s="207"/>
      <c r="B49" s="208"/>
      <c r="C49" s="208"/>
      <c r="D49" s="318"/>
    </row>
    <row r="50" spans="1:4" ht="13.5" thickBot="1" x14ac:dyDescent="0.25">
      <c r="A50" s="209" t="s">
        <v>182</v>
      </c>
      <c r="B50" s="210"/>
      <c r="C50" s="211"/>
      <c r="D50" s="93"/>
    </row>
    <row r="51" spans="1:4" ht="13.5" thickBot="1" x14ac:dyDescent="0.25">
      <c r="A51" s="209" t="s">
        <v>183</v>
      </c>
      <c r="B51" s="210"/>
      <c r="C51" s="211"/>
      <c r="D51" s="93"/>
    </row>
  </sheetData>
  <sheetProtection sheet="1" formatCells="0"/>
  <mergeCells count="2">
    <mergeCell ref="A2:B2"/>
    <mergeCell ref="A5:B5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77</v>
      </c>
    </row>
    <row r="4" spans="1:2" x14ac:dyDescent="0.2">
      <c r="A4" s="107"/>
      <c r="B4" s="107"/>
    </row>
    <row r="5" spans="1:2" s="119" customFormat="1" ht="15.75" x14ac:dyDescent="0.25">
      <c r="A5" s="69" t="s">
        <v>363</v>
      </c>
      <c r="B5" s="118"/>
    </row>
    <row r="6" spans="1:2" x14ac:dyDescent="0.2">
      <c r="A6" s="107"/>
      <c r="B6" s="107"/>
    </row>
    <row r="7" spans="1:2" x14ac:dyDescent="0.2">
      <c r="A7" s="107" t="s">
        <v>174</v>
      </c>
      <c r="B7" s="107" t="s">
        <v>369</v>
      </c>
    </row>
    <row r="8" spans="1:2" x14ac:dyDescent="0.2">
      <c r="A8" s="107" t="s">
        <v>78</v>
      </c>
      <c r="B8" s="107" t="s">
        <v>370</v>
      </c>
    </row>
    <row r="9" spans="1:2" x14ac:dyDescent="0.2">
      <c r="A9" s="107" t="s">
        <v>361</v>
      </c>
      <c r="B9" s="107" t="s">
        <v>371</v>
      </c>
    </row>
    <row r="10" spans="1:2" x14ac:dyDescent="0.2">
      <c r="A10" s="107"/>
      <c r="B10" s="107"/>
    </row>
    <row r="11" spans="1:2" x14ac:dyDescent="0.2">
      <c r="A11" s="107"/>
      <c r="B11" s="107"/>
    </row>
    <row r="12" spans="1:2" s="119" customFormat="1" ht="15.75" x14ac:dyDescent="0.25">
      <c r="A12" s="69" t="s">
        <v>364</v>
      </c>
      <c r="B12" s="118"/>
    </row>
    <row r="13" spans="1:2" x14ac:dyDescent="0.2">
      <c r="A13" s="107"/>
      <c r="B13" s="107"/>
    </row>
    <row r="14" spans="1:2" x14ac:dyDescent="0.2">
      <c r="A14" s="107" t="s">
        <v>102</v>
      </c>
      <c r="B14" s="107" t="s">
        <v>372</v>
      </c>
    </row>
    <row r="15" spans="1:2" x14ac:dyDescent="0.2">
      <c r="A15" s="107" t="s">
        <v>79</v>
      </c>
      <c r="B15" s="107" t="s">
        <v>373</v>
      </c>
    </row>
    <row r="16" spans="1:2" x14ac:dyDescent="0.2">
      <c r="A16" s="107" t="s">
        <v>362</v>
      </c>
      <c r="B16" s="107" t="s">
        <v>374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167"/>
      <c r="B1" s="168"/>
      <c r="C1" s="215"/>
      <c r="D1" s="214" t="s">
        <v>366</v>
      </c>
    </row>
    <row r="2" spans="1:4" s="70" customFormat="1" ht="25.5" customHeight="1" x14ac:dyDescent="0.2">
      <c r="A2" s="1659" t="s">
        <v>178</v>
      </c>
      <c r="B2" s="1660"/>
      <c r="C2" s="212" t="s">
        <v>185</v>
      </c>
      <c r="D2" s="216" t="s">
        <v>7</v>
      </c>
    </row>
    <row r="3" spans="1:4" s="70" customFormat="1" ht="16.5" thickBot="1" x14ac:dyDescent="0.25">
      <c r="A3" s="170" t="s">
        <v>177</v>
      </c>
      <c r="B3" s="171"/>
      <c r="C3" s="213" t="s">
        <v>6</v>
      </c>
      <c r="D3" s="217" t="s">
        <v>7</v>
      </c>
    </row>
    <row r="4" spans="1:4" s="71" customFormat="1" ht="15.95" customHeight="1" thickBot="1" x14ac:dyDescent="0.3">
      <c r="A4" s="172"/>
      <c r="B4" s="172"/>
      <c r="C4" s="172"/>
      <c r="D4" s="173" t="s">
        <v>894</v>
      </c>
    </row>
    <row r="5" spans="1:4" ht="13.5" thickBot="1" x14ac:dyDescent="0.25">
      <c r="A5" s="1651" t="s">
        <v>179</v>
      </c>
      <c r="B5" s="1652"/>
      <c r="C5" s="174" t="s">
        <v>895</v>
      </c>
      <c r="D5" s="175" t="s">
        <v>896</v>
      </c>
    </row>
    <row r="6" spans="1:4" s="54" customFormat="1" ht="12.95" customHeight="1" thickBot="1" x14ac:dyDescent="0.25">
      <c r="A6" s="153">
        <v>1</v>
      </c>
      <c r="B6" s="154">
        <v>2</v>
      </c>
      <c r="C6" s="154">
        <v>3</v>
      </c>
      <c r="D6" s="155">
        <v>4</v>
      </c>
    </row>
    <row r="7" spans="1:4" s="54" customFormat="1" ht="15.95" customHeight="1" thickBot="1" x14ac:dyDescent="0.25">
      <c r="A7" s="176"/>
      <c r="B7" s="177"/>
      <c r="C7" s="177" t="s">
        <v>897</v>
      </c>
      <c r="D7" s="178"/>
    </row>
    <row r="8" spans="1:4" s="72" customFormat="1" ht="12" customHeight="1" thickBot="1" x14ac:dyDescent="0.25">
      <c r="A8" s="153" t="s">
        <v>855</v>
      </c>
      <c r="B8" s="179"/>
      <c r="C8" s="180" t="s">
        <v>184</v>
      </c>
      <c r="D8" s="271">
        <f>SUM(D9:D16)</f>
        <v>0</v>
      </c>
    </row>
    <row r="9" spans="1:4" s="72" customFormat="1" ht="12" customHeight="1" x14ac:dyDescent="0.2">
      <c r="A9" s="183"/>
      <c r="B9" s="182" t="s">
        <v>40</v>
      </c>
      <c r="C9" s="12" t="s">
        <v>113</v>
      </c>
      <c r="D9" s="310"/>
    </row>
    <row r="10" spans="1:4" s="72" customFormat="1" ht="12" customHeight="1" x14ac:dyDescent="0.2">
      <c r="A10" s="181"/>
      <c r="B10" s="182" t="s">
        <v>41</v>
      </c>
      <c r="C10" s="9" t="s">
        <v>114</v>
      </c>
      <c r="D10" s="269"/>
    </row>
    <row r="11" spans="1:4" s="72" customFormat="1" ht="12" customHeight="1" x14ac:dyDescent="0.2">
      <c r="A11" s="181"/>
      <c r="B11" s="182" t="s">
        <v>42</v>
      </c>
      <c r="C11" s="9" t="s">
        <v>115</v>
      </c>
      <c r="D11" s="269"/>
    </row>
    <row r="12" spans="1:4" s="72" customFormat="1" ht="12" customHeight="1" x14ac:dyDescent="0.2">
      <c r="A12" s="181"/>
      <c r="B12" s="182" t="s">
        <v>43</v>
      </c>
      <c r="C12" s="9" t="s">
        <v>116</v>
      </c>
      <c r="D12" s="269"/>
    </row>
    <row r="13" spans="1:4" s="72" customFormat="1" ht="12" customHeight="1" x14ac:dyDescent="0.2">
      <c r="A13" s="181"/>
      <c r="B13" s="182" t="s">
        <v>72</v>
      </c>
      <c r="C13" s="8" t="s">
        <v>117</v>
      </c>
      <c r="D13" s="269"/>
    </row>
    <row r="14" spans="1:4" s="72" customFormat="1" ht="12" customHeight="1" x14ac:dyDescent="0.2">
      <c r="A14" s="184"/>
      <c r="B14" s="182" t="s">
        <v>44</v>
      </c>
      <c r="C14" s="9" t="s">
        <v>118</v>
      </c>
      <c r="D14" s="311"/>
    </row>
    <row r="15" spans="1:4" s="73" customFormat="1" ht="12" customHeight="1" x14ac:dyDescent="0.2">
      <c r="A15" s="181"/>
      <c r="B15" s="182" t="s">
        <v>45</v>
      </c>
      <c r="C15" s="9" t="s">
        <v>820</v>
      </c>
      <c r="D15" s="269"/>
    </row>
    <row r="16" spans="1:4" s="73" customFormat="1" ht="12" customHeight="1" thickBot="1" x14ac:dyDescent="0.25">
      <c r="A16" s="185"/>
      <c r="B16" s="186" t="s">
        <v>54</v>
      </c>
      <c r="C16" s="8" t="s">
        <v>175</v>
      </c>
      <c r="D16" s="270"/>
    </row>
    <row r="17" spans="1:4" s="72" customFormat="1" ht="12" customHeight="1" thickBot="1" x14ac:dyDescent="0.25">
      <c r="A17" s="153" t="s">
        <v>856</v>
      </c>
      <c r="B17" s="179"/>
      <c r="C17" s="180" t="s">
        <v>821</v>
      </c>
      <c r="D17" s="271">
        <f>SUM(D18:D21)</f>
        <v>0</v>
      </c>
    </row>
    <row r="18" spans="1:4" s="73" customFormat="1" ht="12" customHeight="1" x14ac:dyDescent="0.2">
      <c r="A18" s="181"/>
      <c r="B18" s="182" t="s">
        <v>46</v>
      </c>
      <c r="C18" s="11" t="s">
        <v>817</v>
      </c>
      <c r="D18" s="269"/>
    </row>
    <row r="19" spans="1:4" s="73" customFormat="1" ht="12" customHeight="1" x14ac:dyDescent="0.2">
      <c r="A19" s="181"/>
      <c r="B19" s="182" t="s">
        <v>47</v>
      </c>
      <c r="C19" s="9" t="s">
        <v>818</v>
      </c>
      <c r="D19" s="269"/>
    </row>
    <row r="20" spans="1:4" s="73" customFormat="1" ht="12" customHeight="1" x14ac:dyDescent="0.2">
      <c r="A20" s="181"/>
      <c r="B20" s="182" t="s">
        <v>48</v>
      </c>
      <c r="C20" s="9" t="s">
        <v>819</v>
      </c>
      <c r="D20" s="269"/>
    </row>
    <row r="21" spans="1:4" s="73" customFormat="1" ht="12" customHeight="1" thickBot="1" x14ac:dyDescent="0.25">
      <c r="A21" s="181"/>
      <c r="B21" s="182" t="s">
        <v>49</v>
      </c>
      <c r="C21" s="9" t="s">
        <v>818</v>
      </c>
      <c r="D21" s="269"/>
    </row>
    <row r="22" spans="1:4" s="73" customFormat="1" ht="12" customHeight="1" thickBot="1" x14ac:dyDescent="0.25">
      <c r="A22" s="161" t="s">
        <v>857</v>
      </c>
      <c r="B22" s="95"/>
      <c r="C22" s="95" t="s">
        <v>822</v>
      </c>
      <c r="D22" s="271">
        <f>+D23+D24</f>
        <v>0</v>
      </c>
    </row>
    <row r="23" spans="1:4" s="72" customFormat="1" ht="12" customHeight="1" x14ac:dyDescent="0.2">
      <c r="A23" s="306"/>
      <c r="B23" s="326" t="s">
        <v>20</v>
      </c>
      <c r="C23" s="112" t="s">
        <v>218</v>
      </c>
      <c r="D23" s="332"/>
    </row>
    <row r="24" spans="1:4" s="72" customFormat="1" ht="12" customHeight="1" thickBot="1" x14ac:dyDescent="0.25">
      <c r="A24" s="324"/>
      <c r="B24" s="325" t="s">
        <v>21</v>
      </c>
      <c r="C24" s="113" t="s">
        <v>222</v>
      </c>
      <c r="D24" s="333"/>
    </row>
    <row r="25" spans="1:4" s="72" customFormat="1" ht="12" customHeight="1" thickBot="1" x14ac:dyDescent="0.25">
      <c r="A25" s="161" t="s">
        <v>858</v>
      </c>
      <c r="B25" s="179"/>
      <c r="C25" s="95" t="s">
        <v>839</v>
      </c>
      <c r="D25" s="292"/>
    </row>
    <row r="26" spans="1:4" s="72" customFormat="1" ht="12" customHeight="1" thickBot="1" x14ac:dyDescent="0.25">
      <c r="A26" s="153" t="s">
        <v>859</v>
      </c>
      <c r="B26" s="125"/>
      <c r="C26" s="95" t="s">
        <v>835</v>
      </c>
      <c r="D26" s="313"/>
    </row>
    <row r="27" spans="1:4" s="73" customFormat="1" ht="12" customHeight="1" thickBot="1" x14ac:dyDescent="0.25">
      <c r="A27" s="321" t="s">
        <v>860</v>
      </c>
      <c r="B27" s="330"/>
      <c r="C27" s="323" t="s">
        <v>837</v>
      </c>
      <c r="D27" s="334">
        <f>+D28+D29</f>
        <v>0</v>
      </c>
    </row>
    <row r="28" spans="1:4" s="73" customFormat="1" ht="15" customHeight="1" x14ac:dyDescent="0.2">
      <c r="A28" s="183"/>
      <c r="B28" s="123" t="s">
        <v>27</v>
      </c>
      <c r="C28" s="112" t="s">
        <v>325</v>
      </c>
      <c r="D28" s="332"/>
    </row>
    <row r="29" spans="1:4" s="73" customFormat="1" ht="15" customHeight="1" thickBot="1" x14ac:dyDescent="0.25">
      <c r="A29" s="331"/>
      <c r="B29" s="124" t="s">
        <v>28</v>
      </c>
      <c r="C29" s="322" t="s">
        <v>825</v>
      </c>
      <c r="D29" s="66"/>
    </row>
    <row r="30" spans="1:4" ht="13.5" thickBot="1" x14ac:dyDescent="0.25">
      <c r="A30" s="193" t="s">
        <v>861</v>
      </c>
      <c r="B30" s="319"/>
      <c r="C30" s="320" t="s">
        <v>838</v>
      </c>
      <c r="D30" s="312"/>
    </row>
    <row r="31" spans="1:4" s="54" customFormat="1" ht="16.5" customHeight="1" thickBot="1" x14ac:dyDescent="0.25">
      <c r="A31" s="193" t="s">
        <v>862</v>
      </c>
      <c r="B31" s="194"/>
      <c r="C31" s="195" t="s">
        <v>836</v>
      </c>
      <c r="D31" s="316">
        <f>+D26+D27+D30</f>
        <v>0</v>
      </c>
    </row>
    <row r="32" spans="1:4" s="74" customFormat="1" ht="12" customHeight="1" x14ac:dyDescent="0.2">
      <c r="A32" s="196"/>
      <c r="B32" s="196"/>
      <c r="C32" s="197"/>
      <c r="D32" s="314"/>
    </row>
    <row r="33" spans="1:4" ht="12" customHeight="1" thickBot="1" x14ac:dyDescent="0.25">
      <c r="A33" s="198"/>
      <c r="B33" s="199"/>
      <c r="C33" s="199"/>
      <c r="D33" s="315"/>
    </row>
    <row r="34" spans="1:4" ht="12" customHeight="1" thickBot="1" x14ac:dyDescent="0.25">
      <c r="A34" s="200"/>
      <c r="B34" s="201"/>
      <c r="C34" s="202" t="s">
        <v>1</v>
      </c>
      <c r="D34" s="316"/>
    </row>
    <row r="35" spans="1:4" ht="12" customHeight="1" thickBot="1" x14ac:dyDescent="0.25">
      <c r="A35" s="161" t="s">
        <v>855</v>
      </c>
      <c r="B35" s="24"/>
      <c r="C35" s="95" t="s">
        <v>815</v>
      </c>
      <c r="D35" s="271">
        <f>SUM(D36:D40)</f>
        <v>0</v>
      </c>
    </row>
    <row r="36" spans="1:4" ht="12" customHeight="1" x14ac:dyDescent="0.2">
      <c r="A36" s="203"/>
      <c r="B36" s="122" t="s">
        <v>40</v>
      </c>
      <c r="C36" s="11" t="s">
        <v>886</v>
      </c>
      <c r="D36" s="59"/>
    </row>
    <row r="37" spans="1:4" ht="12" customHeight="1" x14ac:dyDescent="0.2">
      <c r="A37" s="204"/>
      <c r="B37" s="120" t="s">
        <v>41</v>
      </c>
      <c r="C37" s="9" t="s">
        <v>144</v>
      </c>
      <c r="D37" s="62"/>
    </row>
    <row r="38" spans="1:4" ht="12" customHeight="1" x14ac:dyDescent="0.2">
      <c r="A38" s="204"/>
      <c r="B38" s="120" t="s">
        <v>42</v>
      </c>
      <c r="C38" s="9" t="s">
        <v>70</v>
      </c>
      <c r="D38" s="62"/>
    </row>
    <row r="39" spans="1:4" s="74" customFormat="1" ht="12" customHeight="1" x14ac:dyDescent="0.2">
      <c r="A39" s="204"/>
      <c r="B39" s="120" t="s">
        <v>43</v>
      </c>
      <c r="C39" s="9" t="s">
        <v>145</v>
      </c>
      <c r="D39" s="62"/>
    </row>
    <row r="40" spans="1:4" ht="12" customHeight="1" thickBot="1" x14ac:dyDescent="0.25">
      <c r="A40" s="204"/>
      <c r="B40" s="120" t="s">
        <v>53</v>
      </c>
      <c r="C40" s="9" t="s">
        <v>146</v>
      </c>
      <c r="D40" s="62"/>
    </row>
    <row r="41" spans="1:4" ht="12" customHeight="1" thickBot="1" x14ac:dyDescent="0.25">
      <c r="A41" s="161" t="s">
        <v>856</v>
      </c>
      <c r="B41" s="24"/>
      <c r="C41" s="95" t="s">
        <v>832</v>
      </c>
      <c r="D41" s="271">
        <f>SUM(D42:D45)</f>
        <v>0</v>
      </c>
    </row>
    <row r="42" spans="1:4" ht="12" customHeight="1" x14ac:dyDescent="0.2">
      <c r="A42" s="203"/>
      <c r="B42" s="122" t="s">
        <v>46</v>
      </c>
      <c r="C42" s="11" t="s">
        <v>250</v>
      </c>
      <c r="D42" s="59"/>
    </row>
    <row r="43" spans="1:4" ht="12" customHeight="1" x14ac:dyDescent="0.2">
      <c r="A43" s="204"/>
      <c r="B43" s="120" t="s">
        <v>47</v>
      </c>
      <c r="C43" s="9" t="s">
        <v>148</v>
      </c>
      <c r="D43" s="62"/>
    </row>
    <row r="44" spans="1:4" ht="15" customHeight="1" x14ac:dyDescent="0.2">
      <c r="A44" s="204"/>
      <c r="B44" s="120" t="s">
        <v>50</v>
      </c>
      <c r="C44" s="9" t="s">
        <v>2</v>
      </c>
      <c r="D44" s="62"/>
    </row>
    <row r="45" spans="1:4" ht="13.5" thickBot="1" x14ac:dyDescent="0.25">
      <c r="A45" s="204"/>
      <c r="B45" s="120" t="s">
        <v>60</v>
      </c>
      <c r="C45" s="9" t="s">
        <v>829</v>
      </c>
      <c r="D45" s="62"/>
    </row>
    <row r="46" spans="1:4" ht="15" customHeight="1" thickBot="1" x14ac:dyDescent="0.25">
      <c r="A46" s="161" t="s">
        <v>857</v>
      </c>
      <c r="B46" s="24"/>
      <c r="C46" s="24" t="s">
        <v>830</v>
      </c>
      <c r="D46" s="292"/>
    </row>
    <row r="47" spans="1:4" ht="14.25" customHeight="1" thickBot="1" x14ac:dyDescent="0.25">
      <c r="A47" s="193" t="s">
        <v>858</v>
      </c>
      <c r="B47" s="319"/>
      <c r="C47" s="320" t="s">
        <v>833</v>
      </c>
      <c r="D47" s="312"/>
    </row>
    <row r="48" spans="1:4" ht="13.5" thickBot="1" x14ac:dyDescent="0.25">
      <c r="A48" s="161" t="s">
        <v>859</v>
      </c>
      <c r="B48" s="190"/>
      <c r="C48" s="206" t="s">
        <v>831</v>
      </c>
      <c r="D48" s="317">
        <f>+D35+D41+D46+D47</f>
        <v>0</v>
      </c>
    </row>
    <row r="49" spans="1:4" ht="13.5" thickBot="1" x14ac:dyDescent="0.25">
      <c r="A49" s="207"/>
      <c r="B49" s="208"/>
      <c r="C49" s="208"/>
      <c r="D49" s="318"/>
    </row>
    <row r="50" spans="1:4" ht="13.5" thickBot="1" x14ac:dyDescent="0.25">
      <c r="A50" s="209" t="s">
        <v>182</v>
      </c>
      <c r="B50" s="210"/>
      <c r="C50" s="211"/>
      <c r="D50" s="93"/>
    </row>
    <row r="51" spans="1:4" ht="13.5" thickBot="1" x14ac:dyDescent="0.25">
      <c r="A51" s="209" t="s">
        <v>183</v>
      </c>
      <c r="B51" s="210"/>
      <c r="C51" s="211"/>
      <c r="D51" s="93"/>
    </row>
  </sheetData>
  <sheetProtection sheet="1" formatCells="0"/>
  <mergeCells count="2">
    <mergeCell ref="A2:B2"/>
    <mergeCell ref="A5:B5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167"/>
      <c r="B1" s="168"/>
      <c r="C1" s="215"/>
      <c r="D1" s="214" t="s">
        <v>365</v>
      </c>
    </row>
    <row r="2" spans="1:4" s="70" customFormat="1" ht="25.5" customHeight="1" x14ac:dyDescent="0.2">
      <c r="A2" s="1659" t="s">
        <v>178</v>
      </c>
      <c r="B2" s="1660"/>
      <c r="C2" s="212" t="s">
        <v>185</v>
      </c>
      <c r="D2" s="216" t="s">
        <v>7</v>
      </c>
    </row>
    <row r="3" spans="1:4" s="70" customFormat="1" ht="16.5" thickBot="1" x14ac:dyDescent="0.25">
      <c r="A3" s="170" t="s">
        <v>177</v>
      </c>
      <c r="B3" s="171"/>
      <c r="C3" s="213" t="s">
        <v>9</v>
      </c>
      <c r="D3" s="217" t="s">
        <v>8</v>
      </c>
    </row>
    <row r="4" spans="1:4" s="71" customFormat="1" ht="15.95" customHeight="1" thickBot="1" x14ac:dyDescent="0.3">
      <c r="A4" s="172"/>
      <c r="B4" s="172"/>
      <c r="C4" s="172"/>
      <c r="D4" s="173" t="s">
        <v>894</v>
      </c>
    </row>
    <row r="5" spans="1:4" ht="13.5" thickBot="1" x14ac:dyDescent="0.25">
      <c r="A5" s="1651" t="s">
        <v>179</v>
      </c>
      <c r="B5" s="1652"/>
      <c r="C5" s="174" t="s">
        <v>895</v>
      </c>
      <c r="D5" s="175" t="s">
        <v>896</v>
      </c>
    </row>
    <row r="6" spans="1:4" s="54" customFormat="1" ht="12.95" customHeight="1" thickBot="1" x14ac:dyDescent="0.25">
      <c r="A6" s="153">
        <v>1</v>
      </c>
      <c r="B6" s="154">
        <v>2</v>
      </c>
      <c r="C6" s="154">
        <v>3</v>
      </c>
      <c r="D6" s="155">
        <v>4</v>
      </c>
    </row>
    <row r="7" spans="1:4" s="54" customFormat="1" ht="15.95" customHeight="1" thickBot="1" x14ac:dyDescent="0.25">
      <c r="A7" s="176"/>
      <c r="B7" s="177"/>
      <c r="C7" s="177" t="s">
        <v>897</v>
      </c>
      <c r="D7" s="178"/>
    </row>
    <row r="8" spans="1:4" s="72" customFormat="1" ht="12" customHeight="1" thickBot="1" x14ac:dyDescent="0.25">
      <c r="A8" s="153" t="s">
        <v>855</v>
      </c>
      <c r="B8" s="179"/>
      <c r="C8" s="180" t="s">
        <v>184</v>
      </c>
      <c r="D8" s="271">
        <f>SUM(D9:D16)</f>
        <v>0</v>
      </c>
    </row>
    <row r="9" spans="1:4" s="72" customFormat="1" ht="12" customHeight="1" x14ac:dyDescent="0.2">
      <c r="A9" s="183"/>
      <c r="B9" s="182" t="s">
        <v>40</v>
      </c>
      <c r="C9" s="12" t="s">
        <v>113</v>
      </c>
      <c r="D9" s="310"/>
    </row>
    <row r="10" spans="1:4" s="72" customFormat="1" ht="12" customHeight="1" x14ac:dyDescent="0.2">
      <c r="A10" s="181"/>
      <c r="B10" s="182" t="s">
        <v>41</v>
      </c>
      <c r="C10" s="9" t="s">
        <v>114</v>
      </c>
      <c r="D10" s="269"/>
    </row>
    <row r="11" spans="1:4" s="72" customFormat="1" ht="12" customHeight="1" x14ac:dyDescent="0.2">
      <c r="A11" s="181"/>
      <c r="B11" s="182" t="s">
        <v>42</v>
      </c>
      <c r="C11" s="9" t="s">
        <v>115</v>
      </c>
      <c r="D11" s="269"/>
    </row>
    <row r="12" spans="1:4" s="72" customFormat="1" ht="12" customHeight="1" x14ac:dyDescent="0.2">
      <c r="A12" s="181"/>
      <c r="B12" s="182" t="s">
        <v>43</v>
      </c>
      <c r="C12" s="9" t="s">
        <v>116</v>
      </c>
      <c r="D12" s="269"/>
    </row>
    <row r="13" spans="1:4" s="72" customFormat="1" ht="12" customHeight="1" x14ac:dyDescent="0.2">
      <c r="A13" s="181"/>
      <c r="B13" s="182" t="s">
        <v>72</v>
      </c>
      <c r="C13" s="8" t="s">
        <v>117</v>
      </c>
      <c r="D13" s="269"/>
    </row>
    <row r="14" spans="1:4" s="72" customFormat="1" ht="12" customHeight="1" x14ac:dyDescent="0.2">
      <c r="A14" s="184"/>
      <c r="B14" s="182" t="s">
        <v>44</v>
      </c>
      <c r="C14" s="9" t="s">
        <v>118</v>
      </c>
      <c r="D14" s="311"/>
    </row>
    <row r="15" spans="1:4" s="73" customFormat="1" ht="12" customHeight="1" x14ac:dyDescent="0.2">
      <c r="A15" s="181"/>
      <c r="B15" s="182" t="s">
        <v>45</v>
      </c>
      <c r="C15" s="9" t="s">
        <v>820</v>
      </c>
      <c r="D15" s="269"/>
    </row>
    <row r="16" spans="1:4" s="73" customFormat="1" ht="12" customHeight="1" thickBot="1" x14ac:dyDescent="0.25">
      <c r="A16" s="185"/>
      <c r="B16" s="186" t="s">
        <v>54</v>
      </c>
      <c r="C16" s="8" t="s">
        <v>175</v>
      </c>
      <c r="D16" s="270"/>
    </row>
    <row r="17" spans="1:4" s="72" customFormat="1" ht="12" customHeight="1" thickBot="1" x14ac:dyDescent="0.25">
      <c r="A17" s="153" t="s">
        <v>856</v>
      </c>
      <c r="B17" s="179"/>
      <c r="C17" s="180" t="s">
        <v>821</v>
      </c>
      <c r="D17" s="271">
        <f>SUM(D18:D21)</f>
        <v>0</v>
      </c>
    </row>
    <row r="18" spans="1:4" s="73" customFormat="1" ht="12" customHeight="1" x14ac:dyDescent="0.2">
      <c r="A18" s="181"/>
      <c r="B18" s="182" t="s">
        <v>46</v>
      </c>
      <c r="C18" s="11" t="s">
        <v>817</v>
      </c>
      <c r="D18" s="269"/>
    </row>
    <row r="19" spans="1:4" s="73" customFormat="1" ht="12" customHeight="1" x14ac:dyDescent="0.2">
      <c r="A19" s="181"/>
      <c r="B19" s="182" t="s">
        <v>47</v>
      </c>
      <c r="C19" s="9" t="s">
        <v>818</v>
      </c>
      <c r="D19" s="269"/>
    </row>
    <row r="20" spans="1:4" s="73" customFormat="1" ht="12" customHeight="1" x14ac:dyDescent="0.2">
      <c r="A20" s="181"/>
      <c r="B20" s="182" t="s">
        <v>48</v>
      </c>
      <c r="C20" s="9" t="s">
        <v>819</v>
      </c>
      <c r="D20" s="269"/>
    </row>
    <row r="21" spans="1:4" s="73" customFormat="1" ht="12" customHeight="1" thickBot="1" x14ac:dyDescent="0.25">
      <c r="A21" s="181"/>
      <c r="B21" s="182" t="s">
        <v>49</v>
      </c>
      <c r="C21" s="9" t="s">
        <v>818</v>
      </c>
      <c r="D21" s="269"/>
    </row>
    <row r="22" spans="1:4" s="73" customFormat="1" ht="12" customHeight="1" thickBot="1" x14ac:dyDescent="0.25">
      <c r="A22" s="161" t="s">
        <v>857</v>
      </c>
      <c r="B22" s="95"/>
      <c r="C22" s="95" t="s">
        <v>822</v>
      </c>
      <c r="D22" s="271">
        <f>+D23+D24</f>
        <v>0</v>
      </c>
    </row>
    <row r="23" spans="1:4" s="72" customFormat="1" ht="12" customHeight="1" x14ac:dyDescent="0.2">
      <c r="A23" s="306"/>
      <c r="B23" s="326" t="s">
        <v>20</v>
      </c>
      <c r="C23" s="112" t="s">
        <v>218</v>
      </c>
      <c r="D23" s="332"/>
    </row>
    <row r="24" spans="1:4" s="72" customFormat="1" ht="12" customHeight="1" thickBot="1" x14ac:dyDescent="0.25">
      <c r="A24" s="324"/>
      <c r="B24" s="325" t="s">
        <v>21</v>
      </c>
      <c r="C24" s="113" t="s">
        <v>222</v>
      </c>
      <c r="D24" s="333"/>
    </row>
    <row r="25" spans="1:4" s="72" customFormat="1" ht="12" customHeight="1" thickBot="1" x14ac:dyDescent="0.25">
      <c r="A25" s="161" t="s">
        <v>858</v>
      </c>
      <c r="B25" s="179"/>
      <c r="C25" s="95" t="s">
        <v>839</v>
      </c>
      <c r="D25" s="292"/>
    </row>
    <row r="26" spans="1:4" s="72" customFormat="1" ht="12" customHeight="1" thickBot="1" x14ac:dyDescent="0.25">
      <c r="A26" s="153" t="s">
        <v>859</v>
      </c>
      <c r="B26" s="125"/>
      <c r="C26" s="95" t="s">
        <v>835</v>
      </c>
      <c r="D26" s="313"/>
    </row>
    <row r="27" spans="1:4" s="73" customFormat="1" ht="12" customHeight="1" thickBot="1" x14ac:dyDescent="0.25">
      <c r="A27" s="321" t="s">
        <v>860</v>
      </c>
      <c r="B27" s="330"/>
      <c r="C27" s="323" t="s">
        <v>837</v>
      </c>
      <c r="D27" s="334">
        <f>+D28+D29</f>
        <v>0</v>
      </c>
    </row>
    <row r="28" spans="1:4" s="73" customFormat="1" ht="15" customHeight="1" x14ac:dyDescent="0.2">
      <c r="A28" s="183"/>
      <c r="B28" s="123" t="s">
        <v>27</v>
      </c>
      <c r="C28" s="112" t="s">
        <v>325</v>
      </c>
      <c r="D28" s="332"/>
    </row>
    <row r="29" spans="1:4" s="73" customFormat="1" ht="15" customHeight="1" thickBot="1" x14ac:dyDescent="0.25">
      <c r="A29" s="331"/>
      <c r="B29" s="124" t="s">
        <v>28</v>
      </c>
      <c r="C29" s="322" t="s">
        <v>825</v>
      </c>
      <c r="D29" s="66"/>
    </row>
    <row r="30" spans="1:4" ht="13.5" thickBot="1" x14ac:dyDescent="0.25">
      <c r="A30" s="193" t="s">
        <v>861</v>
      </c>
      <c r="B30" s="319"/>
      <c r="C30" s="320" t="s">
        <v>838</v>
      </c>
      <c r="D30" s="312"/>
    </row>
    <row r="31" spans="1:4" s="54" customFormat="1" ht="16.5" customHeight="1" thickBot="1" x14ac:dyDescent="0.25">
      <c r="A31" s="193" t="s">
        <v>862</v>
      </c>
      <c r="B31" s="194"/>
      <c r="C31" s="195" t="s">
        <v>836</v>
      </c>
      <c r="D31" s="316">
        <f>+D26+D27+D30</f>
        <v>0</v>
      </c>
    </row>
    <row r="32" spans="1:4" s="74" customFormat="1" ht="12" customHeight="1" x14ac:dyDescent="0.2">
      <c r="A32" s="196"/>
      <c r="B32" s="196"/>
      <c r="C32" s="197"/>
      <c r="D32" s="314"/>
    </row>
    <row r="33" spans="1:4" ht="12" customHeight="1" thickBot="1" x14ac:dyDescent="0.25">
      <c r="A33" s="198"/>
      <c r="B33" s="199"/>
      <c r="C33" s="199"/>
      <c r="D33" s="315"/>
    </row>
    <row r="34" spans="1:4" ht="12" customHeight="1" thickBot="1" x14ac:dyDescent="0.25">
      <c r="A34" s="200"/>
      <c r="B34" s="201"/>
      <c r="C34" s="202" t="s">
        <v>1</v>
      </c>
      <c r="D34" s="316"/>
    </row>
    <row r="35" spans="1:4" ht="12" customHeight="1" thickBot="1" x14ac:dyDescent="0.25">
      <c r="A35" s="161" t="s">
        <v>855</v>
      </c>
      <c r="B35" s="24"/>
      <c r="C35" s="95" t="s">
        <v>815</v>
      </c>
      <c r="D35" s="271">
        <f>SUM(D36:D40)</f>
        <v>0</v>
      </c>
    </row>
    <row r="36" spans="1:4" ht="12" customHeight="1" x14ac:dyDescent="0.2">
      <c r="A36" s="203"/>
      <c r="B36" s="122" t="s">
        <v>40</v>
      </c>
      <c r="C36" s="11" t="s">
        <v>886</v>
      </c>
      <c r="D36" s="59"/>
    </row>
    <row r="37" spans="1:4" ht="12" customHeight="1" x14ac:dyDescent="0.2">
      <c r="A37" s="204"/>
      <c r="B37" s="120" t="s">
        <v>41</v>
      </c>
      <c r="C37" s="9" t="s">
        <v>144</v>
      </c>
      <c r="D37" s="62"/>
    </row>
    <row r="38" spans="1:4" ht="12" customHeight="1" x14ac:dyDescent="0.2">
      <c r="A38" s="204"/>
      <c r="B38" s="120" t="s">
        <v>42</v>
      </c>
      <c r="C38" s="9" t="s">
        <v>70</v>
      </c>
      <c r="D38" s="62"/>
    </row>
    <row r="39" spans="1:4" s="74" customFormat="1" ht="12" customHeight="1" x14ac:dyDescent="0.2">
      <c r="A39" s="204"/>
      <c r="B39" s="120" t="s">
        <v>43</v>
      </c>
      <c r="C39" s="9" t="s">
        <v>145</v>
      </c>
      <c r="D39" s="62"/>
    </row>
    <row r="40" spans="1:4" ht="12" customHeight="1" thickBot="1" x14ac:dyDescent="0.25">
      <c r="A40" s="204"/>
      <c r="B40" s="120" t="s">
        <v>53</v>
      </c>
      <c r="C40" s="9" t="s">
        <v>146</v>
      </c>
      <c r="D40" s="62"/>
    </row>
    <row r="41" spans="1:4" ht="12" customHeight="1" thickBot="1" x14ac:dyDescent="0.25">
      <c r="A41" s="161" t="s">
        <v>856</v>
      </c>
      <c r="B41" s="24"/>
      <c r="C41" s="95" t="s">
        <v>832</v>
      </c>
      <c r="D41" s="271">
        <f>SUM(D42:D45)</f>
        <v>0</v>
      </c>
    </row>
    <row r="42" spans="1:4" ht="12" customHeight="1" x14ac:dyDescent="0.2">
      <c r="A42" s="203"/>
      <c r="B42" s="122" t="s">
        <v>46</v>
      </c>
      <c r="C42" s="11" t="s">
        <v>250</v>
      </c>
      <c r="D42" s="59"/>
    </row>
    <row r="43" spans="1:4" ht="12" customHeight="1" x14ac:dyDescent="0.2">
      <c r="A43" s="204"/>
      <c r="B43" s="120" t="s">
        <v>47</v>
      </c>
      <c r="C43" s="9" t="s">
        <v>148</v>
      </c>
      <c r="D43" s="62"/>
    </row>
    <row r="44" spans="1:4" ht="15" customHeight="1" x14ac:dyDescent="0.2">
      <c r="A44" s="204"/>
      <c r="B44" s="120" t="s">
        <v>50</v>
      </c>
      <c r="C44" s="9" t="s">
        <v>2</v>
      </c>
      <c r="D44" s="62"/>
    </row>
    <row r="45" spans="1:4" ht="13.5" thickBot="1" x14ac:dyDescent="0.25">
      <c r="A45" s="204"/>
      <c r="B45" s="120" t="s">
        <v>60</v>
      </c>
      <c r="C45" s="9" t="s">
        <v>829</v>
      </c>
      <c r="D45" s="62"/>
    </row>
    <row r="46" spans="1:4" ht="15" customHeight="1" thickBot="1" x14ac:dyDescent="0.25">
      <c r="A46" s="161" t="s">
        <v>857</v>
      </c>
      <c r="B46" s="24"/>
      <c r="C46" s="24" t="s">
        <v>830</v>
      </c>
      <c r="D46" s="292"/>
    </row>
    <row r="47" spans="1:4" ht="14.25" customHeight="1" thickBot="1" x14ac:dyDescent="0.25">
      <c r="A47" s="193" t="s">
        <v>858</v>
      </c>
      <c r="B47" s="319"/>
      <c r="C47" s="320" t="s">
        <v>833</v>
      </c>
      <c r="D47" s="312"/>
    </row>
    <row r="48" spans="1:4" ht="13.5" thickBot="1" x14ac:dyDescent="0.25">
      <c r="A48" s="161" t="s">
        <v>859</v>
      </c>
      <c r="B48" s="190"/>
      <c r="C48" s="206" t="s">
        <v>831</v>
      </c>
      <c r="D48" s="317">
        <f>+D35+D41+D46+D47</f>
        <v>0</v>
      </c>
    </row>
    <row r="49" spans="1:4" ht="13.5" thickBot="1" x14ac:dyDescent="0.25">
      <c r="A49" s="207"/>
      <c r="B49" s="208"/>
      <c r="C49" s="208"/>
      <c r="D49" s="318"/>
    </row>
    <row r="50" spans="1:4" ht="13.5" thickBot="1" x14ac:dyDescent="0.25">
      <c r="A50" s="209" t="s">
        <v>182</v>
      </c>
      <c r="B50" s="210"/>
      <c r="C50" s="211"/>
      <c r="D50" s="93"/>
    </row>
    <row r="51" spans="1:4" ht="13.5" thickBot="1" x14ac:dyDescent="0.25">
      <c r="A51" s="209" t="s">
        <v>183</v>
      </c>
      <c r="B51" s="210"/>
      <c r="C51" s="211"/>
      <c r="D51" s="93"/>
    </row>
  </sheetData>
  <sheetProtection sheet="1" formatCells="0"/>
  <mergeCells count="2">
    <mergeCell ref="A2:B2"/>
    <mergeCell ref="A5:B5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167"/>
      <c r="B1" s="168"/>
      <c r="C1" s="215"/>
      <c r="D1" s="214" t="s">
        <v>834</v>
      </c>
    </row>
    <row r="2" spans="1:4" s="70" customFormat="1" ht="25.5" customHeight="1" x14ac:dyDescent="0.2">
      <c r="A2" s="1659" t="s">
        <v>178</v>
      </c>
      <c r="B2" s="1660"/>
      <c r="C2" s="212" t="s">
        <v>185</v>
      </c>
      <c r="D2" s="216" t="s">
        <v>7</v>
      </c>
    </row>
    <row r="3" spans="1:4" s="70" customFormat="1" ht="16.5" thickBot="1" x14ac:dyDescent="0.25">
      <c r="A3" s="170" t="s">
        <v>177</v>
      </c>
      <c r="B3" s="171"/>
      <c r="C3" s="213" t="s">
        <v>186</v>
      </c>
      <c r="D3" s="217" t="s">
        <v>10</v>
      </c>
    </row>
    <row r="4" spans="1:4" s="71" customFormat="1" ht="15.95" customHeight="1" thickBot="1" x14ac:dyDescent="0.3">
      <c r="A4" s="172"/>
      <c r="B4" s="172"/>
      <c r="C4" s="172"/>
      <c r="D4" s="173" t="s">
        <v>894</v>
      </c>
    </row>
    <row r="5" spans="1:4" ht="13.5" thickBot="1" x14ac:dyDescent="0.25">
      <c r="A5" s="1651" t="s">
        <v>179</v>
      </c>
      <c r="B5" s="1652"/>
      <c r="C5" s="174" t="s">
        <v>895</v>
      </c>
      <c r="D5" s="175" t="s">
        <v>896</v>
      </c>
    </row>
    <row r="6" spans="1:4" s="54" customFormat="1" ht="12.95" customHeight="1" thickBot="1" x14ac:dyDescent="0.25">
      <c r="A6" s="153">
        <v>1</v>
      </c>
      <c r="B6" s="154">
        <v>2</v>
      </c>
      <c r="C6" s="154">
        <v>3</v>
      </c>
      <c r="D6" s="155">
        <v>4</v>
      </c>
    </row>
    <row r="7" spans="1:4" s="54" customFormat="1" ht="15.95" customHeight="1" thickBot="1" x14ac:dyDescent="0.25">
      <c r="A7" s="176"/>
      <c r="B7" s="177"/>
      <c r="C7" s="177" t="s">
        <v>897</v>
      </c>
      <c r="D7" s="178"/>
    </row>
    <row r="8" spans="1:4" s="72" customFormat="1" ht="12" customHeight="1" thickBot="1" x14ac:dyDescent="0.25">
      <c r="A8" s="153" t="s">
        <v>855</v>
      </c>
      <c r="B8" s="179"/>
      <c r="C8" s="180" t="s">
        <v>184</v>
      </c>
      <c r="D8" s="271">
        <f>SUM(D9:D16)</f>
        <v>0</v>
      </c>
    </row>
    <row r="9" spans="1:4" s="72" customFormat="1" ht="12" customHeight="1" x14ac:dyDescent="0.2">
      <c r="A9" s="183"/>
      <c r="B9" s="182" t="s">
        <v>40</v>
      </c>
      <c r="C9" s="12" t="s">
        <v>113</v>
      </c>
      <c r="D9" s="310"/>
    </row>
    <row r="10" spans="1:4" s="72" customFormat="1" ht="12" customHeight="1" x14ac:dyDescent="0.2">
      <c r="A10" s="181"/>
      <c r="B10" s="182" t="s">
        <v>41</v>
      </c>
      <c r="C10" s="9" t="s">
        <v>114</v>
      </c>
      <c r="D10" s="269"/>
    </row>
    <row r="11" spans="1:4" s="72" customFormat="1" ht="12" customHeight="1" x14ac:dyDescent="0.2">
      <c r="A11" s="181"/>
      <c r="B11" s="182" t="s">
        <v>42</v>
      </c>
      <c r="C11" s="9" t="s">
        <v>115</v>
      </c>
      <c r="D11" s="269"/>
    </row>
    <row r="12" spans="1:4" s="72" customFormat="1" ht="12" customHeight="1" x14ac:dyDescent="0.2">
      <c r="A12" s="181"/>
      <c r="B12" s="182" t="s">
        <v>43</v>
      </c>
      <c r="C12" s="9" t="s">
        <v>116</v>
      </c>
      <c r="D12" s="269"/>
    </row>
    <row r="13" spans="1:4" s="72" customFormat="1" ht="12" customHeight="1" x14ac:dyDescent="0.2">
      <c r="A13" s="181"/>
      <c r="B13" s="182" t="s">
        <v>72</v>
      </c>
      <c r="C13" s="8" t="s">
        <v>117</v>
      </c>
      <c r="D13" s="269"/>
    </row>
    <row r="14" spans="1:4" s="72" customFormat="1" ht="12" customHeight="1" x14ac:dyDescent="0.2">
      <c r="A14" s="184"/>
      <c r="B14" s="182" t="s">
        <v>44</v>
      </c>
      <c r="C14" s="9" t="s">
        <v>118</v>
      </c>
      <c r="D14" s="311"/>
    </row>
    <row r="15" spans="1:4" s="73" customFormat="1" ht="12" customHeight="1" x14ac:dyDescent="0.2">
      <c r="A15" s="181"/>
      <c r="B15" s="182" t="s">
        <v>45</v>
      </c>
      <c r="C15" s="9" t="s">
        <v>820</v>
      </c>
      <c r="D15" s="269"/>
    </row>
    <row r="16" spans="1:4" s="73" customFormat="1" ht="12" customHeight="1" thickBot="1" x14ac:dyDescent="0.25">
      <c r="A16" s="185"/>
      <c r="B16" s="186" t="s">
        <v>54</v>
      </c>
      <c r="C16" s="8" t="s">
        <v>175</v>
      </c>
      <c r="D16" s="270"/>
    </row>
    <row r="17" spans="1:4" s="72" customFormat="1" ht="12" customHeight="1" thickBot="1" x14ac:dyDescent="0.25">
      <c r="A17" s="153" t="s">
        <v>856</v>
      </c>
      <c r="B17" s="179"/>
      <c r="C17" s="180" t="s">
        <v>821</v>
      </c>
      <c r="D17" s="271">
        <f>SUM(D18:D21)</f>
        <v>0</v>
      </c>
    </row>
    <row r="18" spans="1:4" s="73" customFormat="1" ht="12" customHeight="1" x14ac:dyDescent="0.2">
      <c r="A18" s="181"/>
      <c r="B18" s="182" t="s">
        <v>46</v>
      </c>
      <c r="C18" s="11" t="s">
        <v>817</v>
      </c>
      <c r="D18" s="269"/>
    </row>
    <row r="19" spans="1:4" s="73" customFormat="1" ht="12" customHeight="1" x14ac:dyDescent="0.2">
      <c r="A19" s="181"/>
      <c r="B19" s="182" t="s">
        <v>47</v>
      </c>
      <c r="C19" s="9" t="s">
        <v>818</v>
      </c>
      <c r="D19" s="269"/>
    </row>
    <row r="20" spans="1:4" s="73" customFormat="1" ht="12" customHeight="1" x14ac:dyDescent="0.2">
      <c r="A20" s="181"/>
      <c r="B20" s="182" t="s">
        <v>48</v>
      </c>
      <c r="C20" s="9" t="s">
        <v>819</v>
      </c>
      <c r="D20" s="269"/>
    </row>
    <row r="21" spans="1:4" s="73" customFormat="1" ht="12" customHeight="1" thickBot="1" x14ac:dyDescent="0.25">
      <c r="A21" s="181"/>
      <c r="B21" s="182" t="s">
        <v>49</v>
      </c>
      <c r="C21" s="9" t="s">
        <v>818</v>
      </c>
      <c r="D21" s="269"/>
    </row>
    <row r="22" spans="1:4" s="73" customFormat="1" ht="12" customHeight="1" thickBot="1" x14ac:dyDescent="0.25">
      <c r="A22" s="161" t="s">
        <v>857</v>
      </c>
      <c r="B22" s="95"/>
      <c r="C22" s="95" t="s">
        <v>822</v>
      </c>
      <c r="D22" s="271">
        <f>+D23+D24</f>
        <v>0</v>
      </c>
    </row>
    <row r="23" spans="1:4" s="72" customFormat="1" ht="12" customHeight="1" x14ac:dyDescent="0.2">
      <c r="A23" s="306"/>
      <c r="B23" s="326" t="s">
        <v>20</v>
      </c>
      <c r="C23" s="112" t="s">
        <v>218</v>
      </c>
      <c r="D23" s="332"/>
    </row>
    <row r="24" spans="1:4" s="72" customFormat="1" ht="12" customHeight="1" thickBot="1" x14ac:dyDescent="0.25">
      <c r="A24" s="324"/>
      <c r="B24" s="325" t="s">
        <v>21</v>
      </c>
      <c r="C24" s="113" t="s">
        <v>222</v>
      </c>
      <c r="D24" s="333"/>
    </row>
    <row r="25" spans="1:4" s="72" customFormat="1" ht="12" customHeight="1" thickBot="1" x14ac:dyDescent="0.25">
      <c r="A25" s="161" t="s">
        <v>858</v>
      </c>
      <c r="B25" s="179"/>
      <c r="C25" s="95" t="s">
        <v>839</v>
      </c>
      <c r="D25" s="292"/>
    </row>
    <row r="26" spans="1:4" s="72" customFormat="1" ht="12" customHeight="1" thickBot="1" x14ac:dyDescent="0.25">
      <c r="A26" s="153" t="s">
        <v>859</v>
      </c>
      <c r="B26" s="125"/>
      <c r="C26" s="95" t="s">
        <v>835</v>
      </c>
      <c r="D26" s="313"/>
    </row>
    <row r="27" spans="1:4" s="73" customFormat="1" ht="12" customHeight="1" thickBot="1" x14ac:dyDescent="0.25">
      <c r="A27" s="321" t="s">
        <v>860</v>
      </c>
      <c r="B27" s="330"/>
      <c r="C27" s="323" t="s">
        <v>837</v>
      </c>
      <c r="D27" s="334">
        <f>+D28+D29</f>
        <v>0</v>
      </c>
    </row>
    <row r="28" spans="1:4" s="73" customFormat="1" ht="15" customHeight="1" x14ac:dyDescent="0.2">
      <c r="A28" s="183"/>
      <c r="B28" s="123" t="s">
        <v>27</v>
      </c>
      <c r="C28" s="112" t="s">
        <v>325</v>
      </c>
      <c r="D28" s="332"/>
    </row>
    <row r="29" spans="1:4" s="73" customFormat="1" ht="15" customHeight="1" thickBot="1" x14ac:dyDescent="0.25">
      <c r="A29" s="331"/>
      <c r="B29" s="124" t="s">
        <v>28</v>
      </c>
      <c r="C29" s="322" t="s">
        <v>825</v>
      </c>
      <c r="D29" s="66"/>
    </row>
    <row r="30" spans="1:4" ht="13.5" thickBot="1" x14ac:dyDescent="0.25">
      <c r="A30" s="193" t="s">
        <v>861</v>
      </c>
      <c r="B30" s="319"/>
      <c r="C30" s="320" t="s">
        <v>838</v>
      </c>
      <c r="D30" s="312"/>
    </row>
    <row r="31" spans="1:4" s="54" customFormat="1" ht="16.5" customHeight="1" thickBot="1" x14ac:dyDescent="0.25">
      <c r="A31" s="193" t="s">
        <v>862</v>
      </c>
      <c r="B31" s="194"/>
      <c r="C31" s="195" t="s">
        <v>836</v>
      </c>
      <c r="D31" s="316">
        <f>+D26+D27+D30</f>
        <v>0</v>
      </c>
    </row>
    <row r="32" spans="1:4" s="74" customFormat="1" ht="12" customHeight="1" x14ac:dyDescent="0.2">
      <c r="A32" s="196"/>
      <c r="B32" s="196"/>
      <c r="C32" s="197"/>
      <c r="D32" s="314"/>
    </row>
    <row r="33" spans="1:4" ht="12" customHeight="1" thickBot="1" x14ac:dyDescent="0.25">
      <c r="A33" s="198"/>
      <c r="B33" s="199"/>
      <c r="C33" s="199"/>
      <c r="D33" s="315"/>
    </row>
    <row r="34" spans="1:4" ht="12" customHeight="1" thickBot="1" x14ac:dyDescent="0.25">
      <c r="A34" s="200"/>
      <c r="B34" s="201"/>
      <c r="C34" s="202" t="s">
        <v>1</v>
      </c>
      <c r="D34" s="316"/>
    </row>
    <row r="35" spans="1:4" ht="12" customHeight="1" thickBot="1" x14ac:dyDescent="0.25">
      <c r="A35" s="161" t="s">
        <v>855</v>
      </c>
      <c r="B35" s="24"/>
      <c r="C35" s="95" t="s">
        <v>815</v>
      </c>
      <c r="D35" s="271">
        <f>SUM(D36:D40)</f>
        <v>0</v>
      </c>
    </row>
    <row r="36" spans="1:4" ht="12" customHeight="1" x14ac:dyDescent="0.2">
      <c r="A36" s="203"/>
      <c r="B36" s="122" t="s">
        <v>40</v>
      </c>
      <c r="C36" s="11" t="s">
        <v>886</v>
      </c>
      <c r="D36" s="59"/>
    </row>
    <row r="37" spans="1:4" ht="12" customHeight="1" x14ac:dyDescent="0.2">
      <c r="A37" s="204"/>
      <c r="B37" s="120" t="s">
        <v>41</v>
      </c>
      <c r="C37" s="9" t="s">
        <v>144</v>
      </c>
      <c r="D37" s="62"/>
    </row>
    <row r="38" spans="1:4" ht="12" customHeight="1" x14ac:dyDescent="0.2">
      <c r="A38" s="204"/>
      <c r="B38" s="120" t="s">
        <v>42</v>
      </c>
      <c r="C38" s="9" t="s">
        <v>70</v>
      </c>
      <c r="D38" s="62"/>
    </row>
    <row r="39" spans="1:4" s="74" customFormat="1" ht="12" customHeight="1" x14ac:dyDescent="0.2">
      <c r="A39" s="204"/>
      <c r="B39" s="120" t="s">
        <v>43</v>
      </c>
      <c r="C39" s="9" t="s">
        <v>145</v>
      </c>
      <c r="D39" s="62"/>
    </row>
    <row r="40" spans="1:4" ht="12" customHeight="1" thickBot="1" x14ac:dyDescent="0.25">
      <c r="A40" s="204"/>
      <c r="B40" s="120" t="s">
        <v>53</v>
      </c>
      <c r="C40" s="9" t="s">
        <v>146</v>
      </c>
      <c r="D40" s="62"/>
    </row>
    <row r="41" spans="1:4" ht="12" customHeight="1" thickBot="1" x14ac:dyDescent="0.25">
      <c r="A41" s="161" t="s">
        <v>856</v>
      </c>
      <c r="B41" s="24"/>
      <c r="C41" s="95" t="s">
        <v>832</v>
      </c>
      <c r="D41" s="271">
        <f>SUM(D42:D45)</f>
        <v>0</v>
      </c>
    </row>
    <row r="42" spans="1:4" ht="12" customHeight="1" x14ac:dyDescent="0.2">
      <c r="A42" s="203"/>
      <c r="B42" s="122" t="s">
        <v>46</v>
      </c>
      <c r="C42" s="11" t="s">
        <v>250</v>
      </c>
      <c r="D42" s="59"/>
    </row>
    <row r="43" spans="1:4" ht="12" customHeight="1" x14ac:dyDescent="0.2">
      <c r="A43" s="204"/>
      <c r="B43" s="120" t="s">
        <v>47</v>
      </c>
      <c r="C43" s="9" t="s">
        <v>148</v>
      </c>
      <c r="D43" s="62"/>
    </row>
    <row r="44" spans="1:4" ht="15" customHeight="1" x14ac:dyDescent="0.2">
      <c r="A44" s="204"/>
      <c r="B44" s="120" t="s">
        <v>50</v>
      </c>
      <c r="C44" s="9" t="s">
        <v>2</v>
      </c>
      <c r="D44" s="62"/>
    </row>
    <row r="45" spans="1:4" ht="13.5" thickBot="1" x14ac:dyDescent="0.25">
      <c r="A45" s="204"/>
      <c r="B45" s="120" t="s">
        <v>60</v>
      </c>
      <c r="C45" s="9" t="s">
        <v>829</v>
      </c>
      <c r="D45" s="62"/>
    </row>
    <row r="46" spans="1:4" ht="15" customHeight="1" thickBot="1" x14ac:dyDescent="0.25">
      <c r="A46" s="161" t="s">
        <v>857</v>
      </c>
      <c r="B46" s="24"/>
      <c r="C46" s="24" t="s">
        <v>830</v>
      </c>
      <c r="D46" s="292"/>
    </row>
    <row r="47" spans="1:4" ht="14.25" customHeight="1" thickBot="1" x14ac:dyDescent="0.25">
      <c r="A47" s="193" t="s">
        <v>858</v>
      </c>
      <c r="B47" s="319"/>
      <c r="C47" s="320" t="s">
        <v>833</v>
      </c>
      <c r="D47" s="312"/>
    </row>
    <row r="48" spans="1:4" ht="13.5" thickBot="1" x14ac:dyDescent="0.25">
      <c r="A48" s="161" t="s">
        <v>859</v>
      </c>
      <c r="B48" s="190"/>
      <c r="C48" s="206" t="s">
        <v>831</v>
      </c>
      <c r="D48" s="317">
        <f>+D35+D41+D46+D47</f>
        <v>0</v>
      </c>
    </row>
    <row r="49" spans="1:4" ht="13.5" thickBot="1" x14ac:dyDescent="0.25">
      <c r="A49" s="207"/>
      <c r="B49" s="208"/>
      <c r="C49" s="208"/>
      <c r="D49" s="318"/>
    </row>
    <row r="50" spans="1:4" ht="13.5" thickBot="1" x14ac:dyDescent="0.25">
      <c r="A50" s="209" t="s">
        <v>182</v>
      </c>
      <c r="B50" s="210"/>
      <c r="C50" s="211"/>
      <c r="D50" s="93"/>
    </row>
    <row r="51" spans="1:4" ht="13.5" thickBot="1" x14ac:dyDescent="0.25">
      <c r="A51" s="209" t="s">
        <v>183</v>
      </c>
      <c r="B51" s="210"/>
      <c r="C51" s="211"/>
      <c r="D51" s="93"/>
    </row>
  </sheetData>
  <sheetProtection sheet="1" formatCells="0"/>
  <mergeCells count="2">
    <mergeCell ref="A2:B2"/>
    <mergeCell ref="A5:B5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view="pageLayout" zoomScaleNormal="100" zoomScaleSheetLayoutView="100" workbookViewId="0">
      <selection activeCell="H25" sqref="H25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1.33203125" style="516" hidden="1" customWidth="1"/>
    <col min="6" max="7" width="11.33203125" style="516" customWidth="1"/>
    <col min="8" max="9" width="11.33203125" style="4" customWidth="1"/>
    <col min="10" max="16384" width="9.33203125" style="4"/>
  </cols>
  <sheetData>
    <row r="1" spans="1:9" s="2" customFormat="1" ht="21" customHeight="1" thickBot="1" x14ac:dyDescent="0.25">
      <c r="A1" s="167"/>
      <c r="B1" s="168"/>
      <c r="C1" s="215"/>
      <c r="D1" s="682"/>
      <c r="E1" s="682"/>
      <c r="F1" s="733"/>
      <c r="G1" s="733"/>
    </row>
    <row r="2" spans="1:9" s="70" customFormat="1" ht="39.75" customHeight="1" thickBot="1" x14ac:dyDescent="0.25">
      <c r="A2" s="1651" t="s">
        <v>178</v>
      </c>
      <c r="B2" s="1652"/>
      <c r="C2" s="953" t="s">
        <v>642</v>
      </c>
      <c r="D2" s="954"/>
      <c r="E2" s="955" t="s">
        <v>7</v>
      </c>
      <c r="F2" s="1653" t="s">
        <v>7</v>
      </c>
      <c r="G2" s="1654"/>
      <c r="H2" s="1654"/>
      <c r="I2" s="1655"/>
    </row>
    <row r="3" spans="1:9" s="70" customFormat="1" ht="4.5" hidden="1" customHeight="1" thickBot="1" x14ac:dyDescent="0.25">
      <c r="A3" s="950" t="s">
        <v>177</v>
      </c>
      <c r="B3" s="951"/>
      <c r="C3" s="952" t="s">
        <v>187</v>
      </c>
      <c r="D3" s="683" t="s">
        <v>893</v>
      </c>
      <c r="E3" s="683" t="s">
        <v>893</v>
      </c>
      <c r="F3" s="683" t="s">
        <v>893</v>
      </c>
      <c r="G3" s="683" t="s">
        <v>893</v>
      </c>
    </row>
    <row r="4" spans="1:9" s="71" customFormat="1" ht="15.95" customHeight="1" thickBot="1" x14ac:dyDescent="0.3">
      <c r="A4" s="172"/>
      <c r="B4" s="172"/>
      <c r="C4" s="172"/>
      <c r="D4" s="173"/>
      <c r="E4" s="173" t="s">
        <v>894</v>
      </c>
      <c r="F4" s="173"/>
      <c r="I4" s="173" t="s">
        <v>894</v>
      </c>
    </row>
    <row r="5" spans="1:9" ht="39" thickBot="1" x14ac:dyDescent="0.25">
      <c r="A5" s="1651" t="s">
        <v>179</v>
      </c>
      <c r="B5" s="1652"/>
      <c r="C5" s="505" t="s">
        <v>895</v>
      </c>
      <c r="D5" s="684" t="s">
        <v>998</v>
      </c>
      <c r="E5" s="774" t="s">
        <v>999</v>
      </c>
      <c r="F5" s="963" t="s">
        <v>943</v>
      </c>
      <c r="G5" s="963" t="s">
        <v>1068</v>
      </c>
      <c r="H5" s="963" t="s">
        <v>1095</v>
      </c>
      <c r="I5" s="963" t="s">
        <v>1094</v>
      </c>
    </row>
    <row r="6" spans="1:9" s="54" customFormat="1" ht="12.95" customHeight="1" thickBot="1" x14ac:dyDescent="0.25">
      <c r="A6" s="153">
        <v>1</v>
      </c>
      <c r="B6" s="154">
        <v>2</v>
      </c>
      <c r="C6" s="506">
        <v>3</v>
      </c>
      <c r="D6" s="685">
        <v>4</v>
      </c>
      <c r="E6" s="775">
        <v>5</v>
      </c>
      <c r="F6" s="506">
        <v>4</v>
      </c>
      <c r="G6" s="506">
        <v>5</v>
      </c>
      <c r="H6" s="506">
        <v>6</v>
      </c>
      <c r="I6" s="506">
        <v>7</v>
      </c>
    </row>
    <row r="7" spans="1:9" s="54" customFormat="1" ht="15.95" customHeight="1" thickBot="1" x14ac:dyDescent="0.25">
      <c r="A7" s="176"/>
      <c r="B7" s="1661" t="s">
        <v>897</v>
      </c>
      <c r="C7" s="1661"/>
      <c r="D7" s="1661"/>
      <c r="E7" s="1661"/>
      <c r="F7" s="1661"/>
      <c r="G7" s="1661"/>
      <c r="H7" s="1661"/>
      <c r="I7" s="1662"/>
    </row>
    <row r="8" spans="1:9" s="72" customFormat="1" ht="12" customHeight="1" thickBot="1" x14ac:dyDescent="0.25">
      <c r="A8" s="153" t="s">
        <v>855</v>
      </c>
      <c r="B8" s="179"/>
      <c r="C8" s="523" t="s">
        <v>184</v>
      </c>
      <c r="D8" s="704">
        <v>0</v>
      </c>
      <c r="E8" s="511">
        <v>50</v>
      </c>
      <c r="F8" s="510">
        <f>SUM(F9:F16)</f>
        <v>0</v>
      </c>
      <c r="G8" s="291">
        <f>SUM(G9:G16)</f>
        <v>82</v>
      </c>
      <c r="H8" s="291">
        <f>SUM(H9:H16)</f>
        <v>82</v>
      </c>
      <c r="I8" s="1223">
        <v>1</v>
      </c>
    </row>
    <row r="9" spans="1:9" s="72" customFormat="1" ht="12" customHeight="1" x14ac:dyDescent="0.2">
      <c r="A9" s="183"/>
      <c r="B9" s="182" t="s">
        <v>40</v>
      </c>
      <c r="C9" s="524" t="s">
        <v>113</v>
      </c>
      <c r="D9" s="719"/>
      <c r="E9" s="776"/>
      <c r="F9" s="965"/>
      <c r="G9" s="689"/>
      <c r="H9" s="689"/>
      <c r="I9" s="689"/>
    </row>
    <row r="10" spans="1:9" s="72" customFormat="1" ht="12" customHeight="1" x14ac:dyDescent="0.2">
      <c r="A10" s="181"/>
      <c r="B10" s="182" t="s">
        <v>41</v>
      </c>
      <c r="C10" s="525" t="s">
        <v>114</v>
      </c>
      <c r="D10" s="706">
        <v>155</v>
      </c>
      <c r="E10" s="777">
        <v>50</v>
      </c>
      <c r="F10" s="966"/>
      <c r="G10" s="688">
        <f>50+32</f>
        <v>82</v>
      </c>
      <c r="H10" s="688">
        <v>82</v>
      </c>
      <c r="I10" s="1218">
        <v>1</v>
      </c>
    </row>
    <row r="11" spans="1:9" s="72" customFormat="1" ht="12" customHeight="1" x14ac:dyDescent="0.2">
      <c r="A11" s="181"/>
      <c r="B11" s="182" t="s">
        <v>42</v>
      </c>
      <c r="C11" s="525" t="s">
        <v>115</v>
      </c>
      <c r="D11" s="706"/>
      <c r="E11" s="777"/>
      <c r="F11" s="966"/>
      <c r="G11" s="688"/>
      <c r="H11" s="688"/>
      <c r="I11" s="688"/>
    </row>
    <row r="12" spans="1:9" s="72" customFormat="1" ht="12" customHeight="1" x14ac:dyDescent="0.2">
      <c r="A12" s="181"/>
      <c r="B12" s="182" t="s">
        <v>43</v>
      </c>
      <c r="C12" s="525" t="s">
        <v>116</v>
      </c>
      <c r="D12" s="706"/>
      <c r="E12" s="777"/>
      <c r="F12" s="966"/>
      <c r="G12" s="688"/>
      <c r="H12" s="688"/>
      <c r="I12" s="688"/>
    </row>
    <row r="13" spans="1:9" s="72" customFormat="1" ht="12" customHeight="1" x14ac:dyDescent="0.2">
      <c r="A13" s="181"/>
      <c r="B13" s="182" t="s">
        <v>72</v>
      </c>
      <c r="C13" s="526" t="s">
        <v>117</v>
      </c>
      <c r="D13" s="706"/>
      <c r="E13" s="777"/>
      <c r="F13" s="966"/>
      <c r="G13" s="688"/>
      <c r="H13" s="688"/>
      <c r="I13" s="688"/>
    </row>
    <row r="14" spans="1:9" s="72" customFormat="1" ht="12" customHeight="1" x14ac:dyDescent="0.2">
      <c r="A14" s="184"/>
      <c r="B14" s="182" t="s">
        <v>44</v>
      </c>
      <c r="C14" s="525" t="s">
        <v>118</v>
      </c>
      <c r="D14" s="720"/>
      <c r="E14" s="778"/>
      <c r="F14" s="967"/>
      <c r="G14" s="690"/>
      <c r="H14" s="690"/>
      <c r="I14" s="690"/>
    </row>
    <row r="15" spans="1:9" s="73" customFormat="1" ht="12" customHeight="1" x14ac:dyDescent="0.2">
      <c r="A15" s="181"/>
      <c r="B15" s="182" t="s">
        <v>45</v>
      </c>
      <c r="C15" s="525" t="s">
        <v>820</v>
      </c>
      <c r="D15" s="706"/>
      <c r="E15" s="777"/>
      <c r="F15" s="966"/>
      <c r="G15" s="688"/>
      <c r="H15" s="688"/>
      <c r="I15" s="688"/>
    </row>
    <row r="16" spans="1:9" s="73" customFormat="1" ht="12" customHeight="1" thickBot="1" x14ac:dyDescent="0.25">
      <c r="A16" s="185"/>
      <c r="B16" s="186" t="s">
        <v>54</v>
      </c>
      <c r="C16" s="526" t="s">
        <v>175</v>
      </c>
      <c r="D16" s="707"/>
      <c r="E16" s="779"/>
      <c r="F16" s="968"/>
      <c r="G16" s="691"/>
      <c r="H16" s="691"/>
      <c r="I16" s="691"/>
    </row>
    <row r="17" spans="1:9" s="72" customFormat="1" ht="12" customHeight="1" thickBot="1" x14ac:dyDescent="0.25">
      <c r="A17" s="153" t="s">
        <v>856</v>
      </c>
      <c r="B17" s="179"/>
      <c r="C17" s="523" t="s">
        <v>821</v>
      </c>
      <c r="D17" s="704">
        <v>0</v>
      </c>
      <c r="E17" s="511">
        <v>0</v>
      </c>
      <c r="F17" s="510">
        <f>SUM(F18:F21)</f>
        <v>0</v>
      </c>
      <c r="G17" s="291">
        <f>SUM(G18:G21)</f>
        <v>0</v>
      </c>
      <c r="H17" s="291"/>
      <c r="I17" s="291"/>
    </row>
    <row r="18" spans="1:9" s="73" customFormat="1" ht="12" customHeight="1" x14ac:dyDescent="0.2">
      <c r="A18" s="181"/>
      <c r="B18" s="182" t="s">
        <v>46</v>
      </c>
      <c r="C18" s="527" t="s">
        <v>817</v>
      </c>
      <c r="D18" s="706"/>
      <c r="E18" s="777"/>
      <c r="F18" s="966"/>
      <c r="G18" s="688"/>
      <c r="H18" s="688"/>
      <c r="I18" s="688"/>
    </row>
    <row r="19" spans="1:9" s="73" customFormat="1" ht="12" customHeight="1" x14ac:dyDescent="0.2">
      <c r="A19" s="181"/>
      <c r="B19" s="182" t="s">
        <v>47</v>
      </c>
      <c r="C19" s="525" t="s">
        <v>818</v>
      </c>
      <c r="D19" s="706"/>
      <c r="E19" s="777"/>
      <c r="F19" s="966"/>
      <c r="G19" s="688"/>
      <c r="H19" s="688"/>
      <c r="I19" s="688"/>
    </row>
    <row r="20" spans="1:9" s="73" customFormat="1" ht="12" customHeight="1" x14ac:dyDescent="0.2">
      <c r="A20" s="181"/>
      <c r="B20" s="182" t="s">
        <v>48</v>
      </c>
      <c r="C20" s="525" t="s">
        <v>819</v>
      </c>
      <c r="D20" s="706"/>
      <c r="E20" s="777"/>
      <c r="F20" s="966"/>
      <c r="G20" s="688"/>
      <c r="H20" s="688"/>
      <c r="I20" s="688"/>
    </row>
    <row r="21" spans="1:9" s="73" customFormat="1" ht="12" customHeight="1" thickBot="1" x14ac:dyDescent="0.25">
      <c r="A21" s="181"/>
      <c r="B21" s="182" t="s">
        <v>49</v>
      </c>
      <c r="C21" s="525" t="s">
        <v>818</v>
      </c>
      <c r="D21" s="706"/>
      <c r="E21" s="777"/>
      <c r="F21" s="966"/>
      <c r="G21" s="688"/>
      <c r="H21" s="688"/>
      <c r="I21" s="688"/>
    </row>
    <row r="22" spans="1:9" s="73" customFormat="1" ht="12" customHeight="1" thickBot="1" x14ac:dyDescent="0.25">
      <c r="A22" s="161" t="s">
        <v>857</v>
      </c>
      <c r="B22" s="95"/>
      <c r="C22" s="528" t="s">
        <v>822</v>
      </c>
      <c r="D22" s="704">
        <v>0</v>
      </c>
      <c r="E22" s="511">
        <v>0</v>
      </c>
      <c r="F22" s="510">
        <f>+F23+F24</f>
        <v>0</v>
      </c>
      <c r="G22" s="291">
        <f>+G23+G24</f>
        <v>0</v>
      </c>
      <c r="H22" s="291"/>
      <c r="I22" s="291"/>
    </row>
    <row r="23" spans="1:9" s="72" customFormat="1" ht="12" customHeight="1" x14ac:dyDescent="0.2">
      <c r="A23" s="306"/>
      <c r="B23" s="326" t="s">
        <v>20</v>
      </c>
      <c r="C23" s="529" t="s">
        <v>218</v>
      </c>
      <c r="D23" s="711"/>
      <c r="E23" s="780"/>
      <c r="F23" s="969"/>
      <c r="G23" s="712"/>
      <c r="H23" s="712"/>
      <c r="I23" s="712"/>
    </row>
    <row r="24" spans="1:9" s="72" customFormat="1" ht="12" customHeight="1" thickBot="1" x14ac:dyDescent="0.25">
      <c r="A24" s="324"/>
      <c r="B24" s="325" t="s">
        <v>21</v>
      </c>
      <c r="C24" s="530" t="s">
        <v>222</v>
      </c>
      <c r="D24" s="721"/>
      <c r="E24" s="781"/>
      <c r="F24" s="970"/>
      <c r="G24" s="718"/>
      <c r="H24" s="718"/>
      <c r="I24" s="718"/>
    </row>
    <row r="25" spans="1:9" s="72" customFormat="1" ht="12" customHeight="1" thickBot="1" x14ac:dyDescent="0.25">
      <c r="A25" s="161" t="s">
        <v>858</v>
      </c>
      <c r="B25" s="179"/>
      <c r="C25" s="528" t="s">
        <v>839</v>
      </c>
      <c r="D25" s="713">
        <v>72990</v>
      </c>
      <c r="E25" s="659">
        <v>72656</v>
      </c>
      <c r="F25" s="644">
        <v>61397</v>
      </c>
      <c r="G25" s="668">
        <f>61397-8622+2068+78+436+370+46+13-2400</f>
        <v>53386</v>
      </c>
      <c r="H25" s="668">
        <v>53257</v>
      </c>
      <c r="I25" s="1224">
        <f>H25/G25</f>
        <v>0.99758363615929269</v>
      </c>
    </row>
    <row r="26" spans="1:9" s="72" customFormat="1" ht="12" customHeight="1" thickBot="1" x14ac:dyDescent="0.25">
      <c r="A26" s="153" t="s">
        <v>859</v>
      </c>
      <c r="B26" s="125"/>
      <c r="C26" s="528" t="s">
        <v>835</v>
      </c>
      <c r="D26" s="704">
        <v>73145</v>
      </c>
      <c r="E26" s="511">
        <f>+E8+E17+E22+E25</f>
        <v>72706</v>
      </c>
      <c r="F26" s="510">
        <f>+F8+F17+F22+F25</f>
        <v>61397</v>
      </c>
      <c r="G26" s="291">
        <f>+G8+G17+G22+G25</f>
        <v>53468</v>
      </c>
      <c r="H26" s="291">
        <f>H25+H8</f>
        <v>53339</v>
      </c>
      <c r="I26" s="1223">
        <f>H26/G26</f>
        <v>0.99758734196154708</v>
      </c>
    </row>
    <row r="27" spans="1:9" s="73" customFormat="1" ht="12" customHeight="1" thickBot="1" x14ac:dyDescent="0.25">
      <c r="A27" s="321" t="s">
        <v>860</v>
      </c>
      <c r="B27" s="330"/>
      <c r="C27" s="531" t="s">
        <v>837</v>
      </c>
      <c r="D27" s="709">
        <v>414</v>
      </c>
      <c r="E27" s="782">
        <v>4312</v>
      </c>
      <c r="F27" s="971">
        <f>+F28+F29+F30</f>
        <v>0</v>
      </c>
      <c r="G27" s="710">
        <f>+G28+G29+G30</f>
        <v>8622</v>
      </c>
      <c r="H27" s="710">
        <f>+H28+H29+H30</f>
        <v>8622</v>
      </c>
      <c r="I27" s="1222">
        <v>1</v>
      </c>
    </row>
    <row r="28" spans="1:9" s="73" customFormat="1" ht="15" customHeight="1" x14ac:dyDescent="0.2">
      <c r="A28" s="183"/>
      <c r="B28" s="123" t="s">
        <v>27</v>
      </c>
      <c r="C28" s="529" t="s">
        <v>325</v>
      </c>
      <c r="D28" s="711">
        <v>414</v>
      </c>
      <c r="E28" s="780">
        <v>4312</v>
      </c>
      <c r="F28" s="969"/>
      <c r="G28" s="712">
        <v>8622</v>
      </c>
      <c r="H28" s="712">
        <v>8622</v>
      </c>
      <c r="I28" s="1221">
        <v>1</v>
      </c>
    </row>
    <row r="29" spans="1:9" s="73" customFormat="1" ht="15" customHeight="1" x14ac:dyDescent="0.2">
      <c r="A29" s="521"/>
      <c r="B29" s="126" t="s">
        <v>28</v>
      </c>
      <c r="C29" s="532" t="s">
        <v>825</v>
      </c>
      <c r="D29" s="722"/>
      <c r="E29" s="654"/>
      <c r="F29" s="975"/>
      <c r="G29" s="667"/>
      <c r="H29" s="667"/>
      <c r="I29" s="667"/>
    </row>
    <row r="30" spans="1:9" s="73" customFormat="1" ht="15" customHeight="1" thickBot="1" x14ac:dyDescent="0.25">
      <c r="A30" s="331"/>
      <c r="B30" s="522" t="s">
        <v>904</v>
      </c>
      <c r="C30" s="533" t="s">
        <v>906</v>
      </c>
      <c r="D30" s="723"/>
      <c r="E30" s="783"/>
      <c r="F30" s="972"/>
      <c r="G30" s="701"/>
      <c r="H30" s="701"/>
      <c r="I30" s="701"/>
    </row>
    <row r="31" spans="1:9" ht="13.5" thickBot="1" x14ac:dyDescent="0.25">
      <c r="A31" s="193" t="s">
        <v>861</v>
      </c>
      <c r="B31" s="319"/>
      <c r="C31" s="534" t="s">
        <v>838</v>
      </c>
      <c r="D31" s="713"/>
      <c r="E31" s="659"/>
      <c r="F31" s="644"/>
      <c r="G31" s="668"/>
      <c r="H31" s="668"/>
      <c r="I31" s="668"/>
    </row>
    <row r="32" spans="1:9" s="54" customFormat="1" ht="16.5" customHeight="1" thickBot="1" x14ac:dyDescent="0.25">
      <c r="A32" s="193" t="s">
        <v>862</v>
      </c>
      <c r="B32" s="194"/>
      <c r="C32" s="535" t="s">
        <v>836</v>
      </c>
      <c r="D32" s="714">
        <v>73559</v>
      </c>
      <c r="E32" s="784">
        <f>+E26+E27+E31</f>
        <v>77018</v>
      </c>
      <c r="F32" s="973">
        <f>+F26+F27+F31</f>
        <v>61397</v>
      </c>
      <c r="G32" s="715">
        <f>+G26+G27+G31</f>
        <v>62090</v>
      </c>
      <c r="H32" s="715">
        <f>+H26+H27+H31</f>
        <v>61961</v>
      </c>
      <c r="I32" s="1220">
        <f>H32/G32</f>
        <v>0.99792237075213397</v>
      </c>
    </row>
    <row r="33" spans="1:9" s="74" customFormat="1" ht="12" customHeight="1" x14ac:dyDescent="0.2">
      <c r="A33" s="196"/>
      <c r="B33" s="196"/>
      <c r="C33" s="197"/>
      <c r="D33" s="716"/>
      <c r="E33" s="716"/>
      <c r="F33" s="716"/>
      <c r="G33" s="716"/>
    </row>
    <row r="34" spans="1:9" ht="12" customHeight="1" thickBot="1" x14ac:dyDescent="0.25">
      <c r="A34" s="198"/>
      <c r="B34" s="199"/>
      <c r="C34" s="199"/>
      <c r="D34" s="703"/>
      <c r="E34" s="703"/>
      <c r="F34" s="703"/>
      <c r="G34" s="703"/>
    </row>
    <row r="35" spans="1:9" ht="39" thickBot="1" x14ac:dyDescent="0.25">
      <c r="A35" s="200"/>
      <c r="B35" s="201"/>
      <c r="C35" s="202" t="s">
        <v>1</v>
      </c>
      <c r="D35" s="684" t="s">
        <v>998</v>
      </c>
      <c r="E35" s="774" t="s">
        <v>999</v>
      </c>
      <c r="F35" s="963" t="s">
        <v>943</v>
      </c>
      <c r="G35" s="963" t="s">
        <v>1068</v>
      </c>
      <c r="H35" s="963" t="s">
        <v>1095</v>
      </c>
      <c r="I35" s="963" t="s">
        <v>1094</v>
      </c>
    </row>
    <row r="36" spans="1:9" ht="12" customHeight="1" thickBot="1" x14ac:dyDescent="0.25">
      <c r="A36" s="161" t="s">
        <v>855</v>
      </c>
      <c r="B36" s="24"/>
      <c r="C36" s="528" t="s">
        <v>815</v>
      </c>
      <c r="D36" s="704">
        <v>73410</v>
      </c>
      <c r="E36" s="511">
        <f>SUM(E37:E41)</f>
        <v>77018</v>
      </c>
      <c r="F36" s="510">
        <f>SUM(F37:F41)</f>
        <v>61397</v>
      </c>
      <c r="G36" s="291">
        <f>SUM(G37:G41)</f>
        <v>62090</v>
      </c>
      <c r="H36" s="291">
        <f>SUM(H37:H41)</f>
        <v>52701</v>
      </c>
      <c r="I36" s="1223">
        <f>H36/G36</f>
        <v>0.84878402319214041</v>
      </c>
    </row>
    <row r="37" spans="1:9" ht="12" customHeight="1" x14ac:dyDescent="0.2">
      <c r="A37" s="203"/>
      <c r="B37" s="122" t="s">
        <v>40</v>
      </c>
      <c r="C37" s="527" t="s">
        <v>886</v>
      </c>
      <c r="D37" s="708">
        <v>40051</v>
      </c>
      <c r="E37" s="649">
        <v>42488</v>
      </c>
      <c r="F37" s="641">
        <f>35716+1120+1541+901+510+220</f>
        <v>40008</v>
      </c>
      <c r="G37" s="665">
        <f>35716+1120+1541+901+510+220+63+67+46</f>
        <v>40184</v>
      </c>
      <c r="H37" s="665">
        <v>34442</v>
      </c>
      <c r="I37" s="1225">
        <f>H37/G37</f>
        <v>0.85710730639060317</v>
      </c>
    </row>
    <row r="38" spans="1:9" ht="12" customHeight="1" x14ac:dyDescent="0.2">
      <c r="A38" s="204"/>
      <c r="B38" s="120" t="s">
        <v>41</v>
      </c>
      <c r="C38" s="525" t="s">
        <v>144</v>
      </c>
      <c r="D38" s="705">
        <v>9939</v>
      </c>
      <c r="E38" s="651">
        <v>10997</v>
      </c>
      <c r="F38" s="642">
        <v>10893</v>
      </c>
      <c r="G38" s="666">
        <f>10893+15+19+13</f>
        <v>10940</v>
      </c>
      <c r="H38" s="666">
        <v>9126</v>
      </c>
      <c r="I38" s="1225">
        <f t="shared" ref="I38:I40" si="0">H38/G38</f>
        <v>0.8341864716636197</v>
      </c>
    </row>
    <row r="39" spans="1:9" ht="12" customHeight="1" x14ac:dyDescent="0.2">
      <c r="A39" s="204"/>
      <c r="B39" s="120" t="s">
        <v>42</v>
      </c>
      <c r="C39" s="525" t="s">
        <v>70</v>
      </c>
      <c r="D39" s="705">
        <v>10404</v>
      </c>
      <c r="E39" s="651">
        <v>11961</v>
      </c>
      <c r="F39" s="642">
        <v>10106</v>
      </c>
      <c r="G39" s="666">
        <f>10106+50+200-1525+32</f>
        <v>8863</v>
      </c>
      <c r="H39" s="666">
        <v>7040</v>
      </c>
      <c r="I39" s="1225">
        <f t="shared" si="0"/>
        <v>0.79431343788784836</v>
      </c>
    </row>
    <row r="40" spans="1:9" s="74" customFormat="1" ht="12" customHeight="1" x14ac:dyDescent="0.2">
      <c r="A40" s="204"/>
      <c r="B40" s="120" t="s">
        <v>43</v>
      </c>
      <c r="C40" s="525" t="s">
        <v>145</v>
      </c>
      <c r="D40" s="705">
        <v>12995</v>
      </c>
      <c r="E40" s="651">
        <v>11542</v>
      </c>
      <c r="F40" s="642">
        <v>390</v>
      </c>
      <c r="G40" s="666">
        <f>390+2068+150+370-196-356-323</f>
        <v>2103</v>
      </c>
      <c r="H40" s="666">
        <v>2093</v>
      </c>
      <c r="I40" s="1225">
        <f t="shared" si="0"/>
        <v>0.99524488825487401</v>
      </c>
    </row>
    <row r="41" spans="1:9" ht="12" customHeight="1" thickBot="1" x14ac:dyDescent="0.25">
      <c r="A41" s="204"/>
      <c r="B41" s="120" t="s">
        <v>53</v>
      </c>
      <c r="C41" s="525" t="s">
        <v>146</v>
      </c>
      <c r="D41" s="705">
        <v>21</v>
      </c>
      <c r="E41" s="651">
        <v>30</v>
      </c>
      <c r="F41" s="642"/>
      <c r="G41" s="666"/>
      <c r="H41" s="666"/>
      <c r="I41" s="666"/>
    </row>
    <row r="42" spans="1:9" ht="12" customHeight="1" thickBot="1" x14ac:dyDescent="0.25">
      <c r="A42" s="161" t="s">
        <v>856</v>
      </c>
      <c r="B42" s="24"/>
      <c r="C42" s="528" t="s">
        <v>832</v>
      </c>
      <c r="D42" s="704">
        <v>0</v>
      </c>
      <c r="E42" s="511">
        <v>0</v>
      </c>
      <c r="F42" s="510">
        <f>SUM(F43:F46)</f>
        <v>0</v>
      </c>
      <c r="G42" s="291">
        <f>SUM(G43:G46)</f>
        <v>0</v>
      </c>
      <c r="H42" s="291"/>
      <c r="I42" s="291"/>
    </row>
    <row r="43" spans="1:9" ht="12" customHeight="1" x14ac:dyDescent="0.2">
      <c r="A43" s="203"/>
      <c r="B43" s="122" t="s">
        <v>46</v>
      </c>
      <c r="C43" s="527" t="s">
        <v>250</v>
      </c>
      <c r="D43" s="708"/>
      <c r="E43" s="649"/>
      <c r="F43" s="641"/>
      <c r="G43" s="665"/>
      <c r="H43" s="665"/>
      <c r="I43" s="665"/>
    </row>
    <row r="44" spans="1:9" ht="12" customHeight="1" x14ac:dyDescent="0.2">
      <c r="A44" s="204"/>
      <c r="B44" s="120" t="s">
        <v>47</v>
      </c>
      <c r="C44" s="525" t="s">
        <v>148</v>
      </c>
      <c r="D44" s="705"/>
      <c r="E44" s="651"/>
      <c r="F44" s="642"/>
      <c r="G44" s="666"/>
      <c r="H44" s="666"/>
      <c r="I44" s="666"/>
    </row>
    <row r="45" spans="1:9" ht="15" customHeight="1" x14ac:dyDescent="0.2">
      <c r="A45" s="204"/>
      <c r="B45" s="120" t="s">
        <v>50</v>
      </c>
      <c r="C45" s="525" t="s">
        <v>2</v>
      </c>
      <c r="D45" s="705"/>
      <c r="E45" s="651"/>
      <c r="F45" s="642"/>
      <c r="G45" s="666"/>
      <c r="H45" s="666"/>
      <c r="I45" s="666"/>
    </row>
    <row r="46" spans="1:9" ht="13.5" thickBot="1" x14ac:dyDescent="0.25">
      <c r="A46" s="204"/>
      <c r="B46" s="120" t="s">
        <v>60</v>
      </c>
      <c r="C46" s="525" t="s">
        <v>829</v>
      </c>
      <c r="D46" s="705"/>
      <c r="E46" s="651"/>
      <c r="F46" s="642"/>
      <c r="G46" s="666"/>
      <c r="H46" s="666"/>
      <c r="I46" s="666"/>
    </row>
    <row r="47" spans="1:9" ht="15" customHeight="1" thickBot="1" x14ac:dyDescent="0.25">
      <c r="A47" s="161" t="s">
        <v>857</v>
      </c>
      <c r="B47" s="24"/>
      <c r="C47" s="536" t="s">
        <v>830</v>
      </c>
      <c r="D47" s="713"/>
      <c r="E47" s="659"/>
      <c r="F47" s="644"/>
      <c r="G47" s="668"/>
      <c r="H47" s="668"/>
      <c r="I47" s="668"/>
    </row>
    <row r="48" spans="1:9" ht="14.25" customHeight="1" thickBot="1" x14ac:dyDescent="0.25">
      <c r="A48" s="193" t="s">
        <v>858</v>
      </c>
      <c r="B48" s="319"/>
      <c r="C48" s="534" t="s">
        <v>833</v>
      </c>
      <c r="D48" s="713">
        <v>-312</v>
      </c>
      <c r="E48" s="659"/>
      <c r="F48" s="644"/>
      <c r="G48" s="668"/>
      <c r="H48" s="668"/>
      <c r="I48" s="668"/>
    </row>
    <row r="49" spans="1:9" ht="13.5" thickBot="1" x14ac:dyDescent="0.25">
      <c r="A49" s="161" t="s">
        <v>859</v>
      </c>
      <c r="B49" s="190"/>
      <c r="C49" s="537" t="s">
        <v>831</v>
      </c>
      <c r="D49" s="714">
        <v>73098</v>
      </c>
      <c r="E49" s="784">
        <f>+E36+E42+E47+E48</f>
        <v>77018</v>
      </c>
      <c r="F49" s="973">
        <f>+F36+F42+F47+F48</f>
        <v>61397</v>
      </c>
      <c r="G49" s="715">
        <f>+G36+G42+G47+G48</f>
        <v>62090</v>
      </c>
      <c r="H49" s="715">
        <f>+H36+H42+H47+H48</f>
        <v>52701</v>
      </c>
      <c r="I49" s="1220">
        <f>H49/G49</f>
        <v>0.84878402319214041</v>
      </c>
    </row>
    <row r="50" spans="1:9" x14ac:dyDescent="0.2">
      <c r="A50" s="207"/>
      <c r="B50" s="208"/>
      <c r="C50" s="208"/>
      <c r="D50" s="519"/>
      <c r="E50" s="519"/>
      <c r="F50" s="519"/>
      <c r="G50" s="519"/>
    </row>
    <row r="51" spans="1:9" ht="13.5" hidden="1" thickBot="1" x14ac:dyDescent="0.25">
      <c r="A51" s="209" t="s">
        <v>182</v>
      </c>
      <c r="B51" s="210"/>
      <c r="C51" s="211"/>
      <c r="D51" s="93"/>
      <c r="E51" s="93"/>
      <c r="F51" s="93"/>
      <c r="G51" s="93"/>
    </row>
    <row r="52" spans="1:9" ht="13.5" hidden="1" thickBot="1" x14ac:dyDescent="0.25">
      <c r="A52" s="209" t="s">
        <v>183</v>
      </c>
      <c r="B52" s="210"/>
      <c r="C52" s="211"/>
      <c r="D52" s="93"/>
      <c r="E52" s="93"/>
      <c r="F52" s="93"/>
      <c r="G52" s="93"/>
    </row>
    <row r="54" spans="1:9" x14ac:dyDescent="0.2">
      <c r="E54" s="732"/>
    </row>
  </sheetData>
  <mergeCells count="4">
    <mergeCell ref="A2:B2"/>
    <mergeCell ref="A5:B5"/>
    <mergeCell ref="F2:I2"/>
    <mergeCell ref="B7:I7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&amp;R&amp;"Times New Roman CE,Félkövér"&amp;11 10. melléklet a 3/2016. (IV.29.)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Layout" zoomScaleNormal="100" zoomScaleSheetLayoutView="100" workbookViewId="0">
      <selection activeCell="H28" activeCellId="2" sqref="H8 H23 H28"/>
    </sheetView>
  </sheetViews>
  <sheetFormatPr defaultColWidth="9.33203125" defaultRowHeight="12.75" x14ac:dyDescent="0.2"/>
  <cols>
    <col min="1" max="1" width="4.83203125" style="504" customWidth="1"/>
    <col min="2" max="2" width="8.83203125" style="492" customWidth="1"/>
    <col min="3" max="3" width="71.83203125" style="492" customWidth="1"/>
    <col min="4" max="4" width="11.33203125" style="492" hidden="1" customWidth="1"/>
    <col min="5" max="5" width="11.33203125" style="516" hidden="1" customWidth="1"/>
    <col min="6" max="6" width="11.33203125" style="949" customWidth="1"/>
    <col min="7" max="9" width="11.33203125" style="492" customWidth="1"/>
    <col min="10" max="16384" width="9.33203125" style="492"/>
  </cols>
  <sheetData>
    <row r="1" spans="1:9" s="489" customFormat="1" ht="21" customHeight="1" thickBot="1" x14ac:dyDescent="0.25">
      <c r="A1" s="167"/>
      <c r="B1" s="168"/>
      <c r="C1" s="1663"/>
      <c r="D1" s="1663"/>
      <c r="E1" s="1663"/>
      <c r="F1" s="946"/>
      <c r="G1" s="717"/>
    </row>
    <row r="2" spans="1:9" s="490" customFormat="1" ht="38.25" customHeight="1" thickBot="1" x14ac:dyDescent="0.25">
      <c r="A2" s="1651" t="s">
        <v>178</v>
      </c>
      <c r="B2" s="1652"/>
      <c r="C2" s="953" t="s">
        <v>443</v>
      </c>
      <c r="D2" s="954"/>
      <c r="E2" s="955" t="s">
        <v>8</v>
      </c>
      <c r="F2" s="1653" t="s">
        <v>8</v>
      </c>
      <c r="G2" s="1654"/>
      <c r="H2" s="1654"/>
      <c r="I2" s="1655"/>
    </row>
    <row r="3" spans="1:9" s="490" customFormat="1" ht="16.5" hidden="1" thickBot="1" x14ac:dyDescent="0.25">
      <c r="A3" s="950" t="s">
        <v>177</v>
      </c>
      <c r="B3" s="951"/>
      <c r="C3" s="952" t="s">
        <v>187</v>
      </c>
      <c r="D3" s="683" t="s">
        <v>893</v>
      </c>
      <c r="E3" s="683" t="s">
        <v>893</v>
      </c>
      <c r="F3" s="683" t="s">
        <v>893</v>
      </c>
      <c r="G3" s="683" t="s">
        <v>893</v>
      </c>
    </row>
    <row r="4" spans="1:9" s="491" customFormat="1" ht="15.95" customHeight="1" thickBot="1" x14ac:dyDescent="0.3">
      <c r="A4" s="172"/>
      <c r="B4" s="172"/>
      <c r="C4" s="172"/>
      <c r="D4" s="173"/>
      <c r="E4" s="173" t="s">
        <v>894</v>
      </c>
      <c r="F4" s="173"/>
      <c r="I4" s="173" t="s">
        <v>894</v>
      </c>
    </row>
    <row r="5" spans="1:9" ht="39" thickBot="1" x14ac:dyDescent="0.25">
      <c r="A5" s="1651" t="s">
        <v>179</v>
      </c>
      <c r="B5" s="1652"/>
      <c r="C5" s="505" t="s">
        <v>895</v>
      </c>
      <c r="D5" s="684" t="s">
        <v>998</v>
      </c>
      <c r="E5" s="774" t="s">
        <v>999</v>
      </c>
      <c r="F5" s="774" t="s">
        <v>943</v>
      </c>
      <c r="G5" s="963" t="s">
        <v>1068</v>
      </c>
      <c r="H5" s="963" t="s">
        <v>1095</v>
      </c>
      <c r="I5" s="963" t="s">
        <v>1094</v>
      </c>
    </row>
    <row r="6" spans="1:9" s="493" customFormat="1" ht="12.95" customHeight="1" thickBot="1" x14ac:dyDescent="0.25">
      <c r="A6" s="153">
        <v>1</v>
      </c>
      <c r="B6" s="154">
        <v>2</v>
      </c>
      <c r="C6" s="506">
        <v>3</v>
      </c>
      <c r="D6" s="685">
        <v>4</v>
      </c>
      <c r="E6" s="775">
        <v>5</v>
      </c>
      <c r="F6" s="775">
        <v>4</v>
      </c>
      <c r="G6" s="964">
        <v>5</v>
      </c>
      <c r="H6" s="964">
        <v>6</v>
      </c>
      <c r="I6" s="964">
        <v>7</v>
      </c>
    </row>
    <row r="7" spans="1:9" s="493" customFormat="1" ht="15.95" customHeight="1" thickBot="1" x14ac:dyDescent="0.25">
      <c r="A7" s="1651" t="s">
        <v>897</v>
      </c>
      <c r="B7" s="1661"/>
      <c r="C7" s="1661"/>
      <c r="D7" s="1661"/>
      <c r="E7" s="1661"/>
      <c r="F7" s="1661"/>
      <c r="G7" s="1661"/>
      <c r="H7" s="1661"/>
      <c r="I7" s="1662"/>
    </row>
    <row r="8" spans="1:9" s="494" customFormat="1" ht="12" customHeight="1" thickBot="1" x14ac:dyDescent="0.25">
      <c r="A8" s="153" t="s">
        <v>855</v>
      </c>
      <c r="B8" s="179"/>
      <c r="C8" s="523" t="s">
        <v>184</v>
      </c>
      <c r="D8" s="704">
        <v>5904</v>
      </c>
      <c r="E8" s="511">
        <v>5995</v>
      </c>
      <c r="F8" s="511">
        <f>SUM(F9:F16)</f>
        <v>5034</v>
      </c>
      <c r="G8" s="510">
        <f>SUM(G9:G16)</f>
        <v>5045</v>
      </c>
      <c r="H8" s="510">
        <f>SUM(H9:H16)</f>
        <v>4835</v>
      </c>
      <c r="I8" s="1230">
        <f>H8/G8</f>
        <v>0.95837462834489595</v>
      </c>
    </row>
    <row r="9" spans="1:9" s="494" customFormat="1" ht="12" customHeight="1" x14ac:dyDescent="0.2">
      <c r="A9" s="183"/>
      <c r="B9" s="182" t="s">
        <v>40</v>
      </c>
      <c r="C9" s="524" t="s">
        <v>113</v>
      </c>
      <c r="D9" s="719"/>
      <c r="E9" s="776"/>
      <c r="F9" s="776"/>
      <c r="G9" s="965"/>
      <c r="H9" s="965"/>
      <c r="I9" s="965"/>
    </row>
    <row r="10" spans="1:9" s="494" customFormat="1" ht="12" customHeight="1" x14ac:dyDescent="0.2">
      <c r="A10" s="181"/>
      <c r="B10" s="182" t="s">
        <v>41</v>
      </c>
      <c r="C10" s="525" t="s">
        <v>114</v>
      </c>
      <c r="D10" s="706"/>
      <c r="E10" s="777"/>
      <c r="F10" s="777"/>
      <c r="G10" s="966">
        <v>11</v>
      </c>
      <c r="H10" s="966">
        <v>11</v>
      </c>
      <c r="I10" s="1236">
        <v>1</v>
      </c>
    </row>
    <row r="11" spans="1:9" s="494" customFormat="1" ht="12" customHeight="1" x14ac:dyDescent="0.2">
      <c r="A11" s="181"/>
      <c r="B11" s="182" t="s">
        <v>42</v>
      </c>
      <c r="C11" s="525" t="s">
        <v>115</v>
      </c>
      <c r="D11" s="706"/>
      <c r="E11" s="777"/>
      <c r="F11" s="777"/>
      <c r="G11" s="966"/>
      <c r="H11" s="966"/>
      <c r="I11" s="1226"/>
    </row>
    <row r="12" spans="1:9" s="494" customFormat="1" ht="12" customHeight="1" x14ac:dyDescent="0.2">
      <c r="A12" s="181"/>
      <c r="B12" s="182" t="s">
        <v>43</v>
      </c>
      <c r="C12" s="525" t="s">
        <v>116</v>
      </c>
      <c r="D12" s="706">
        <v>4649</v>
      </c>
      <c r="E12" s="777">
        <v>4781</v>
      </c>
      <c r="F12" s="777">
        <v>3970</v>
      </c>
      <c r="G12" s="966">
        <v>3970</v>
      </c>
      <c r="H12" s="966">
        <v>3798</v>
      </c>
      <c r="I12" s="1236">
        <f>H12/G12</f>
        <v>0.95667506297229221</v>
      </c>
    </row>
    <row r="13" spans="1:9" s="494" customFormat="1" ht="12" customHeight="1" x14ac:dyDescent="0.2">
      <c r="A13" s="181"/>
      <c r="B13" s="182" t="s">
        <v>72</v>
      </c>
      <c r="C13" s="526" t="s">
        <v>117</v>
      </c>
      <c r="D13" s="706"/>
      <c r="E13" s="777"/>
      <c r="F13" s="777"/>
      <c r="G13" s="966"/>
      <c r="H13" s="966"/>
      <c r="I13" s="966"/>
    </row>
    <row r="14" spans="1:9" s="494" customFormat="1" ht="12" customHeight="1" x14ac:dyDescent="0.2">
      <c r="A14" s="184"/>
      <c r="B14" s="182" t="s">
        <v>44</v>
      </c>
      <c r="C14" s="525" t="s">
        <v>118</v>
      </c>
      <c r="D14" s="720">
        <v>1254</v>
      </c>
      <c r="E14" s="778">
        <v>1214</v>
      </c>
      <c r="F14" s="778">
        <v>1064</v>
      </c>
      <c r="G14" s="967">
        <v>1064</v>
      </c>
      <c r="H14" s="967">
        <v>1026</v>
      </c>
      <c r="I14" s="1235">
        <f>H14/G14</f>
        <v>0.9642857142857143</v>
      </c>
    </row>
    <row r="15" spans="1:9" s="495" customFormat="1" ht="12" customHeight="1" x14ac:dyDescent="0.2">
      <c r="A15" s="181"/>
      <c r="B15" s="182" t="s">
        <v>45</v>
      </c>
      <c r="C15" s="525" t="s">
        <v>820</v>
      </c>
      <c r="D15" s="706"/>
      <c r="E15" s="777"/>
      <c r="F15" s="777"/>
      <c r="G15" s="966"/>
      <c r="H15" s="966"/>
      <c r="I15" s="966"/>
    </row>
    <row r="16" spans="1:9" s="495" customFormat="1" ht="12" customHeight="1" thickBot="1" x14ac:dyDescent="0.25">
      <c r="A16" s="185"/>
      <c r="B16" s="186" t="s">
        <v>54</v>
      </c>
      <c r="C16" s="526" t="s">
        <v>175</v>
      </c>
      <c r="D16" s="707">
        <v>1</v>
      </c>
      <c r="E16" s="779"/>
      <c r="F16" s="779"/>
      <c r="G16" s="968"/>
      <c r="H16" s="968"/>
      <c r="I16" s="968"/>
    </row>
    <row r="17" spans="1:9" s="494" customFormat="1" ht="12" customHeight="1" thickBot="1" x14ac:dyDescent="0.25">
      <c r="A17" s="153" t="s">
        <v>856</v>
      </c>
      <c r="B17" s="179"/>
      <c r="C17" s="523" t="s">
        <v>821</v>
      </c>
      <c r="D17" s="704">
        <v>0</v>
      </c>
      <c r="E17" s="511">
        <v>0</v>
      </c>
      <c r="F17" s="511">
        <f>SUM(F18:F21)</f>
        <v>0</v>
      </c>
      <c r="G17" s="510">
        <f>SUM(G18:G21)</f>
        <v>0</v>
      </c>
      <c r="H17" s="510"/>
      <c r="I17" s="510"/>
    </row>
    <row r="18" spans="1:9" s="495" customFormat="1" ht="12" customHeight="1" x14ac:dyDescent="0.2">
      <c r="A18" s="181"/>
      <c r="B18" s="182" t="s">
        <v>46</v>
      </c>
      <c r="C18" s="527" t="s">
        <v>817</v>
      </c>
      <c r="D18" s="706"/>
      <c r="E18" s="777"/>
      <c r="F18" s="777"/>
      <c r="G18" s="966"/>
      <c r="H18" s="966"/>
      <c r="I18" s="966"/>
    </row>
    <row r="19" spans="1:9" s="495" customFormat="1" ht="12" customHeight="1" x14ac:dyDescent="0.2">
      <c r="A19" s="181"/>
      <c r="B19" s="182" t="s">
        <v>47</v>
      </c>
      <c r="C19" s="525" t="s">
        <v>818</v>
      </c>
      <c r="D19" s="706"/>
      <c r="E19" s="777"/>
      <c r="F19" s="777"/>
      <c r="G19" s="966"/>
      <c r="H19" s="966"/>
      <c r="I19" s="966"/>
    </row>
    <row r="20" spans="1:9" s="495" customFormat="1" ht="12" customHeight="1" x14ac:dyDescent="0.2">
      <c r="A20" s="181"/>
      <c r="B20" s="182" t="s">
        <v>48</v>
      </c>
      <c r="C20" s="525" t="s">
        <v>819</v>
      </c>
      <c r="D20" s="706"/>
      <c r="E20" s="777"/>
      <c r="F20" s="777"/>
      <c r="G20" s="966"/>
      <c r="H20" s="966"/>
      <c r="I20" s="966"/>
    </row>
    <row r="21" spans="1:9" s="495" customFormat="1" ht="12" customHeight="1" thickBot="1" x14ac:dyDescent="0.25">
      <c r="A21" s="181"/>
      <c r="B21" s="182" t="s">
        <v>49</v>
      </c>
      <c r="C21" s="525" t="s">
        <v>818</v>
      </c>
      <c r="D21" s="706"/>
      <c r="E21" s="777"/>
      <c r="F21" s="777"/>
      <c r="G21" s="966"/>
      <c r="H21" s="966"/>
      <c r="I21" s="966"/>
    </row>
    <row r="22" spans="1:9" s="495" customFormat="1" ht="12" customHeight="1" thickBot="1" x14ac:dyDescent="0.25">
      <c r="A22" s="161" t="s">
        <v>857</v>
      </c>
      <c r="B22" s="95"/>
      <c r="C22" s="528" t="s">
        <v>822</v>
      </c>
      <c r="D22" s="704">
        <v>0</v>
      </c>
      <c r="E22" s="511">
        <v>0</v>
      </c>
      <c r="F22" s="511">
        <f>+F23+F24</f>
        <v>0</v>
      </c>
      <c r="G22" s="510">
        <f>+G23+G24</f>
        <v>0</v>
      </c>
      <c r="H22" s="510">
        <v>283</v>
      </c>
      <c r="I22" s="1227">
        <v>0</v>
      </c>
    </row>
    <row r="23" spans="1:9" s="494" customFormat="1" ht="12" customHeight="1" x14ac:dyDescent="0.2">
      <c r="A23" s="306"/>
      <c r="B23" s="326" t="s">
        <v>20</v>
      </c>
      <c r="C23" s="529" t="s">
        <v>218</v>
      </c>
      <c r="D23" s="711"/>
      <c r="E23" s="780"/>
      <c r="F23" s="780"/>
      <c r="G23" s="969"/>
      <c r="H23" s="969">
        <v>283</v>
      </c>
      <c r="I23" s="1228">
        <v>0</v>
      </c>
    </row>
    <row r="24" spans="1:9" s="494" customFormat="1" ht="12" customHeight="1" thickBot="1" x14ac:dyDescent="0.25">
      <c r="A24" s="324"/>
      <c r="B24" s="325" t="s">
        <v>21</v>
      </c>
      <c r="C24" s="530" t="s">
        <v>222</v>
      </c>
      <c r="D24" s="721"/>
      <c r="E24" s="781"/>
      <c r="F24" s="781"/>
      <c r="G24" s="970"/>
      <c r="H24" s="970"/>
      <c r="I24" s="970"/>
    </row>
    <row r="25" spans="1:9" s="494" customFormat="1" ht="12" customHeight="1" thickBot="1" x14ac:dyDescent="0.25">
      <c r="A25" s="161" t="s">
        <v>858</v>
      </c>
      <c r="B25" s="179"/>
      <c r="C25" s="528" t="s">
        <v>839</v>
      </c>
      <c r="D25" s="713">
        <v>61925</v>
      </c>
      <c r="E25" s="659">
        <v>74318</v>
      </c>
      <c r="F25" s="659">
        <v>76863</v>
      </c>
      <c r="G25" s="644">
        <f>76863-9033+57+55+32+9+8300</f>
        <v>76283</v>
      </c>
      <c r="H25" s="644">
        <v>76204</v>
      </c>
      <c r="I25" s="1229">
        <f>H25/G25</f>
        <v>0.99896438262784626</v>
      </c>
    </row>
    <row r="26" spans="1:9" s="494" customFormat="1" ht="12" customHeight="1" thickBot="1" x14ac:dyDescent="0.25">
      <c r="A26" s="153" t="s">
        <v>859</v>
      </c>
      <c r="B26" s="125"/>
      <c r="C26" s="528" t="s">
        <v>835</v>
      </c>
      <c r="D26" s="704">
        <v>67829</v>
      </c>
      <c r="E26" s="511">
        <f>+E8+E17+E22+E25</f>
        <v>80313</v>
      </c>
      <c r="F26" s="511">
        <f>+F8+F17+F22+F25</f>
        <v>81897</v>
      </c>
      <c r="G26" s="510">
        <f>+G8+G17+G22+G25</f>
        <v>81328</v>
      </c>
      <c r="H26" s="510">
        <f>+H8+H17+H22+H25</f>
        <v>81322</v>
      </c>
      <c r="I26" s="1230">
        <f>H26/G26</f>
        <v>0.99992622467047021</v>
      </c>
    </row>
    <row r="27" spans="1:9" s="495" customFormat="1" ht="12" customHeight="1" thickBot="1" x14ac:dyDescent="0.25">
      <c r="A27" s="321" t="s">
        <v>860</v>
      </c>
      <c r="B27" s="330"/>
      <c r="C27" s="531" t="s">
        <v>837</v>
      </c>
      <c r="D27" s="709">
        <v>418</v>
      </c>
      <c r="E27" s="782">
        <f>+E28+E29</f>
        <v>9158</v>
      </c>
      <c r="F27" s="782">
        <f>+F28+F29</f>
        <v>0</v>
      </c>
      <c r="G27" s="971">
        <f>+G28+G29</f>
        <v>10095</v>
      </c>
      <c r="H27" s="971">
        <f>+H28+H29</f>
        <v>10095</v>
      </c>
      <c r="I27" s="1233">
        <f>H27/G27</f>
        <v>1</v>
      </c>
    </row>
    <row r="28" spans="1:9" s="495" customFormat="1" ht="15" customHeight="1" x14ac:dyDescent="0.2">
      <c r="A28" s="183"/>
      <c r="B28" s="123" t="s">
        <v>27</v>
      </c>
      <c r="C28" s="529" t="s">
        <v>325</v>
      </c>
      <c r="D28" s="711">
        <v>418</v>
      </c>
      <c r="E28" s="780">
        <v>9158</v>
      </c>
      <c r="F28" s="780"/>
      <c r="G28" s="969">
        <v>10095</v>
      </c>
      <c r="H28" s="969">
        <v>10095</v>
      </c>
      <c r="I28" s="1234">
        <f>H28/G28</f>
        <v>1</v>
      </c>
    </row>
    <row r="29" spans="1:9" s="495" customFormat="1" ht="15" customHeight="1" thickBot="1" x14ac:dyDescent="0.25">
      <c r="A29" s="331"/>
      <c r="B29" s="124" t="s">
        <v>28</v>
      </c>
      <c r="C29" s="538" t="s">
        <v>825</v>
      </c>
      <c r="D29" s="723"/>
      <c r="E29" s="783"/>
      <c r="F29" s="783"/>
      <c r="G29" s="972"/>
      <c r="H29" s="972"/>
      <c r="I29" s="972"/>
    </row>
    <row r="30" spans="1:9" ht="13.5" thickBot="1" x14ac:dyDescent="0.25">
      <c r="A30" s="193" t="s">
        <v>861</v>
      </c>
      <c r="B30" s="507"/>
      <c r="C30" s="534" t="s">
        <v>838</v>
      </c>
      <c r="D30" s="713"/>
      <c r="E30" s="659"/>
      <c r="F30" s="659"/>
      <c r="G30" s="644"/>
      <c r="H30" s="644"/>
      <c r="I30" s="644"/>
    </row>
    <row r="31" spans="1:9" s="493" customFormat="1" ht="16.5" customHeight="1" thickBot="1" x14ac:dyDescent="0.25">
      <c r="A31" s="193" t="s">
        <v>862</v>
      </c>
      <c r="B31" s="508"/>
      <c r="C31" s="539" t="s">
        <v>836</v>
      </c>
      <c r="D31" s="714">
        <v>68247</v>
      </c>
      <c r="E31" s="784">
        <f>+E26+E27+E30</f>
        <v>89471</v>
      </c>
      <c r="F31" s="784">
        <f>+F26+F27+F30</f>
        <v>81897</v>
      </c>
      <c r="G31" s="973">
        <f>+G26+G27+G30</f>
        <v>91423</v>
      </c>
      <c r="H31" s="973">
        <f>+H26+H27+H30</f>
        <v>91417</v>
      </c>
      <c r="I31" s="1232">
        <f>H31/G31</f>
        <v>0.9999343710007329</v>
      </c>
    </row>
    <row r="32" spans="1:9" s="496" customFormat="1" ht="12" customHeight="1" x14ac:dyDescent="0.2">
      <c r="A32" s="196"/>
      <c r="B32" s="196"/>
      <c r="C32" s="197"/>
      <c r="D32" s="716"/>
      <c r="E32" s="716"/>
      <c r="F32" s="716"/>
      <c r="G32" s="716"/>
    </row>
    <row r="33" spans="1:9" ht="12" customHeight="1" thickBot="1" x14ac:dyDescent="0.25">
      <c r="A33" s="198"/>
      <c r="B33" s="199"/>
      <c r="C33" s="199"/>
      <c r="D33" s="703"/>
      <c r="E33" s="703"/>
      <c r="F33" s="947"/>
      <c r="G33" s="703"/>
    </row>
    <row r="34" spans="1:9" ht="39" thickBot="1" x14ac:dyDescent="0.25">
      <c r="A34" s="200"/>
      <c r="B34" s="201"/>
      <c r="C34" s="202" t="s">
        <v>1</v>
      </c>
      <c r="D34" s="684" t="s">
        <v>998</v>
      </c>
      <c r="E34" s="774" t="s">
        <v>999</v>
      </c>
      <c r="F34" s="774" t="s">
        <v>943</v>
      </c>
      <c r="G34" s="963" t="s">
        <v>1072</v>
      </c>
      <c r="H34" s="963" t="s">
        <v>1095</v>
      </c>
      <c r="I34" s="963" t="s">
        <v>1094</v>
      </c>
    </row>
    <row r="35" spans="1:9" ht="12" customHeight="1" thickBot="1" x14ac:dyDescent="0.25">
      <c r="A35" s="161" t="s">
        <v>855</v>
      </c>
      <c r="B35" s="24"/>
      <c r="C35" s="528" t="s">
        <v>815</v>
      </c>
      <c r="D35" s="704">
        <v>67563</v>
      </c>
      <c r="E35" s="511">
        <f>SUM(E36:E40)</f>
        <v>89471</v>
      </c>
      <c r="F35" s="511">
        <f>SUM(F36:F40)</f>
        <v>81897</v>
      </c>
      <c r="G35" s="510">
        <f>SUM(G36:G40)</f>
        <v>91333</v>
      </c>
      <c r="H35" s="510">
        <f>SUM(H36:H40)</f>
        <v>80899</v>
      </c>
      <c r="I35" s="1230">
        <f>H35/G35</f>
        <v>0.88575870714856619</v>
      </c>
    </row>
    <row r="36" spans="1:9" ht="12" customHeight="1" x14ac:dyDescent="0.2">
      <c r="A36" s="203"/>
      <c r="B36" s="122" t="s">
        <v>40</v>
      </c>
      <c r="C36" s="527" t="s">
        <v>886</v>
      </c>
      <c r="D36" s="708">
        <v>38217</v>
      </c>
      <c r="E36" s="649">
        <v>54397</v>
      </c>
      <c r="F36" s="649">
        <v>53152</v>
      </c>
      <c r="G36" s="641">
        <f>53152+47+42+32</f>
        <v>53273</v>
      </c>
      <c r="H36" s="641">
        <v>52974</v>
      </c>
      <c r="I36" s="1231">
        <f>H36/G36</f>
        <v>0.9943874007470952</v>
      </c>
    </row>
    <row r="37" spans="1:9" ht="12" customHeight="1" x14ac:dyDescent="0.2">
      <c r="A37" s="204"/>
      <c r="B37" s="120" t="s">
        <v>41</v>
      </c>
      <c r="C37" s="525" t="s">
        <v>144</v>
      </c>
      <c r="D37" s="705">
        <v>9629</v>
      </c>
      <c r="E37" s="651">
        <v>14360</v>
      </c>
      <c r="F37" s="651">
        <v>14358</v>
      </c>
      <c r="G37" s="642">
        <f>14358+10+13+9+350</f>
        <v>14740</v>
      </c>
      <c r="H37" s="642">
        <v>14707</v>
      </c>
      <c r="I37" s="1237">
        <f>H37/G37</f>
        <v>0.99776119402985075</v>
      </c>
    </row>
    <row r="38" spans="1:9" ht="12" customHeight="1" x14ac:dyDescent="0.2">
      <c r="A38" s="204"/>
      <c r="B38" s="120" t="s">
        <v>42</v>
      </c>
      <c r="C38" s="525" t="s">
        <v>70</v>
      </c>
      <c r="D38" s="705">
        <v>19714</v>
      </c>
      <c r="E38" s="651">
        <v>20714</v>
      </c>
      <c r="F38" s="651">
        <v>14387</v>
      </c>
      <c r="G38" s="642">
        <f>14387+20+177+627+3+14+221-90+7950+11</f>
        <v>23320</v>
      </c>
      <c r="H38" s="642">
        <v>13218</v>
      </c>
      <c r="I38" s="1237">
        <f>H38/G38</f>
        <v>0.56680960548885073</v>
      </c>
    </row>
    <row r="39" spans="1:9" s="496" customFormat="1" ht="12" customHeight="1" x14ac:dyDescent="0.2">
      <c r="A39" s="204"/>
      <c r="B39" s="120" t="s">
        <v>43</v>
      </c>
      <c r="C39" s="525" t="s">
        <v>145</v>
      </c>
      <c r="D39" s="705"/>
      <c r="E39" s="651"/>
      <c r="F39" s="651"/>
      <c r="G39" s="642"/>
      <c r="H39" s="642"/>
      <c r="I39" s="642"/>
    </row>
    <row r="40" spans="1:9" ht="12" customHeight="1" thickBot="1" x14ac:dyDescent="0.25">
      <c r="A40" s="204"/>
      <c r="B40" s="120" t="s">
        <v>53</v>
      </c>
      <c r="C40" s="525" t="s">
        <v>146</v>
      </c>
      <c r="D40" s="705">
        <v>3</v>
      </c>
      <c r="E40" s="651"/>
      <c r="F40" s="651"/>
      <c r="G40" s="642"/>
      <c r="H40" s="642"/>
      <c r="I40" s="642"/>
    </row>
    <row r="41" spans="1:9" ht="12" customHeight="1" thickBot="1" x14ac:dyDescent="0.25">
      <c r="A41" s="161" t="s">
        <v>856</v>
      </c>
      <c r="B41" s="24"/>
      <c r="C41" s="528" t="s">
        <v>832</v>
      </c>
      <c r="D41" s="704">
        <v>0</v>
      </c>
      <c r="E41" s="511">
        <v>0</v>
      </c>
      <c r="F41" s="511">
        <f>SUM(F42:F45)</f>
        <v>0</v>
      </c>
      <c r="G41" s="510">
        <f>SUM(G42:G45)</f>
        <v>90</v>
      </c>
      <c r="H41" s="510">
        <v>90</v>
      </c>
      <c r="I41" s="1230">
        <v>1</v>
      </c>
    </row>
    <row r="42" spans="1:9" ht="12" customHeight="1" x14ac:dyDescent="0.2">
      <c r="A42" s="203"/>
      <c r="B42" s="122" t="s">
        <v>46</v>
      </c>
      <c r="C42" s="527" t="s">
        <v>250</v>
      </c>
      <c r="D42" s="708"/>
      <c r="E42" s="649"/>
      <c r="F42" s="649"/>
      <c r="G42" s="641">
        <v>90</v>
      </c>
      <c r="H42" s="641">
        <v>90</v>
      </c>
      <c r="I42" s="1231">
        <v>1</v>
      </c>
    </row>
    <row r="43" spans="1:9" ht="12" customHeight="1" x14ac:dyDescent="0.2">
      <c r="A43" s="204"/>
      <c r="B43" s="120" t="s">
        <v>47</v>
      </c>
      <c r="C43" s="525" t="s">
        <v>148</v>
      </c>
      <c r="D43" s="705"/>
      <c r="E43" s="651"/>
      <c r="F43" s="651"/>
      <c r="G43" s="642"/>
      <c r="H43" s="642"/>
      <c r="I43" s="642"/>
    </row>
    <row r="44" spans="1:9" ht="15" customHeight="1" x14ac:dyDescent="0.2">
      <c r="A44" s="204"/>
      <c r="B44" s="120" t="s">
        <v>50</v>
      </c>
      <c r="C44" s="525" t="s">
        <v>2</v>
      </c>
      <c r="D44" s="705"/>
      <c r="E44" s="651"/>
      <c r="F44" s="651"/>
      <c r="G44" s="642"/>
      <c r="H44" s="642"/>
      <c r="I44" s="642"/>
    </row>
    <row r="45" spans="1:9" ht="13.5" thickBot="1" x14ac:dyDescent="0.25">
      <c r="A45" s="204"/>
      <c r="B45" s="120" t="s">
        <v>60</v>
      </c>
      <c r="C45" s="525" t="s">
        <v>829</v>
      </c>
      <c r="D45" s="705"/>
      <c r="E45" s="651"/>
      <c r="F45" s="651"/>
      <c r="G45" s="642"/>
      <c r="H45" s="642"/>
      <c r="I45" s="642"/>
    </row>
    <row r="46" spans="1:9" ht="15" customHeight="1" thickBot="1" x14ac:dyDescent="0.25">
      <c r="A46" s="161" t="s">
        <v>857</v>
      </c>
      <c r="B46" s="24"/>
      <c r="C46" s="536" t="s">
        <v>830</v>
      </c>
      <c r="D46" s="713"/>
      <c r="E46" s="659"/>
      <c r="F46" s="659"/>
      <c r="G46" s="644"/>
      <c r="H46" s="644"/>
      <c r="I46" s="644"/>
    </row>
    <row r="47" spans="1:9" ht="14.25" customHeight="1" thickBot="1" x14ac:dyDescent="0.25">
      <c r="A47" s="193" t="s">
        <v>858</v>
      </c>
      <c r="B47" s="507"/>
      <c r="C47" s="534" t="s">
        <v>833</v>
      </c>
      <c r="D47" s="713">
        <v>328</v>
      </c>
      <c r="E47" s="659"/>
      <c r="F47" s="659"/>
      <c r="G47" s="644"/>
      <c r="H47" s="644"/>
      <c r="I47" s="644"/>
    </row>
    <row r="48" spans="1:9" ht="13.5" thickBot="1" x14ac:dyDescent="0.25">
      <c r="A48" s="161" t="s">
        <v>859</v>
      </c>
      <c r="B48" s="190"/>
      <c r="C48" s="537" t="s">
        <v>831</v>
      </c>
      <c r="D48" s="714">
        <v>67891</v>
      </c>
      <c r="E48" s="784">
        <f>+E35+E41+E46+E47</f>
        <v>89471</v>
      </c>
      <c r="F48" s="784">
        <f>+F35+F41+F46+F47</f>
        <v>81897</v>
      </c>
      <c r="G48" s="973">
        <f>+G35+G41+G46+G47</f>
        <v>91423</v>
      </c>
      <c r="H48" s="973">
        <f>+H35+H41+H46+H47</f>
        <v>80989</v>
      </c>
      <c r="I48" s="1232">
        <f>H48/G48</f>
        <v>0.88587117027443862</v>
      </c>
    </row>
    <row r="49" spans="1:7" x14ac:dyDescent="0.2">
      <c r="A49" s="497"/>
      <c r="B49" s="498"/>
      <c r="C49" s="498"/>
      <c r="D49" s="499"/>
      <c r="E49" s="519"/>
      <c r="F49" s="948"/>
      <c r="G49" s="499"/>
    </row>
    <row r="50" spans="1:7" ht="13.5" hidden="1" thickBot="1" x14ac:dyDescent="0.25">
      <c r="A50" s="500" t="s">
        <v>182</v>
      </c>
      <c r="B50" s="501"/>
      <c r="C50" s="502"/>
      <c r="D50" s="503"/>
      <c r="E50" s="93"/>
      <c r="F50" s="503"/>
      <c r="G50" s="503"/>
    </row>
    <row r="51" spans="1:7" ht="13.5" hidden="1" thickBot="1" x14ac:dyDescent="0.25">
      <c r="A51" s="500" t="s">
        <v>183</v>
      </c>
      <c r="B51" s="501"/>
      <c r="C51" s="502"/>
      <c r="D51" s="503"/>
      <c r="E51" s="93"/>
      <c r="F51" s="503"/>
      <c r="G51" s="503"/>
    </row>
  </sheetData>
  <sheetProtection formatCells="0"/>
  <mergeCells count="5">
    <mergeCell ref="A2:B2"/>
    <mergeCell ref="A5:B5"/>
    <mergeCell ref="C1:E1"/>
    <mergeCell ref="F2:I2"/>
    <mergeCell ref="A7:I7"/>
  </mergeCells>
  <phoneticPr fontId="29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72" orientation="portrait" verticalDpi="300" r:id="rId1"/>
  <headerFooter alignWithMargins="0">
    <oddHeader>&amp;R&amp;"Times New Roman CE,Félkövér"&amp;11 11. melléklet a 3/2016. (IV.29.)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11"/>
  <sheetViews>
    <sheetView view="pageLayout" zoomScaleNormal="120" workbookViewId="0">
      <selection sqref="A1:F1"/>
    </sheetView>
  </sheetViews>
  <sheetFormatPr defaultColWidth="9.33203125" defaultRowHeight="15" x14ac:dyDescent="0.25"/>
  <cols>
    <col min="1" max="1" width="5.6640625" style="121" customWidth="1"/>
    <col min="2" max="2" width="43.1640625" style="121" bestFit="1" customWidth="1"/>
    <col min="3" max="6" width="14" style="121" customWidth="1"/>
    <col min="7" max="16384" width="9.33203125" style="121"/>
  </cols>
  <sheetData>
    <row r="1" spans="1:7" ht="33" customHeight="1" x14ac:dyDescent="0.25">
      <c r="A1" s="1633" t="s">
        <v>1152</v>
      </c>
      <c r="B1" s="1633"/>
      <c r="C1" s="1633"/>
      <c r="D1" s="1633"/>
      <c r="E1" s="1633"/>
      <c r="F1" s="1633"/>
    </row>
    <row r="2" spans="1:7" ht="15.95" customHeight="1" thickBot="1" x14ac:dyDescent="0.3">
      <c r="A2" s="1343"/>
      <c r="B2" s="1343"/>
      <c r="C2" s="1664"/>
      <c r="D2" s="1664"/>
      <c r="E2" s="1665" t="s">
        <v>270</v>
      </c>
      <c r="F2" s="1665"/>
      <c r="G2" s="1370"/>
    </row>
    <row r="3" spans="1:7" ht="63" customHeight="1" x14ac:dyDescent="0.25">
      <c r="A3" s="1666" t="s">
        <v>853</v>
      </c>
      <c r="B3" s="1668" t="s">
        <v>1153</v>
      </c>
      <c r="C3" s="1668" t="s">
        <v>1154</v>
      </c>
      <c r="D3" s="1668"/>
      <c r="E3" s="1668"/>
      <c r="F3" s="1670" t="s">
        <v>1155</v>
      </c>
    </row>
    <row r="4" spans="1:7" ht="15.75" thickBot="1" x14ac:dyDescent="0.3">
      <c r="A4" s="1667"/>
      <c r="B4" s="1669"/>
      <c r="C4" s="1371" t="s">
        <v>176</v>
      </c>
      <c r="D4" s="1371" t="s">
        <v>340</v>
      </c>
      <c r="E4" s="1371" t="s">
        <v>1156</v>
      </c>
      <c r="F4" s="1671"/>
    </row>
    <row r="5" spans="1:7" ht="15.75" thickBot="1" x14ac:dyDescent="0.3">
      <c r="A5" s="1372">
        <v>1</v>
      </c>
      <c r="B5" s="1373">
        <v>2</v>
      </c>
      <c r="C5" s="1373">
        <v>3</v>
      </c>
      <c r="D5" s="1373">
        <v>4</v>
      </c>
      <c r="E5" s="1373">
        <v>5</v>
      </c>
      <c r="F5" s="1374">
        <v>6</v>
      </c>
    </row>
    <row r="6" spans="1:7" x14ac:dyDescent="0.25">
      <c r="A6" s="1375" t="s">
        <v>855</v>
      </c>
      <c r="B6" s="1376"/>
      <c r="C6" s="139"/>
      <c r="D6" s="139"/>
      <c r="E6" s="139"/>
      <c r="F6" s="1377">
        <f>SUM(C6:E6)</f>
        <v>0</v>
      </c>
    </row>
    <row r="7" spans="1:7" x14ac:dyDescent="0.25">
      <c r="A7" s="1378" t="s">
        <v>856</v>
      </c>
      <c r="B7" s="1379"/>
      <c r="C7" s="140"/>
      <c r="D7" s="140"/>
      <c r="E7" s="140"/>
      <c r="F7" s="1380">
        <f>SUM(C7:E7)</f>
        <v>0</v>
      </c>
    </row>
    <row r="8" spans="1:7" x14ac:dyDescent="0.25">
      <c r="A8" s="1378" t="s">
        <v>857</v>
      </c>
      <c r="B8" s="1379"/>
      <c r="C8" s="140"/>
      <c r="D8" s="140"/>
      <c r="E8" s="140"/>
      <c r="F8" s="1380">
        <f>SUM(C8:E8)</f>
        <v>0</v>
      </c>
    </row>
    <row r="9" spans="1:7" x14ac:dyDescent="0.25">
      <c r="A9" s="1378" t="s">
        <v>858</v>
      </c>
      <c r="B9" s="1379"/>
      <c r="C9" s="140"/>
      <c r="D9" s="140"/>
      <c r="E9" s="140"/>
      <c r="F9" s="1380">
        <f>SUM(C9:E9)</f>
        <v>0</v>
      </c>
    </row>
    <row r="10" spans="1:7" ht="15.75" thickBot="1" x14ac:dyDescent="0.3">
      <c r="A10" s="1381" t="s">
        <v>859</v>
      </c>
      <c r="B10" s="1382"/>
      <c r="C10" s="141"/>
      <c r="D10" s="141"/>
      <c r="E10" s="141"/>
      <c r="F10" s="1380">
        <f>SUM(C10:E10)</f>
        <v>0</v>
      </c>
    </row>
    <row r="11" spans="1:7" ht="15.75" thickBot="1" x14ac:dyDescent="0.3">
      <c r="A11" s="1372" t="s">
        <v>860</v>
      </c>
      <c r="B11" s="1383" t="s">
        <v>1157</v>
      </c>
      <c r="C11" s="1384">
        <f>SUM(C6:C10)</f>
        <v>0</v>
      </c>
      <c r="D11" s="1384">
        <f>SUM(D6:D10)</f>
        <v>0</v>
      </c>
      <c r="E11" s="1384">
        <f>SUM(E6:E10)</f>
        <v>0</v>
      </c>
      <c r="F11" s="1385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CE,Félkövér"&amp;11 12. melléklet a 3/2016. (IV.29.)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F161"/>
  <sheetViews>
    <sheetView view="pageBreakPreview" zoomScaleNormal="100" zoomScaleSheetLayoutView="100" workbookViewId="0">
      <selection activeCell="E50" sqref="E50"/>
    </sheetView>
  </sheetViews>
  <sheetFormatPr defaultColWidth="9.33203125" defaultRowHeight="15.75" x14ac:dyDescent="0.25"/>
  <cols>
    <col min="1" max="1" width="6" style="1409" customWidth="1"/>
    <col min="2" max="2" width="69.6640625" style="1409" customWidth="1"/>
    <col min="3" max="3" width="16.33203125" style="1437" customWidth="1"/>
    <col min="4" max="4" width="15.33203125" style="1409" customWidth="1"/>
    <col min="5" max="5" width="14.83203125" style="1437" customWidth="1"/>
    <col min="6" max="6" width="13.83203125" style="1438" customWidth="1"/>
    <col min="7" max="16384" width="9.33203125" style="1409"/>
  </cols>
  <sheetData>
    <row r="1" spans="1:6" s="1328" customFormat="1" x14ac:dyDescent="0.25">
      <c r="A1" s="1672" t="s">
        <v>1495</v>
      </c>
      <c r="B1" s="1673"/>
      <c r="C1" s="1673"/>
      <c r="D1" s="1673"/>
      <c r="E1" s="1673"/>
      <c r="F1" s="1673"/>
    </row>
    <row r="2" spans="1:6" s="1388" customFormat="1" ht="16.5" thickBot="1" x14ac:dyDescent="0.3">
      <c r="A2" s="1386"/>
      <c r="B2" s="1386"/>
      <c r="C2" s="1386"/>
      <c r="D2" s="1386"/>
      <c r="E2" s="1386"/>
      <c r="F2" s="1387"/>
    </row>
    <row r="3" spans="1:6" s="1328" customFormat="1" x14ac:dyDescent="0.25">
      <c r="A3" s="1389"/>
      <c r="B3" s="1390" t="s">
        <v>12</v>
      </c>
      <c r="C3" s="1391" t="s">
        <v>1105</v>
      </c>
      <c r="D3" s="1390" t="s">
        <v>1158</v>
      </c>
      <c r="E3" s="1392" t="s">
        <v>1159</v>
      </c>
      <c r="F3" s="1393" t="s">
        <v>888</v>
      </c>
    </row>
    <row r="4" spans="1:6" s="1328" customFormat="1" ht="16.5" thickBot="1" x14ac:dyDescent="0.3">
      <c r="A4" s="1394">
        <v>1</v>
      </c>
      <c r="B4" s="1334">
        <v>2</v>
      </c>
      <c r="C4" s="1395">
        <v>3</v>
      </c>
      <c r="D4" s="1334">
        <v>4</v>
      </c>
      <c r="E4" s="1396">
        <v>5</v>
      </c>
      <c r="F4" s="1397" t="s">
        <v>1160</v>
      </c>
    </row>
    <row r="5" spans="1:6" s="1328" customFormat="1" ht="16.5" thickBot="1" x14ac:dyDescent="0.3">
      <c r="A5" s="1398" t="s">
        <v>1161</v>
      </c>
      <c r="B5" s="1399" t="s">
        <v>1162</v>
      </c>
      <c r="C5" s="1400"/>
      <c r="D5" s="1401"/>
      <c r="E5" s="1402"/>
      <c r="F5" s="1403"/>
    </row>
    <row r="6" spans="1:6" x14ac:dyDescent="0.25">
      <c r="A6" s="1404" t="s">
        <v>891</v>
      </c>
      <c r="B6" s="1405" t="s">
        <v>1163</v>
      </c>
      <c r="C6" s="1406">
        <v>0</v>
      </c>
      <c r="D6" s="1407">
        <v>0</v>
      </c>
      <c r="E6" s="1406">
        <v>0</v>
      </c>
      <c r="F6" s="1408">
        <f>SUM(C6:E6)</f>
        <v>0</v>
      </c>
    </row>
    <row r="7" spans="1:6" x14ac:dyDescent="0.25">
      <c r="A7" s="1404" t="s">
        <v>7</v>
      </c>
      <c r="B7" s="1405" t="s">
        <v>1164</v>
      </c>
      <c r="C7" s="1406">
        <v>2100</v>
      </c>
      <c r="D7" s="1407">
        <v>0</v>
      </c>
      <c r="E7" s="1406">
        <v>0</v>
      </c>
      <c r="F7" s="1408">
        <f t="shared" ref="F7:F70" si="0">SUM(C7:E7)</f>
        <v>2100</v>
      </c>
    </row>
    <row r="8" spans="1:6" x14ac:dyDescent="0.25">
      <c r="A8" s="1404" t="s">
        <v>8</v>
      </c>
      <c r="B8" s="1405" t="s">
        <v>1165</v>
      </c>
      <c r="C8" s="1406">
        <v>0</v>
      </c>
      <c r="D8" s="1407">
        <v>0</v>
      </c>
      <c r="E8" s="1406">
        <v>0</v>
      </c>
      <c r="F8" s="1408">
        <f t="shared" si="0"/>
        <v>0</v>
      </c>
    </row>
    <row r="9" spans="1:6" ht="15.75" customHeight="1" x14ac:dyDescent="0.25">
      <c r="A9" s="1404" t="s">
        <v>10</v>
      </c>
      <c r="B9" s="1405" t="s">
        <v>1166</v>
      </c>
      <c r="C9" s="1406">
        <v>2100</v>
      </c>
      <c r="D9" s="1407">
        <v>0</v>
      </c>
      <c r="E9" s="1406">
        <v>0</v>
      </c>
      <c r="F9" s="1408">
        <f t="shared" si="0"/>
        <v>2100</v>
      </c>
    </row>
    <row r="10" spans="1:6" x14ac:dyDescent="0.25">
      <c r="A10" s="1404" t="s">
        <v>1111</v>
      </c>
      <c r="B10" s="1405" t="s">
        <v>1167</v>
      </c>
      <c r="C10" s="1406">
        <v>3410061</v>
      </c>
      <c r="D10" s="1407">
        <v>0</v>
      </c>
      <c r="E10" s="1406">
        <v>0</v>
      </c>
      <c r="F10" s="1408">
        <f t="shared" si="0"/>
        <v>3410061</v>
      </c>
    </row>
    <row r="11" spans="1:6" x14ac:dyDescent="0.25">
      <c r="A11" s="1404" t="s">
        <v>1113</v>
      </c>
      <c r="B11" s="1405" t="s">
        <v>1168</v>
      </c>
      <c r="C11" s="1406">
        <v>2405</v>
      </c>
      <c r="D11" s="1407">
        <v>0</v>
      </c>
      <c r="E11" s="1406">
        <v>0</v>
      </c>
      <c r="F11" s="1408">
        <f t="shared" si="0"/>
        <v>2405</v>
      </c>
    </row>
    <row r="12" spans="1:6" x14ac:dyDescent="0.25">
      <c r="A12" s="1404" t="s">
        <v>1115</v>
      </c>
      <c r="B12" s="1405" t="s">
        <v>1169</v>
      </c>
      <c r="C12" s="1406">
        <v>0</v>
      </c>
      <c r="D12" s="1407">
        <v>0</v>
      </c>
      <c r="E12" s="1406">
        <v>0</v>
      </c>
      <c r="F12" s="1408">
        <f t="shared" si="0"/>
        <v>0</v>
      </c>
    </row>
    <row r="13" spans="1:6" x14ac:dyDescent="0.25">
      <c r="A13" s="1404" t="s">
        <v>1117</v>
      </c>
      <c r="B13" s="1405" t="s">
        <v>1170</v>
      </c>
      <c r="C13" s="1406">
        <v>83498</v>
      </c>
      <c r="D13" s="1407">
        <v>0</v>
      </c>
      <c r="E13" s="1406">
        <v>0</v>
      </c>
      <c r="F13" s="1408">
        <f t="shared" si="0"/>
        <v>83498</v>
      </c>
    </row>
    <row r="14" spans="1:6" x14ac:dyDescent="0.25">
      <c r="A14" s="1404" t="s">
        <v>1119</v>
      </c>
      <c r="B14" s="1405" t="s">
        <v>1171</v>
      </c>
      <c r="C14" s="1406">
        <v>0</v>
      </c>
      <c r="D14" s="1407">
        <v>0</v>
      </c>
      <c r="E14" s="1406">
        <v>0</v>
      </c>
      <c r="F14" s="1408">
        <f t="shared" si="0"/>
        <v>0</v>
      </c>
    </row>
    <row r="15" spans="1:6" x14ac:dyDescent="0.25">
      <c r="A15" s="1404" t="s">
        <v>1121</v>
      </c>
      <c r="B15" s="1405" t="s">
        <v>1172</v>
      </c>
      <c r="C15" s="1406">
        <f>SUM(C10:C14)</f>
        <v>3495964</v>
      </c>
      <c r="D15" s="1407">
        <v>0</v>
      </c>
      <c r="E15" s="1406">
        <v>0</v>
      </c>
      <c r="F15" s="1408">
        <f t="shared" si="0"/>
        <v>3495964</v>
      </c>
    </row>
    <row r="16" spans="1:6" x14ac:dyDescent="0.25">
      <c r="A16" s="1404" t="s">
        <v>1123</v>
      </c>
      <c r="B16" s="1405" t="s">
        <v>1173</v>
      </c>
      <c r="C16" s="1406">
        <v>11</v>
      </c>
      <c r="D16" s="1407">
        <v>0</v>
      </c>
      <c r="E16" s="1406">
        <v>0</v>
      </c>
      <c r="F16" s="1408">
        <f t="shared" si="0"/>
        <v>11</v>
      </c>
    </row>
    <row r="17" spans="1:6" x14ac:dyDescent="0.25">
      <c r="A17" s="1404" t="s">
        <v>1125</v>
      </c>
      <c r="B17" s="1405" t="s">
        <v>1174</v>
      </c>
      <c r="C17" s="1406">
        <v>0</v>
      </c>
      <c r="D17" s="1407">
        <v>0</v>
      </c>
      <c r="E17" s="1406">
        <v>0</v>
      </c>
      <c r="F17" s="1408">
        <f t="shared" si="0"/>
        <v>0</v>
      </c>
    </row>
    <row r="18" spans="1:6" x14ac:dyDescent="0.25">
      <c r="A18" s="1404" t="s">
        <v>1127</v>
      </c>
      <c r="B18" s="1405" t="s">
        <v>1175</v>
      </c>
      <c r="C18" s="1406">
        <v>0</v>
      </c>
      <c r="D18" s="1407">
        <v>0</v>
      </c>
      <c r="E18" s="1406">
        <v>0</v>
      </c>
      <c r="F18" s="1408">
        <f t="shared" si="0"/>
        <v>0</v>
      </c>
    </row>
    <row r="19" spans="1:6" ht="31.5" x14ac:dyDescent="0.25">
      <c r="A19" s="1404" t="s">
        <v>1129</v>
      </c>
      <c r="B19" s="1405" t="s">
        <v>1176</v>
      </c>
      <c r="C19" s="1406">
        <v>0</v>
      </c>
      <c r="D19" s="1407">
        <v>0</v>
      </c>
      <c r="E19" s="1406">
        <v>0</v>
      </c>
      <c r="F19" s="1408">
        <f t="shared" si="0"/>
        <v>0</v>
      </c>
    </row>
    <row r="20" spans="1:6" x14ac:dyDescent="0.25">
      <c r="A20" s="1404" t="s">
        <v>1131</v>
      </c>
      <c r="B20" s="1405" t="s">
        <v>1177</v>
      </c>
      <c r="C20" s="1406">
        <v>0</v>
      </c>
      <c r="D20" s="1407">
        <v>0</v>
      </c>
      <c r="E20" s="1406">
        <v>0</v>
      </c>
      <c r="F20" s="1408">
        <f t="shared" si="0"/>
        <v>0</v>
      </c>
    </row>
    <row r="21" spans="1:6" x14ac:dyDescent="0.25">
      <c r="A21" s="1404" t="s">
        <v>1133</v>
      </c>
      <c r="B21" s="1405" t="s">
        <v>1178</v>
      </c>
      <c r="C21" s="1406">
        <v>0</v>
      </c>
      <c r="D21" s="1407">
        <v>0</v>
      </c>
      <c r="E21" s="1406">
        <v>0</v>
      </c>
      <c r="F21" s="1408">
        <f t="shared" si="0"/>
        <v>0</v>
      </c>
    </row>
    <row r="22" spans="1:6" x14ac:dyDescent="0.25">
      <c r="A22" s="1404" t="s">
        <v>1135</v>
      </c>
      <c r="B22" s="1405" t="s">
        <v>1179</v>
      </c>
      <c r="C22" s="1406">
        <v>0</v>
      </c>
      <c r="D22" s="1407">
        <v>0</v>
      </c>
      <c r="E22" s="1406">
        <v>0</v>
      </c>
      <c r="F22" s="1408">
        <f t="shared" si="0"/>
        <v>0</v>
      </c>
    </row>
    <row r="23" spans="1:6" ht="31.5" x14ac:dyDescent="0.25">
      <c r="A23" s="1404" t="s">
        <v>1137</v>
      </c>
      <c r="B23" s="1405" t="s">
        <v>1180</v>
      </c>
      <c r="C23" s="1406">
        <v>11</v>
      </c>
      <c r="D23" s="1407">
        <v>0</v>
      </c>
      <c r="E23" s="1406">
        <v>0</v>
      </c>
      <c r="F23" s="1408">
        <f t="shared" si="0"/>
        <v>11</v>
      </c>
    </row>
    <row r="24" spans="1:6" x14ac:dyDescent="0.25">
      <c r="A24" s="1404" t="s">
        <v>1139</v>
      </c>
      <c r="B24" s="1405" t="s">
        <v>1181</v>
      </c>
      <c r="C24" s="1406">
        <v>0</v>
      </c>
      <c r="D24" s="1407">
        <v>0</v>
      </c>
      <c r="E24" s="1406">
        <v>0</v>
      </c>
      <c r="F24" s="1408">
        <f t="shared" si="0"/>
        <v>0</v>
      </c>
    </row>
    <row r="25" spans="1:6" ht="31.5" x14ac:dyDescent="0.25">
      <c r="A25" s="1404" t="s">
        <v>1182</v>
      </c>
      <c r="B25" s="1405" t="s">
        <v>1183</v>
      </c>
      <c r="C25" s="1406">
        <v>0</v>
      </c>
      <c r="D25" s="1407">
        <v>0</v>
      </c>
      <c r="E25" s="1406">
        <v>0</v>
      </c>
      <c r="F25" s="1408">
        <f t="shared" si="0"/>
        <v>0</v>
      </c>
    </row>
    <row r="26" spans="1:6" ht="32.25" thickBot="1" x14ac:dyDescent="0.3">
      <c r="A26" s="1404" t="s">
        <v>1184</v>
      </c>
      <c r="B26" s="1405" t="s">
        <v>1185</v>
      </c>
      <c r="C26" s="1406">
        <v>0</v>
      </c>
      <c r="D26" s="1407">
        <v>0</v>
      </c>
      <c r="E26" s="1406">
        <v>0</v>
      </c>
      <c r="F26" s="1408">
        <f t="shared" si="0"/>
        <v>0</v>
      </c>
    </row>
    <row r="27" spans="1:6" ht="48" thickBot="1" x14ac:dyDescent="0.3">
      <c r="A27" s="1410" t="s">
        <v>1186</v>
      </c>
      <c r="B27" s="1411" t="s">
        <v>1187</v>
      </c>
      <c r="C27" s="1412">
        <f>C9+C15+C16</f>
        <v>3498075</v>
      </c>
      <c r="D27" s="1413">
        <v>0</v>
      </c>
      <c r="E27" s="1412">
        <v>0</v>
      </c>
      <c r="F27" s="1414">
        <f t="shared" si="0"/>
        <v>3498075</v>
      </c>
    </row>
    <row r="28" spans="1:6" x14ac:dyDescent="0.25">
      <c r="A28" s="1404" t="s">
        <v>1188</v>
      </c>
      <c r="B28" s="1405" t="s">
        <v>1189</v>
      </c>
      <c r="C28" s="1406">
        <v>0</v>
      </c>
      <c r="D28" s="1407">
        <v>0</v>
      </c>
      <c r="E28" s="1406">
        <v>0</v>
      </c>
      <c r="F28" s="1408">
        <f t="shared" si="0"/>
        <v>0</v>
      </c>
    </row>
    <row r="29" spans="1:6" x14ac:dyDescent="0.25">
      <c r="A29" s="1404" t="s">
        <v>1190</v>
      </c>
      <c r="B29" s="1405" t="s">
        <v>1191</v>
      </c>
      <c r="C29" s="1406">
        <v>0</v>
      </c>
      <c r="D29" s="1407">
        <v>0</v>
      </c>
      <c r="E29" s="1406">
        <v>0</v>
      </c>
      <c r="F29" s="1408">
        <f t="shared" si="0"/>
        <v>0</v>
      </c>
    </row>
    <row r="30" spans="1:6" x14ac:dyDescent="0.25">
      <c r="A30" s="1404" t="s">
        <v>1192</v>
      </c>
      <c r="B30" s="1405" t="s">
        <v>1193</v>
      </c>
      <c r="C30" s="1406">
        <v>0</v>
      </c>
      <c r="D30" s="1407">
        <v>0</v>
      </c>
      <c r="E30" s="1406">
        <v>0</v>
      </c>
      <c r="F30" s="1408">
        <f t="shared" si="0"/>
        <v>0</v>
      </c>
    </row>
    <row r="31" spans="1:6" x14ac:dyDescent="0.25">
      <c r="A31" s="1404" t="s">
        <v>1194</v>
      </c>
      <c r="B31" s="1405" t="s">
        <v>1195</v>
      </c>
      <c r="C31" s="1406">
        <v>0</v>
      </c>
      <c r="D31" s="1407">
        <v>0</v>
      </c>
      <c r="E31" s="1406">
        <v>0</v>
      </c>
      <c r="F31" s="1408">
        <f t="shared" si="0"/>
        <v>0</v>
      </c>
    </row>
    <row r="32" spans="1:6" x14ac:dyDescent="0.25">
      <c r="A32" s="1404" t="s">
        <v>1196</v>
      </c>
      <c r="B32" s="1405" t="s">
        <v>1197</v>
      </c>
      <c r="C32" s="1406">
        <v>0</v>
      </c>
      <c r="D32" s="1407">
        <v>0</v>
      </c>
      <c r="E32" s="1406">
        <v>0</v>
      </c>
      <c r="F32" s="1408">
        <f t="shared" si="0"/>
        <v>0</v>
      </c>
    </row>
    <row r="33" spans="1:6" x14ac:dyDescent="0.25">
      <c r="A33" s="1404" t="s">
        <v>1198</v>
      </c>
      <c r="B33" s="1405" t="s">
        <v>1199</v>
      </c>
      <c r="C33" s="1406">
        <v>0</v>
      </c>
      <c r="D33" s="1407">
        <v>0</v>
      </c>
      <c r="E33" s="1406">
        <v>0</v>
      </c>
      <c r="F33" s="1408">
        <f t="shared" si="0"/>
        <v>0</v>
      </c>
    </row>
    <row r="34" spans="1:6" x14ac:dyDescent="0.25">
      <c r="A34" s="1404" t="s">
        <v>1200</v>
      </c>
      <c r="B34" s="1405" t="s">
        <v>1201</v>
      </c>
      <c r="C34" s="1406">
        <v>0</v>
      </c>
      <c r="D34" s="1407">
        <v>0</v>
      </c>
      <c r="E34" s="1406">
        <v>0</v>
      </c>
      <c r="F34" s="1408">
        <f t="shared" si="0"/>
        <v>0</v>
      </c>
    </row>
    <row r="35" spans="1:6" ht="31.5" x14ac:dyDescent="0.25">
      <c r="A35" s="1404" t="s">
        <v>1202</v>
      </c>
      <c r="B35" s="1405" t="s">
        <v>1203</v>
      </c>
      <c r="C35" s="1406">
        <v>0</v>
      </c>
      <c r="D35" s="1407">
        <v>0</v>
      </c>
      <c r="E35" s="1406">
        <v>0</v>
      </c>
      <c r="F35" s="1408">
        <f t="shared" si="0"/>
        <v>0</v>
      </c>
    </row>
    <row r="36" spans="1:6" x14ac:dyDescent="0.25">
      <c r="A36" s="1404" t="s">
        <v>1204</v>
      </c>
      <c r="B36" s="1405" t="s">
        <v>1205</v>
      </c>
      <c r="C36" s="1406">
        <v>0</v>
      </c>
      <c r="D36" s="1407">
        <v>0</v>
      </c>
      <c r="E36" s="1406">
        <v>0</v>
      </c>
      <c r="F36" s="1408">
        <f t="shared" si="0"/>
        <v>0</v>
      </c>
    </row>
    <row r="37" spans="1:6" x14ac:dyDescent="0.25">
      <c r="A37" s="1404" t="s">
        <v>1206</v>
      </c>
      <c r="B37" s="1405" t="s">
        <v>1207</v>
      </c>
      <c r="C37" s="1406">
        <v>0</v>
      </c>
      <c r="D37" s="1407">
        <v>0</v>
      </c>
      <c r="E37" s="1406">
        <v>0</v>
      </c>
      <c r="F37" s="1408">
        <f t="shared" si="0"/>
        <v>0</v>
      </c>
    </row>
    <row r="38" spans="1:6" x14ac:dyDescent="0.25">
      <c r="A38" s="1404" t="s">
        <v>1208</v>
      </c>
      <c r="B38" s="1405" t="s">
        <v>1209</v>
      </c>
      <c r="C38" s="1406">
        <v>0</v>
      </c>
      <c r="D38" s="1407">
        <v>0</v>
      </c>
      <c r="E38" s="1406">
        <v>0</v>
      </c>
      <c r="F38" s="1408">
        <f t="shared" si="0"/>
        <v>0</v>
      </c>
    </row>
    <row r="39" spans="1:6" x14ac:dyDescent="0.25">
      <c r="A39" s="1404" t="s">
        <v>1210</v>
      </c>
      <c r="B39" s="1405" t="s">
        <v>1211</v>
      </c>
      <c r="C39" s="1406">
        <v>0</v>
      </c>
      <c r="D39" s="1407">
        <v>0</v>
      </c>
      <c r="E39" s="1406">
        <v>0</v>
      </c>
      <c r="F39" s="1408">
        <f t="shared" si="0"/>
        <v>0</v>
      </c>
    </row>
    <row r="40" spans="1:6" x14ac:dyDescent="0.25">
      <c r="A40" s="1404" t="s">
        <v>1212</v>
      </c>
      <c r="B40" s="1405" t="s">
        <v>1213</v>
      </c>
      <c r="C40" s="1406">
        <v>0</v>
      </c>
      <c r="D40" s="1407">
        <v>0</v>
      </c>
      <c r="E40" s="1406">
        <v>0</v>
      </c>
      <c r="F40" s="1408">
        <f t="shared" si="0"/>
        <v>0</v>
      </c>
    </row>
    <row r="41" spans="1:6" ht="16.5" thickBot="1" x14ac:dyDescent="0.3">
      <c r="A41" s="1404" t="s">
        <v>1214</v>
      </c>
      <c r="B41" s="1405" t="s">
        <v>1215</v>
      </c>
      <c r="C41" s="1406">
        <v>0</v>
      </c>
      <c r="D41" s="1407">
        <v>0</v>
      </c>
      <c r="E41" s="1406">
        <v>0</v>
      </c>
      <c r="F41" s="1408">
        <f t="shared" si="0"/>
        <v>0</v>
      </c>
    </row>
    <row r="42" spans="1:6" ht="32.25" thickBot="1" x14ac:dyDescent="0.3">
      <c r="A42" s="1410" t="s">
        <v>1216</v>
      </c>
      <c r="B42" s="1411" t="s">
        <v>1217</v>
      </c>
      <c r="C42" s="1412">
        <v>0</v>
      </c>
      <c r="D42" s="1413">
        <v>0</v>
      </c>
      <c r="E42" s="1412">
        <v>0</v>
      </c>
      <c r="F42" s="1414">
        <f t="shared" si="0"/>
        <v>0</v>
      </c>
    </row>
    <row r="43" spans="1:6" x14ac:dyDescent="0.25">
      <c r="A43" s="1404" t="s">
        <v>1218</v>
      </c>
      <c r="B43" s="1405" t="s">
        <v>1219</v>
      </c>
      <c r="C43" s="1406">
        <v>0</v>
      </c>
      <c r="D43" s="1407">
        <v>0</v>
      </c>
      <c r="E43" s="1406">
        <v>0</v>
      </c>
      <c r="F43" s="1408">
        <f t="shared" si="0"/>
        <v>0</v>
      </c>
    </row>
    <row r="44" spans="1:6" x14ac:dyDescent="0.25">
      <c r="A44" s="1404" t="s">
        <v>1220</v>
      </c>
      <c r="B44" s="1405" t="s">
        <v>1221</v>
      </c>
      <c r="C44" s="1406">
        <v>103</v>
      </c>
      <c r="D44" s="1407">
        <v>25</v>
      </c>
      <c r="E44" s="1406">
        <v>36</v>
      </c>
      <c r="F44" s="1408">
        <f t="shared" si="0"/>
        <v>164</v>
      </c>
    </row>
    <row r="45" spans="1:6" x14ac:dyDescent="0.25">
      <c r="A45" s="1404" t="s">
        <v>1222</v>
      </c>
      <c r="B45" s="1405" t="s">
        <v>1223</v>
      </c>
      <c r="C45" s="1406">
        <v>101297</v>
      </c>
      <c r="D45" s="1407">
        <v>382</v>
      </c>
      <c r="E45" s="1406">
        <v>451</v>
      </c>
      <c r="F45" s="1408">
        <f t="shared" si="0"/>
        <v>102130</v>
      </c>
    </row>
    <row r="46" spans="1:6" x14ac:dyDescent="0.25">
      <c r="A46" s="1404" t="s">
        <v>1224</v>
      </c>
      <c r="B46" s="1405" t="s">
        <v>1225</v>
      </c>
      <c r="C46" s="1406">
        <v>0</v>
      </c>
      <c r="D46" s="1407">
        <v>0</v>
      </c>
      <c r="E46" s="1406"/>
      <c r="F46" s="1408">
        <f t="shared" si="0"/>
        <v>0</v>
      </c>
    </row>
    <row r="47" spans="1:6" ht="16.5" thickBot="1" x14ac:dyDescent="0.3">
      <c r="A47" s="1404" t="s">
        <v>1226</v>
      </c>
      <c r="B47" s="1405" t="s">
        <v>1227</v>
      </c>
      <c r="C47" s="1406">
        <v>0</v>
      </c>
      <c r="D47" s="1407">
        <v>0</v>
      </c>
      <c r="E47" s="1406"/>
      <c r="F47" s="1408">
        <f t="shared" si="0"/>
        <v>0</v>
      </c>
    </row>
    <row r="48" spans="1:6" ht="16.5" thickBot="1" x14ac:dyDescent="0.3">
      <c r="A48" s="1410" t="s">
        <v>1228</v>
      </c>
      <c r="B48" s="1411" t="s">
        <v>1229</v>
      </c>
      <c r="C48" s="1412">
        <f>SUM(C44:C47)</f>
        <v>101400</v>
      </c>
      <c r="D48" s="1412">
        <f t="shared" ref="D48:E48" si="1">SUM(D44:D47)</f>
        <v>407</v>
      </c>
      <c r="E48" s="1412">
        <f t="shared" si="1"/>
        <v>487</v>
      </c>
      <c r="F48" s="1414">
        <f t="shared" si="0"/>
        <v>102294</v>
      </c>
    </row>
    <row r="49" spans="1:6" ht="31.5" x14ac:dyDescent="0.25">
      <c r="A49" s="1404" t="s">
        <v>1230</v>
      </c>
      <c r="B49" s="1405" t="s">
        <v>1231</v>
      </c>
      <c r="C49" s="1406">
        <v>0</v>
      </c>
      <c r="D49" s="1407">
        <v>0</v>
      </c>
      <c r="E49" s="1406">
        <v>0</v>
      </c>
      <c r="F49" s="1408">
        <f t="shared" si="0"/>
        <v>0</v>
      </c>
    </row>
    <row r="50" spans="1:6" ht="47.25" x14ac:dyDescent="0.25">
      <c r="A50" s="1404" t="s">
        <v>1232</v>
      </c>
      <c r="B50" s="1405" t="s">
        <v>1233</v>
      </c>
      <c r="C50" s="1406">
        <v>0</v>
      </c>
      <c r="D50" s="1407">
        <v>0</v>
      </c>
      <c r="E50" s="1406">
        <v>0</v>
      </c>
      <c r="F50" s="1408">
        <f t="shared" si="0"/>
        <v>0</v>
      </c>
    </row>
    <row r="51" spans="1:6" ht="31.5" x14ac:dyDescent="0.25">
      <c r="A51" s="1404" t="s">
        <v>1234</v>
      </c>
      <c r="B51" s="1405" t="s">
        <v>1235</v>
      </c>
      <c r="C51" s="1406">
        <v>0</v>
      </c>
      <c r="D51" s="1407">
        <v>0</v>
      </c>
      <c r="E51" s="1406">
        <v>0</v>
      </c>
      <c r="F51" s="1408">
        <f t="shared" si="0"/>
        <v>0</v>
      </c>
    </row>
    <row r="52" spans="1:6" ht="47.25" x14ac:dyDescent="0.25">
      <c r="A52" s="1404" t="s">
        <v>1236</v>
      </c>
      <c r="B52" s="1405" t="s">
        <v>1237</v>
      </c>
      <c r="C52" s="1406">
        <v>0</v>
      </c>
      <c r="D52" s="1407">
        <v>0</v>
      </c>
      <c r="E52" s="1406">
        <v>0</v>
      </c>
      <c r="F52" s="1408">
        <f t="shared" si="0"/>
        <v>0</v>
      </c>
    </row>
    <row r="53" spans="1:6" ht="31.5" x14ac:dyDescent="0.25">
      <c r="A53" s="1404" t="s">
        <v>1238</v>
      </c>
      <c r="B53" s="1405" t="s">
        <v>1239</v>
      </c>
      <c r="C53" s="1406">
        <v>0</v>
      </c>
      <c r="D53" s="1407">
        <v>0</v>
      </c>
      <c r="E53" s="1406">
        <v>0</v>
      </c>
      <c r="F53" s="1408">
        <f t="shared" si="0"/>
        <v>0</v>
      </c>
    </row>
    <row r="54" spans="1:6" ht="31.5" x14ac:dyDescent="0.25">
      <c r="A54" s="1404" t="s">
        <v>1240</v>
      </c>
      <c r="B54" s="1405" t="s">
        <v>1241</v>
      </c>
      <c r="C54" s="1406">
        <v>0</v>
      </c>
      <c r="D54" s="1407">
        <v>0</v>
      </c>
      <c r="E54" s="1406">
        <v>2</v>
      </c>
      <c r="F54" s="1408">
        <f t="shared" si="0"/>
        <v>2</v>
      </c>
    </row>
    <row r="55" spans="1:6" ht="31.5" x14ac:dyDescent="0.25">
      <c r="A55" s="1404" t="s">
        <v>1242</v>
      </c>
      <c r="B55" s="1405" t="s">
        <v>1243</v>
      </c>
      <c r="C55" s="1406">
        <v>0</v>
      </c>
      <c r="D55" s="1407">
        <v>0</v>
      </c>
      <c r="E55" s="1406">
        <v>0</v>
      </c>
      <c r="F55" s="1408">
        <f t="shared" si="0"/>
        <v>0</v>
      </c>
    </row>
    <row r="56" spans="1:6" ht="31.5" x14ac:dyDescent="0.25">
      <c r="A56" s="1404" t="s">
        <v>1244</v>
      </c>
      <c r="B56" s="1405" t="s">
        <v>1245</v>
      </c>
      <c r="C56" s="1406">
        <v>0</v>
      </c>
      <c r="D56" s="1407">
        <v>0</v>
      </c>
      <c r="E56" s="1406">
        <v>0</v>
      </c>
      <c r="F56" s="1408">
        <f t="shared" si="0"/>
        <v>0</v>
      </c>
    </row>
    <row r="57" spans="1:6" ht="47.25" x14ac:dyDescent="0.25">
      <c r="A57" s="1404" t="s">
        <v>1246</v>
      </c>
      <c r="B57" s="1405" t="s">
        <v>1247</v>
      </c>
      <c r="C57" s="1406">
        <v>0</v>
      </c>
      <c r="D57" s="1407">
        <v>0</v>
      </c>
      <c r="E57" s="1406">
        <v>0</v>
      </c>
      <c r="F57" s="1408">
        <f t="shared" si="0"/>
        <v>0</v>
      </c>
    </row>
    <row r="58" spans="1:6" ht="31.5" x14ac:dyDescent="0.25">
      <c r="A58" s="1404" t="s">
        <v>1248</v>
      </c>
      <c r="B58" s="1405" t="s">
        <v>1249</v>
      </c>
      <c r="C58" s="1406">
        <v>0</v>
      </c>
      <c r="D58" s="1407">
        <v>0</v>
      </c>
      <c r="E58" s="1406">
        <v>0</v>
      </c>
      <c r="F58" s="1408">
        <f t="shared" si="0"/>
        <v>0</v>
      </c>
    </row>
    <row r="59" spans="1:6" ht="47.25" x14ac:dyDescent="0.25">
      <c r="A59" s="1404" t="s">
        <v>1250</v>
      </c>
      <c r="B59" s="1405" t="s">
        <v>1251</v>
      </c>
      <c r="C59" s="1406">
        <v>0</v>
      </c>
      <c r="D59" s="1407">
        <v>0</v>
      </c>
      <c r="E59" s="1406">
        <v>0</v>
      </c>
      <c r="F59" s="1408">
        <f t="shared" si="0"/>
        <v>0</v>
      </c>
    </row>
    <row r="60" spans="1:6" ht="31.5" x14ac:dyDescent="0.25">
      <c r="A60" s="1404" t="s">
        <v>1252</v>
      </c>
      <c r="B60" s="1405" t="s">
        <v>1253</v>
      </c>
      <c r="C60" s="1406">
        <v>0</v>
      </c>
      <c r="D60" s="1407">
        <v>0</v>
      </c>
      <c r="E60" s="1406">
        <v>0</v>
      </c>
      <c r="F60" s="1408">
        <f t="shared" si="0"/>
        <v>0</v>
      </c>
    </row>
    <row r="61" spans="1:6" ht="31.5" x14ac:dyDescent="0.25">
      <c r="A61" s="1404" t="s">
        <v>1254</v>
      </c>
      <c r="B61" s="1405" t="s">
        <v>1255</v>
      </c>
      <c r="C61" s="1406">
        <v>0</v>
      </c>
      <c r="D61" s="1407">
        <v>0</v>
      </c>
      <c r="E61" s="1406">
        <v>0</v>
      </c>
      <c r="F61" s="1408">
        <f t="shared" si="0"/>
        <v>0</v>
      </c>
    </row>
    <row r="62" spans="1:6" ht="31.5" x14ac:dyDescent="0.25">
      <c r="A62" s="1404" t="s">
        <v>1256</v>
      </c>
      <c r="B62" s="1405" t="s">
        <v>1257</v>
      </c>
      <c r="C62" s="1406">
        <v>0</v>
      </c>
      <c r="D62" s="1407">
        <v>0</v>
      </c>
      <c r="E62" s="1406">
        <v>0</v>
      </c>
      <c r="F62" s="1408">
        <f t="shared" si="0"/>
        <v>0</v>
      </c>
    </row>
    <row r="63" spans="1:6" ht="47.25" x14ac:dyDescent="0.25">
      <c r="A63" s="1404" t="s">
        <v>1258</v>
      </c>
      <c r="B63" s="1405" t="s">
        <v>1259</v>
      </c>
      <c r="C63" s="1406">
        <v>0</v>
      </c>
      <c r="D63" s="1407">
        <v>0</v>
      </c>
      <c r="E63" s="1406">
        <v>0</v>
      </c>
      <c r="F63" s="1408">
        <f t="shared" si="0"/>
        <v>0</v>
      </c>
    </row>
    <row r="64" spans="1:6" ht="47.25" x14ac:dyDescent="0.25">
      <c r="A64" s="1404" t="s">
        <v>1260</v>
      </c>
      <c r="B64" s="1405" t="s">
        <v>1261</v>
      </c>
      <c r="C64" s="1406">
        <v>0</v>
      </c>
      <c r="D64" s="1407">
        <v>0</v>
      </c>
      <c r="E64" s="1406">
        <v>0</v>
      </c>
      <c r="F64" s="1408">
        <f t="shared" si="0"/>
        <v>0</v>
      </c>
    </row>
    <row r="65" spans="1:6" ht="47.25" x14ac:dyDescent="0.25">
      <c r="A65" s="1404" t="s">
        <v>1262</v>
      </c>
      <c r="B65" s="1405" t="s">
        <v>1263</v>
      </c>
      <c r="C65" s="1406">
        <v>0</v>
      </c>
      <c r="D65" s="1407">
        <v>0</v>
      </c>
      <c r="E65" s="1406">
        <v>0</v>
      </c>
      <c r="F65" s="1408">
        <f t="shared" si="0"/>
        <v>0</v>
      </c>
    </row>
    <row r="66" spans="1:6" ht="47.25" x14ac:dyDescent="0.25">
      <c r="A66" s="1404" t="s">
        <v>1264</v>
      </c>
      <c r="B66" s="1405" t="s">
        <v>1265</v>
      </c>
      <c r="C66" s="1406">
        <v>0</v>
      </c>
      <c r="D66" s="1407">
        <v>0</v>
      </c>
      <c r="E66" s="1406">
        <v>0</v>
      </c>
      <c r="F66" s="1408">
        <f t="shared" si="0"/>
        <v>0</v>
      </c>
    </row>
    <row r="67" spans="1:6" ht="31.5" x14ac:dyDescent="0.25">
      <c r="A67" s="1404" t="s">
        <v>1266</v>
      </c>
      <c r="B67" s="1405" t="s">
        <v>1267</v>
      </c>
      <c r="C67" s="1406">
        <v>0</v>
      </c>
      <c r="D67" s="1407">
        <v>0</v>
      </c>
      <c r="E67" s="1406">
        <v>0</v>
      </c>
      <c r="F67" s="1408">
        <f t="shared" si="0"/>
        <v>0</v>
      </c>
    </row>
    <row r="68" spans="1:6" ht="31.5" x14ac:dyDescent="0.25">
      <c r="A68" s="1404" t="s">
        <v>1268</v>
      </c>
      <c r="B68" s="1405" t="s">
        <v>1269</v>
      </c>
      <c r="C68" s="1406">
        <v>0</v>
      </c>
      <c r="D68" s="1407">
        <v>0</v>
      </c>
      <c r="E68" s="1406">
        <v>0</v>
      </c>
      <c r="F68" s="1408">
        <f t="shared" si="0"/>
        <v>0</v>
      </c>
    </row>
    <row r="69" spans="1:6" ht="31.5" x14ac:dyDescent="0.25">
      <c r="A69" s="1404" t="s">
        <v>1270</v>
      </c>
      <c r="B69" s="1405" t="s">
        <v>1271</v>
      </c>
      <c r="C69" s="1406">
        <v>0</v>
      </c>
      <c r="D69" s="1407">
        <v>0</v>
      </c>
      <c r="E69" s="1406">
        <v>0</v>
      </c>
      <c r="F69" s="1408">
        <f t="shared" si="0"/>
        <v>0</v>
      </c>
    </row>
    <row r="70" spans="1:6" ht="31.5" x14ac:dyDescent="0.25">
      <c r="A70" s="1404" t="s">
        <v>1272</v>
      </c>
      <c r="B70" s="1405" t="s">
        <v>1273</v>
      </c>
      <c r="C70" s="1406">
        <v>0</v>
      </c>
      <c r="D70" s="1407">
        <v>0</v>
      </c>
      <c r="E70" s="1406">
        <v>0</v>
      </c>
      <c r="F70" s="1408">
        <f t="shared" si="0"/>
        <v>0</v>
      </c>
    </row>
    <row r="71" spans="1:6" ht="47.25" x14ac:dyDescent="0.25">
      <c r="A71" s="1404" t="s">
        <v>1274</v>
      </c>
      <c r="B71" s="1405" t="s">
        <v>1275</v>
      </c>
      <c r="C71" s="1406">
        <v>0</v>
      </c>
      <c r="D71" s="1407">
        <v>0</v>
      </c>
      <c r="E71" s="1406">
        <v>0</v>
      </c>
      <c r="F71" s="1408">
        <f t="shared" ref="F71:F135" si="2">SUM(C71:E71)</f>
        <v>0</v>
      </c>
    </row>
    <row r="72" spans="1:6" ht="31.5" x14ac:dyDescent="0.25">
      <c r="A72" s="1404" t="s">
        <v>1276</v>
      </c>
      <c r="B72" s="1405" t="s">
        <v>1277</v>
      </c>
      <c r="C72" s="1406">
        <v>0</v>
      </c>
      <c r="D72" s="1407">
        <v>0</v>
      </c>
      <c r="E72" s="1406">
        <v>0</v>
      </c>
      <c r="F72" s="1408">
        <f t="shared" si="2"/>
        <v>0</v>
      </c>
    </row>
    <row r="73" spans="1:6" ht="47.25" x14ac:dyDescent="0.25">
      <c r="A73" s="1404" t="s">
        <v>1278</v>
      </c>
      <c r="B73" s="1405" t="s">
        <v>1279</v>
      </c>
      <c r="C73" s="1406">
        <v>0</v>
      </c>
      <c r="D73" s="1407">
        <v>0</v>
      </c>
      <c r="E73" s="1406">
        <v>0</v>
      </c>
      <c r="F73" s="1408">
        <f t="shared" si="2"/>
        <v>0</v>
      </c>
    </row>
    <row r="74" spans="1:6" ht="31.5" x14ac:dyDescent="0.25">
      <c r="A74" s="1404" t="s">
        <v>1280</v>
      </c>
      <c r="B74" s="1405" t="s">
        <v>1281</v>
      </c>
      <c r="C74" s="1406">
        <v>0</v>
      </c>
      <c r="D74" s="1407">
        <v>0</v>
      </c>
      <c r="E74" s="1406">
        <v>0</v>
      </c>
      <c r="F74" s="1408">
        <f t="shared" si="2"/>
        <v>0</v>
      </c>
    </row>
    <row r="75" spans="1:6" ht="31.5" x14ac:dyDescent="0.25">
      <c r="A75" s="1404" t="s">
        <v>1282</v>
      </c>
      <c r="B75" s="1405" t="s">
        <v>1283</v>
      </c>
      <c r="C75" s="1406">
        <v>0</v>
      </c>
      <c r="D75" s="1407">
        <v>0</v>
      </c>
      <c r="E75" s="1406">
        <v>0</v>
      </c>
      <c r="F75" s="1408">
        <f t="shared" si="2"/>
        <v>0</v>
      </c>
    </row>
    <row r="76" spans="1:6" ht="31.5" x14ac:dyDescent="0.25">
      <c r="A76" s="1404" t="s">
        <v>1284</v>
      </c>
      <c r="B76" s="1405" t="s">
        <v>1285</v>
      </c>
      <c r="C76" s="1406">
        <v>0</v>
      </c>
      <c r="D76" s="1407">
        <v>0</v>
      </c>
      <c r="E76" s="1406">
        <v>0</v>
      </c>
      <c r="F76" s="1408">
        <f t="shared" si="2"/>
        <v>0</v>
      </c>
    </row>
    <row r="77" spans="1:6" x14ac:dyDescent="0.25">
      <c r="A77" s="1404" t="s">
        <v>1286</v>
      </c>
      <c r="B77" s="1405" t="s">
        <v>1287</v>
      </c>
      <c r="C77" s="1406">
        <v>2429</v>
      </c>
      <c r="D77" s="1407">
        <v>290</v>
      </c>
      <c r="E77" s="1406">
        <v>17</v>
      </c>
      <c r="F77" s="1408">
        <f t="shared" si="2"/>
        <v>2736</v>
      </c>
    </row>
    <row r="78" spans="1:6" x14ac:dyDescent="0.25">
      <c r="A78" s="1404" t="s">
        <v>1288</v>
      </c>
      <c r="B78" s="1405" t="s">
        <v>1289</v>
      </c>
      <c r="C78" s="1406">
        <v>0</v>
      </c>
      <c r="D78" s="1407">
        <v>0</v>
      </c>
      <c r="E78" s="1406">
        <v>0</v>
      </c>
      <c r="F78" s="1408">
        <f t="shared" si="2"/>
        <v>0</v>
      </c>
    </row>
    <row r="79" spans="1:6" x14ac:dyDescent="0.25">
      <c r="A79" s="1404" t="s">
        <v>1290</v>
      </c>
      <c r="B79" s="1405" t="s">
        <v>1291</v>
      </c>
      <c r="C79" s="1406">
        <v>0</v>
      </c>
      <c r="D79" s="1407">
        <v>0</v>
      </c>
      <c r="E79" s="1406">
        <v>0</v>
      </c>
      <c r="F79" s="1408">
        <f t="shared" si="2"/>
        <v>0</v>
      </c>
    </row>
    <row r="80" spans="1:6" x14ac:dyDescent="0.25">
      <c r="A80" s="1404" t="s">
        <v>1292</v>
      </c>
      <c r="B80" s="1405" t="s">
        <v>1293</v>
      </c>
      <c r="C80" s="1406">
        <v>0</v>
      </c>
      <c r="D80" s="1407">
        <v>0</v>
      </c>
      <c r="E80" s="1406">
        <v>0</v>
      </c>
      <c r="F80" s="1408">
        <f t="shared" si="2"/>
        <v>0</v>
      </c>
    </row>
    <row r="81" spans="1:6" s="1388" customFormat="1" x14ac:dyDescent="0.25">
      <c r="A81" s="1394" t="s">
        <v>1294</v>
      </c>
      <c r="B81" s="1335" t="s">
        <v>1295</v>
      </c>
      <c r="C81" s="1415">
        <v>2429</v>
      </c>
      <c r="D81" s="1336">
        <v>290</v>
      </c>
      <c r="E81" s="1415">
        <v>17</v>
      </c>
      <c r="F81" s="1416">
        <v>2736</v>
      </c>
    </row>
    <row r="82" spans="1:6" s="1328" customFormat="1" x14ac:dyDescent="0.25">
      <c r="A82" s="1394" t="s">
        <v>1296</v>
      </c>
      <c r="B82" s="1335" t="s">
        <v>1297</v>
      </c>
      <c r="C82" s="1417">
        <v>0</v>
      </c>
      <c r="D82" s="1418">
        <v>0</v>
      </c>
      <c r="E82" s="1417">
        <v>0</v>
      </c>
      <c r="F82" s="1419">
        <v>0</v>
      </c>
    </row>
    <row r="83" spans="1:6" ht="31.5" x14ac:dyDescent="0.25">
      <c r="A83" s="1404" t="s">
        <v>1298</v>
      </c>
      <c r="B83" s="1405" t="s">
        <v>1299</v>
      </c>
      <c r="C83" s="1406">
        <v>0</v>
      </c>
      <c r="D83" s="1407">
        <v>0</v>
      </c>
      <c r="E83" s="1406">
        <v>0</v>
      </c>
      <c r="F83" s="1408">
        <f t="shared" si="2"/>
        <v>0</v>
      </c>
    </row>
    <row r="84" spans="1:6" x14ac:dyDescent="0.25">
      <c r="A84" s="1404" t="s">
        <v>1300</v>
      </c>
      <c r="B84" s="1405" t="s">
        <v>1301</v>
      </c>
      <c r="C84" s="1406">
        <v>0</v>
      </c>
      <c r="D84" s="1407">
        <v>0</v>
      </c>
      <c r="E84" s="1406">
        <v>0</v>
      </c>
      <c r="F84" s="1408">
        <f t="shared" si="2"/>
        <v>0</v>
      </c>
    </row>
    <row r="85" spans="1:6" x14ac:dyDescent="0.25">
      <c r="A85" s="1404" t="s">
        <v>1302</v>
      </c>
      <c r="B85" s="1405" t="s">
        <v>1303</v>
      </c>
      <c r="C85" s="1406">
        <v>0</v>
      </c>
      <c r="D85" s="1407">
        <v>0</v>
      </c>
      <c r="E85" s="1406">
        <v>0</v>
      </c>
      <c r="F85" s="1408">
        <f t="shared" si="2"/>
        <v>0</v>
      </c>
    </row>
    <row r="86" spans="1:6" ht="31.5" x14ac:dyDescent="0.25">
      <c r="A86" s="1404" t="s">
        <v>1304</v>
      </c>
      <c r="B86" s="1405" t="s">
        <v>1305</v>
      </c>
      <c r="C86" s="1406">
        <v>0</v>
      </c>
      <c r="D86" s="1407">
        <v>0</v>
      </c>
      <c r="E86" s="1406">
        <v>0</v>
      </c>
      <c r="F86" s="1408">
        <f t="shared" si="2"/>
        <v>0</v>
      </c>
    </row>
    <row r="87" spans="1:6" ht="31.5" x14ac:dyDescent="0.25">
      <c r="A87" s="1404" t="s">
        <v>1306</v>
      </c>
      <c r="B87" s="1405" t="s">
        <v>1307</v>
      </c>
      <c r="C87" s="1406">
        <v>0</v>
      </c>
      <c r="D87" s="1407">
        <v>0</v>
      </c>
      <c r="E87" s="1406">
        <v>0</v>
      </c>
      <c r="F87" s="1408">
        <f t="shared" si="2"/>
        <v>0</v>
      </c>
    </row>
    <row r="88" spans="1:6" ht="31.5" x14ac:dyDescent="0.25">
      <c r="A88" s="1404" t="s">
        <v>1308</v>
      </c>
      <c r="B88" s="1405" t="s">
        <v>1309</v>
      </c>
      <c r="C88" s="1406">
        <v>0</v>
      </c>
      <c r="D88" s="1407">
        <v>0</v>
      </c>
      <c r="E88" s="1406">
        <v>0</v>
      </c>
      <c r="F88" s="1408">
        <f t="shared" si="2"/>
        <v>0</v>
      </c>
    </row>
    <row r="89" spans="1:6" ht="32.25" thickBot="1" x14ac:dyDescent="0.3">
      <c r="A89" s="1404" t="s">
        <v>1310</v>
      </c>
      <c r="B89" s="1405" t="s">
        <v>1311</v>
      </c>
      <c r="C89" s="1406">
        <v>0</v>
      </c>
      <c r="D89" s="1407">
        <v>0</v>
      </c>
      <c r="E89" s="1406">
        <v>0</v>
      </c>
      <c r="F89" s="1408">
        <f t="shared" si="2"/>
        <v>0</v>
      </c>
    </row>
    <row r="90" spans="1:6" ht="16.5" thickBot="1" x14ac:dyDescent="0.3">
      <c r="A90" s="1410" t="s">
        <v>1312</v>
      </c>
      <c r="B90" s="1411" t="s">
        <v>1313</v>
      </c>
      <c r="C90" s="1412">
        <v>2429</v>
      </c>
      <c r="D90" s="1413">
        <v>290</v>
      </c>
      <c r="E90" s="1412">
        <v>19</v>
      </c>
      <c r="F90" s="1414">
        <f t="shared" si="2"/>
        <v>2738</v>
      </c>
    </row>
    <row r="91" spans="1:6" ht="32.25" thickBot="1" x14ac:dyDescent="0.3">
      <c r="A91" s="1410" t="s">
        <v>1314</v>
      </c>
      <c r="B91" s="1411" t="s">
        <v>1315</v>
      </c>
      <c r="C91" s="1412">
        <v>0</v>
      </c>
      <c r="D91" s="1413">
        <v>0</v>
      </c>
      <c r="E91" s="1412">
        <v>0</v>
      </c>
      <c r="F91" s="1414">
        <f t="shared" si="2"/>
        <v>0</v>
      </c>
    </row>
    <row r="92" spans="1:6" x14ac:dyDescent="0.25">
      <c r="A92" s="1404" t="s">
        <v>1316</v>
      </c>
      <c r="B92" s="1405" t="s">
        <v>1317</v>
      </c>
      <c r="C92" s="1406">
        <v>0</v>
      </c>
      <c r="D92" s="1407">
        <v>0</v>
      </c>
      <c r="E92" s="1406">
        <v>0</v>
      </c>
      <c r="F92" s="1408">
        <f t="shared" si="2"/>
        <v>0</v>
      </c>
    </row>
    <row r="93" spans="1:6" x14ac:dyDescent="0.25">
      <c r="A93" s="1404" t="s">
        <v>1318</v>
      </c>
      <c r="B93" s="1405" t="s">
        <v>1319</v>
      </c>
      <c r="C93" s="1406">
        <v>0</v>
      </c>
      <c r="D93" s="1407">
        <v>0</v>
      </c>
      <c r="E93" s="1406">
        <v>0</v>
      </c>
      <c r="F93" s="1408">
        <f t="shared" si="2"/>
        <v>0</v>
      </c>
    </row>
    <row r="94" spans="1:6" ht="16.5" thickBot="1" x14ac:dyDescent="0.3">
      <c r="A94" s="1404" t="s">
        <v>1320</v>
      </c>
      <c r="B94" s="1405" t="s">
        <v>1321</v>
      </c>
      <c r="C94" s="1406">
        <v>0</v>
      </c>
      <c r="D94" s="1407">
        <v>0</v>
      </c>
      <c r="E94" s="1406">
        <v>0</v>
      </c>
      <c r="F94" s="1408">
        <f t="shared" si="2"/>
        <v>0</v>
      </c>
    </row>
    <row r="95" spans="1:6" ht="32.25" thickBot="1" x14ac:dyDescent="0.3">
      <c r="A95" s="1410" t="s">
        <v>1322</v>
      </c>
      <c r="B95" s="1411" t="s">
        <v>1323</v>
      </c>
      <c r="C95" s="1412">
        <v>0</v>
      </c>
      <c r="D95" s="1413">
        <v>0</v>
      </c>
      <c r="E95" s="1412">
        <v>0</v>
      </c>
      <c r="F95" s="1414">
        <f t="shared" si="2"/>
        <v>0</v>
      </c>
    </row>
    <row r="96" spans="1:6" ht="32.25" thickBot="1" x14ac:dyDescent="0.3">
      <c r="A96" s="1398" t="s">
        <v>1324</v>
      </c>
      <c r="B96" s="1399" t="s">
        <v>1325</v>
      </c>
      <c r="C96" s="1400">
        <v>3601904</v>
      </c>
      <c r="D96" s="1401">
        <v>697</v>
      </c>
      <c r="E96" s="1400">
        <v>506</v>
      </c>
      <c r="F96" s="1403">
        <f t="shared" si="2"/>
        <v>3603107</v>
      </c>
    </row>
    <row r="97" spans="1:6" ht="27" customHeight="1" thickBot="1" x14ac:dyDescent="0.3">
      <c r="A97" s="1420"/>
      <c r="B97" s="1421"/>
      <c r="C97" s="1422"/>
      <c r="D97" s="1423"/>
      <c r="E97" s="1422"/>
      <c r="F97" s="1422"/>
    </row>
    <row r="98" spans="1:6" ht="16.5" thickBot="1" x14ac:dyDescent="0.3">
      <c r="A98" s="1398" t="s">
        <v>1161</v>
      </c>
      <c r="B98" s="1399" t="s">
        <v>1326</v>
      </c>
      <c r="C98" s="1400"/>
      <c r="D98" s="1401"/>
      <c r="E98" s="1400"/>
      <c r="F98" s="1403">
        <f t="shared" si="2"/>
        <v>0</v>
      </c>
    </row>
    <row r="99" spans="1:6" x14ac:dyDescent="0.25">
      <c r="A99" s="1404" t="s">
        <v>1327</v>
      </c>
      <c r="B99" s="1405" t="s">
        <v>1328</v>
      </c>
      <c r="C99" s="1406">
        <v>3559077</v>
      </c>
      <c r="D99" s="1407">
        <v>0</v>
      </c>
      <c r="E99" s="1406">
        <v>0</v>
      </c>
      <c r="F99" s="1408">
        <f t="shared" si="2"/>
        <v>3559077</v>
      </c>
    </row>
    <row r="100" spans="1:6" x14ac:dyDescent="0.25">
      <c r="A100" s="1404" t="s">
        <v>1329</v>
      </c>
      <c r="B100" s="1405" t="s">
        <v>1330</v>
      </c>
      <c r="C100" s="1406">
        <v>0</v>
      </c>
      <c r="D100" s="1407">
        <v>0</v>
      </c>
      <c r="E100" s="1406">
        <v>0</v>
      </c>
      <c r="F100" s="1408">
        <f t="shared" si="2"/>
        <v>0</v>
      </c>
    </row>
    <row r="101" spans="1:6" x14ac:dyDescent="0.25">
      <c r="A101" s="1404" t="s">
        <v>1331</v>
      </c>
      <c r="B101" s="1405" t="s">
        <v>1332</v>
      </c>
      <c r="C101" s="1406">
        <v>15234</v>
      </c>
      <c r="D101" s="1407">
        <v>71</v>
      </c>
      <c r="E101" s="1406">
        <v>336</v>
      </c>
      <c r="F101" s="1408">
        <f t="shared" si="2"/>
        <v>15641</v>
      </c>
    </row>
    <row r="102" spans="1:6" x14ac:dyDescent="0.25">
      <c r="A102" s="1404" t="s">
        <v>1333</v>
      </c>
      <c r="B102" s="1405" t="s">
        <v>1334</v>
      </c>
      <c r="C102" s="1406">
        <v>-40676</v>
      </c>
      <c r="D102" s="1407">
        <v>-359</v>
      </c>
      <c r="E102" s="1406">
        <v>-623</v>
      </c>
      <c r="F102" s="1408">
        <f t="shared" si="2"/>
        <v>-41658</v>
      </c>
    </row>
    <row r="103" spans="1:6" x14ac:dyDescent="0.25">
      <c r="A103" s="1404" t="s">
        <v>1335</v>
      </c>
      <c r="B103" s="1405" t="s">
        <v>1336</v>
      </c>
      <c r="C103" s="1406">
        <v>0</v>
      </c>
      <c r="D103" s="1407">
        <v>0</v>
      </c>
      <c r="E103" s="1406">
        <v>0</v>
      </c>
      <c r="F103" s="1408">
        <f t="shared" si="2"/>
        <v>0</v>
      </c>
    </row>
    <row r="104" spans="1:6" ht="16.5" thickBot="1" x14ac:dyDescent="0.3">
      <c r="A104" s="1404" t="s">
        <v>1337</v>
      </c>
      <c r="B104" s="1405" t="s">
        <v>1338</v>
      </c>
      <c r="C104" s="1406">
        <v>53799</v>
      </c>
      <c r="D104" s="1407">
        <v>985</v>
      </c>
      <c r="E104" s="1406">
        <v>793</v>
      </c>
      <c r="F104" s="1408">
        <f t="shared" si="2"/>
        <v>55577</v>
      </c>
    </row>
    <row r="105" spans="1:6" ht="16.5" thickBot="1" x14ac:dyDescent="0.3">
      <c r="A105" s="1410" t="s">
        <v>1339</v>
      </c>
      <c r="B105" s="1411" t="s">
        <v>1340</v>
      </c>
      <c r="C105" s="1412">
        <f>SUM(C99:C104)</f>
        <v>3587434</v>
      </c>
      <c r="D105" s="1413">
        <v>697</v>
      </c>
      <c r="E105" s="1412">
        <v>506</v>
      </c>
      <c r="F105" s="1414">
        <f t="shared" si="2"/>
        <v>3588637</v>
      </c>
    </row>
    <row r="106" spans="1:6" ht="31.5" x14ac:dyDescent="0.25">
      <c r="A106" s="1404" t="s">
        <v>1341</v>
      </c>
      <c r="B106" s="1405" t="s">
        <v>1342</v>
      </c>
      <c r="C106" s="1406">
        <v>0</v>
      </c>
      <c r="D106" s="1407">
        <v>0</v>
      </c>
      <c r="E106" s="1406">
        <v>0</v>
      </c>
      <c r="F106" s="1408">
        <f t="shared" si="2"/>
        <v>0</v>
      </c>
    </row>
    <row r="107" spans="1:6" ht="31.5" x14ac:dyDescent="0.25">
      <c r="A107" s="1404" t="s">
        <v>1343</v>
      </c>
      <c r="B107" s="1405" t="s">
        <v>1344</v>
      </c>
      <c r="C107" s="1406">
        <v>0</v>
      </c>
      <c r="D107" s="1407">
        <v>0</v>
      </c>
      <c r="E107" s="1406">
        <v>0</v>
      </c>
      <c r="F107" s="1408">
        <f t="shared" si="2"/>
        <v>0</v>
      </c>
    </row>
    <row r="108" spans="1:6" ht="31.5" x14ac:dyDescent="0.25">
      <c r="A108" s="1404" t="s">
        <v>1345</v>
      </c>
      <c r="B108" s="1405" t="s">
        <v>1346</v>
      </c>
      <c r="C108" s="1406">
        <v>0</v>
      </c>
      <c r="D108" s="1407">
        <v>0</v>
      </c>
      <c r="E108" s="1406">
        <v>0</v>
      </c>
      <c r="F108" s="1408">
        <f t="shared" si="2"/>
        <v>0</v>
      </c>
    </row>
    <row r="109" spans="1:6" ht="31.5" x14ac:dyDescent="0.25">
      <c r="A109" s="1404" t="s">
        <v>1347</v>
      </c>
      <c r="B109" s="1405" t="s">
        <v>1348</v>
      </c>
      <c r="C109" s="1406">
        <v>0</v>
      </c>
      <c r="D109" s="1407">
        <v>0</v>
      </c>
      <c r="E109" s="1406">
        <v>0</v>
      </c>
      <c r="F109" s="1408">
        <f t="shared" si="2"/>
        <v>0</v>
      </c>
    </row>
    <row r="110" spans="1:6" ht="31.5" x14ac:dyDescent="0.25">
      <c r="A110" s="1404" t="s">
        <v>1349</v>
      </c>
      <c r="B110" s="1405" t="s">
        <v>1350</v>
      </c>
      <c r="C110" s="1406">
        <v>0</v>
      </c>
      <c r="D110" s="1407">
        <v>0</v>
      </c>
      <c r="E110" s="1406">
        <v>0</v>
      </c>
      <c r="F110" s="1408">
        <f t="shared" si="2"/>
        <v>0</v>
      </c>
    </row>
    <row r="111" spans="1:6" ht="47.25" x14ac:dyDescent="0.25">
      <c r="A111" s="1404" t="s">
        <v>1351</v>
      </c>
      <c r="B111" s="1405" t="s">
        <v>1352</v>
      </c>
      <c r="C111" s="1406">
        <v>0</v>
      </c>
      <c r="D111" s="1407">
        <v>0</v>
      </c>
      <c r="E111" s="1406">
        <v>0</v>
      </c>
      <c r="F111" s="1408">
        <f t="shared" si="2"/>
        <v>0</v>
      </c>
    </row>
    <row r="112" spans="1:6" ht="31.5" x14ac:dyDescent="0.25">
      <c r="A112" s="1404" t="s">
        <v>1353</v>
      </c>
      <c r="B112" s="1405" t="s">
        <v>1354</v>
      </c>
      <c r="C112" s="1406">
        <v>0</v>
      </c>
      <c r="D112" s="1407">
        <v>0</v>
      </c>
      <c r="E112" s="1406">
        <v>0</v>
      </c>
      <c r="F112" s="1408">
        <f t="shared" si="2"/>
        <v>0</v>
      </c>
    </row>
    <row r="113" spans="1:6" ht="31.5" x14ac:dyDescent="0.25">
      <c r="A113" s="1404" t="s">
        <v>1355</v>
      </c>
      <c r="B113" s="1405" t="s">
        <v>1356</v>
      </c>
      <c r="C113" s="1406">
        <v>0</v>
      </c>
      <c r="D113" s="1407">
        <v>0</v>
      </c>
      <c r="E113" s="1406">
        <v>0</v>
      </c>
      <c r="F113" s="1408">
        <f t="shared" si="2"/>
        <v>0</v>
      </c>
    </row>
    <row r="114" spans="1:6" ht="31.5" x14ac:dyDescent="0.25">
      <c r="A114" s="1404" t="s">
        <v>1357</v>
      </c>
      <c r="B114" s="1405" t="s">
        <v>1358</v>
      </c>
      <c r="C114" s="1406">
        <v>0</v>
      </c>
      <c r="D114" s="1407">
        <v>0</v>
      </c>
      <c r="E114" s="1406">
        <v>0</v>
      </c>
      <c r="F114" s="1408">
        <f t="shared" si="2"/>
        <v>0</v>
      </c>
    </row>
    <row r="115" spans="1:6" ht="47.25" x14ac:dyDescent="0.25">
      <c r="A115" s="1404" t="s">
        <v>1359</v>
      </c>
      <c r="B115" s="1405" t="s">
        <v>1360</v>
      </c>
      <c r="C115" s="1406">
        <v>0</v>
      </c>
      <c r="D115" s="1407">
        <v>0</v>
      </c>
      <c r="E115" s="1406">
        <v>0</v>
      </c>
      <c r="F115" s="1408">
        <f t="shared" si="2"/>
        <v>0</v>
      </c>
    </row>
    <row r="116" spans="1:6" ht="31.5" x14ac:dyDescent="0.25">
      <c r="A116" s="1404" t="s">
        <v>1361</v>
      </c>
      <c r="B116" s="1405" t="s">
        <v>1362</v>
      </c>
      <c r="C116" s="1406">
        <v>0</v>
      </c>
      <c r="D116" s="1407">
        <v>0</v>
      </c>
      <c r="E116" s="1406">
        <v>0</v>
      </c>
      <c r="F116" s="1408">
        <f t="shared" si="2"/>
        <v>0</v>
      </c>
    </row>
    <row r="117" spans="1:6" ht="31.5" x14ac:dyDescent="0.25">
      <c r="A117" s="1404" t="s">
        <v>1363</v>
      </c>
      <c r="B117" s="1405" t="s">
        <v>1364</v>
      </c>
      <c r="C117" s="1406">
        <v>0</v>
      </c>
      <c r="D117" s="1407">
        <v>0</v>
      </c>
      <c r="E117" s="1406">
        <v>0</v>
      </c>
      <c r="F117" s="1408">
        <f t="shared" si="2"/>
        <v>0</v>
      </c>
    </row>
    <row r="118" spans="1:6" ht="31.5" x14ac:dyDescent="0.25">
      <c r="A118" s="1404" t="s">
        <v>1365</v>
      </c>
      <c r="B118" s="1405" t="s">
        <v>1366</v>
      </c>
      <c r="C118" s="1406">
        <v>0</v>
      </c>
      <c r="D118" s="1407">
        <v>0</v>
      </c>
      <c r="E118" s="1406">
        <v>0</v>
      </c>
      <c r="F118" s="1408">
        <f t="shared" si="2"/>
        <v>0</v>
      </c>
    </row>
    <row r="119" spans="1:6" ht="47.25" x14ac:dyDescent="0.25">
      <c r="A119" s="1404" t="s">
        <v>1367</v>
      </c>
      <c r="B119" s="1405" t="s">
        <v>1368</v>
      </c>
      <c r="C119" s="1406">
        <v>0</v>
      </c>
      <c r="D119" s="1407">
        <v>0</v>
      </c>
      <c r="E119" s="1406">
        <v>0</v>
      </c>
      <c r="F119" s="1408">
        <f t="shared" si="2"/>
        <v>0</v>
      </c>
    </row>
    <row r="120" spans="1:6" ht="31.5" x14ac:dyDescent="0.25">
      <c r="A120" s="1404" t="s">
        <v>1369</v>
      </c>
      <c r="B120" s="1405" t="s">
        <v>1370</v>
      </c>
      <c r="C120" s="1406">
        <v>0</v>
      </c>
      <c r="D120" s="1407">
        <v>0</v>
      </c>
      <c r="E120" s="1406">
        <v>0</v>
      </c>
      <c r="F120" s="1408">
        <f t="shared" si="2"/>
        <v>0</v>
      </c>
    </row>
    <row r="121" spans="1:6" ht="31.5" x14ac:dyDescent="0.25">
      <c r="A121" s="1404" t="s">
        <v>1371</v>
      </c>
      <c r="B121" s="1405" t="s">
        <v>1372</v>
      </c>
      <c r="C121" s="1406">
        <v>0</v>
      </c>
      <c r="D121" s="1407">
        <v>0</v>
      </c>
      <c r="E121" s="1406">
        <v>0</v>
      </c>
      <c r="F121" s="1408">
        <f t="shared" si="2"/>
        <v>0</v>
      </c>
    </row>
    <row r="122" spans="1:6" ht="31.5" x14ac:dyDescent="0.25">
      <c r="A122" s="1404" t="s">
        <v>1373</v>
      </c>
      <c r="B122" s="1405" t="s">
        <v>1374</v>
      </c>
      <c r="C122" s="1406">
        <v>0</v>
      </c>
      <c r="D122" s="1407">
        <v>0</v>
      </c>
      <c r="E122" s="1406">
        <v>0</v>
      </c>
      <c r="F122" s="1408">
        <f t="shared" si="2"/>
        <v>0</v>
      </c>
    </row>
    <row r="123" spans="1:6" ht="31.5" x14ac:dyDescent="0.25">
      <c r="A123" s="1404" t="s">
        <v>1375</v>
      </c>
      <c r="B123" s="1405" t="s">
        <v>1376</v>
      </c>
      <c r="C123" s="1406">
        <v>0</v>
      </c>
      <c r="D123" s="1407">
        <v>0</v>
      </c>
      <c r="E123" s="1406">
        <v>0</v>
      </c>
      <c r="F123" s="1408">
        <f t="shared" si="2"/>
        <v>0</v>
      </c>
    </row>
    <row r="124" spans="1:6" ht="31.5" x14ac:dyDescent="0.25">
      <c r="A124" s="1404" t="s">
        <v>1377</v>
      </c>
      <c r="B124" s="1405" t="s">
        <v>1378</v>
      </c>
      <c r="C124" s="1406">
        <v>0</v>
      </c>
      <c r="D124" s="1407">
        <v>0</v>
      </c>
      <c r="E124" s="1406">
        <v>0</v>
      </c>
      <c r="F124" s="1408">
        <f t="shared" si="2"/>
        <v>0</v>
      </c>
    </row>
    <row r="125" spans="1:6" ht="31.5" x14ac:dyDescent="0.25">
      <c r="A125" s="1404" t="s">
        <v>1379</v>
      </c>
      <c r="B125" s="1405" t="s">
        <v>1380</v>
      </c>
      <c r="C125" s="1406">
        <v>0</v>
      </c>
      <c r="D125" s="1407">
        <v>0</v>
      </c>
      <c r="E125" s="1406">
        <v>0</v>
      </c>
      <c r="F125" s="1408">
        <f t="shared" si="2"/>
        <v>0</v>
      </c>
    </row>
    <row r="126" spans="1:6" ht="31.5" x14ac:dyDescent="0.25">
      <c r="A126" s="1404" t="s">
        <v>1381</v>
      </c>
      <c r="B126" s="1405" t="s">
        <v>1382</v>
      </c>
      <c r="C126" s="1406">
        <v>0</v>
      </c>
      <c r="D126" s="1407">
        <v>0</v>
      </c>
      <c r="E126" s="1406">
        <v>0</v>
      </c>
      <c r="F126" s="1408">
        <f t="shared" si="2"/>
        <v>0</v>
      </c>
    </row>
    <row r="127" spans="1:6" ht="31.5" x14ac:dyDescent="0.25">
      <c r="A127" s="1404" t="s">
        <v>1383</v>
      </c>
      <c r="B127" s="1405" t="s">
        <v>1384</v>
      </c>
      <c r="C127" s="1406">
        <v>0</v>
      </c>
      <c r="D127" s="1407">
        <v>0</v>
      </c>
      <c r="E127" s="1406">
        <v>0</v>
      </c>
      <c r="F127" s="1408">
        <f t="shared" si="2"/>
        <v>0</v>
      </c>
    </row>
    <row r="128" spans="1:6" ht="31.5" x14ac:dyDescent="0.25">
      <c r="A128" s="1404" t="s">
        <v>1385</v>
      </c>
      <c r="B128" s="1405" t="s">
        <v>1386</v>
      </c>
      <c r="C128" s="1406">
        <v>0</v>
      </c>
      <c r="D128" s="1407">
        <v>0</v>
      </c>
      <c r="E128" s="1406">
        <v>0</v>
      </c>
      <c r="F128" s="1408">
        <f t="shared" si="2"/>
        <v>0</v>
      </c>
    </row>
    <row r="129" spans="1:6" ht="31.5" x14ac:dyDescent="0.25">
      <c r="A129" s="1404" t="s">
        <v>1387</v>
      </c>
      <c r="B129" s="1405" t="s">
        <v>1388</v>
      </c>
      <c r="C129" s="1406">
        <v>0</v>
      </c>
      <c r="D129" s="1407">
        <v>0</v>
      </c>
      <c r="E129" s="1406">
        <v>0</v>
      </c>
      <c r="F129" s="1408">
        <f t="shared" si="2"/>
        <v>0</v>
      </c>
    </row>
    <row r="130" spans="1:6" ht="31.5" x14ac:dyDescent="0.25">
      <c r="A130" s="1404" t="s">
        <v>1389</v>
      </c>
      <c r="B130" s="1405" t="s">
        <v>1390</v>
      </c>
      <c r="C130" s="1406">
        <v>0</v>
      </c>
      <c r="D130" s="1407">
        <v>0</v>
      </c>
      <c r="E130" s="1406">
        <v>0</v>
      </c>
      <c r="F130" s="1408">
        <f t="shared" si="2"/>
        <v>0</v>
      </c>
    </row>
    <row r="131" spans="1:6" ht="47.25" x14ac:dyDescent="0.25">
      <c r="A131" s="1404" t="s">
        <v>1391</v>
      </c>
      <c r="B131" s="1405" t="s">
        <v>1392</v>
      </c>
      <c r="C131" s="1406">
        <v>0</v>
      </c>
      <c r="D131" s="1407">
        <v>0</v>
      </c>
      <c r="E131" s="1406">
        <v>0</v>
      </c>
      <c r="F131" s="1408">
        <f t="shared" si="2"/>
        <v>0</v>
      </c>
    </row>
    <row r="132" spans="1:6" ht="31.5" x14ac:dyDescent="0.25">
      <c r="A132" s="1404" t="s">
        <v>1393</v>
      </c>
      <c r="B132" s="1405" t="s">
        <v>1394</v>
      </c>
      <c r="C132" s="1406">
        <v>0</v>
      </c>
      <c r="D132" s="1407">
        <v>0</v>
      </c>
      <c r="E132" s="1406">
        <v>0</v>
      </c>
      <c r="F132" s="1408">
        <f t="shared" si="2"/>
        <v>0</v>
      </c>
    </row>
    <row r="133" spans="1:6" ht="31.5" x14ac:dyDescent="0.25">
      <c r="A133" s="1404" t="s">
        <v>1395</v>
      </c>
      <c r="B133" s="1405" t="s">
        <v>1396</v>
      </c>
      <c r="C133" s="1406">
        <v>0</v>
      </c>
      <c r="D133" s="1407">
        <v>0</v>
      </c>
      <c r="E133" s="1406">
        <v>0</v>
      </c>
      <c r="F133" s="1408">
        <f t="shared" si="2"/>
        <v>0</v>
      </c>
    </row>
    <row r="134" spans="1:6" ht="31.5" x14ac:dyDescent="0.25">
      <c r="A134" s="1404" t="s">
        <v>1397</v>
      </c>
      <c r="B134" s="1405" t="s">
        <v>1398</v>
      </c>
      <c r="C134" s="1406">
        <v>0</v>
      </c>
      <c r="D134" s="1407">
        <v>0</v>
      </c>
      <c r="E134" s="1406">
        <v>0</v>
      </c>
      <c r="F134" s="1408">
        <f t="shared" si="2"/>
        <v>0</v>
      </c>
    </row>
    <row r="135" spans="1:6" ht="47.25" x14ac:dyDescent="0.25">
      <c r="A135" s="1404" t="s">
        <v>1399</v>
      </c>
      <c r="B135" s="1405" t="s">
        <v>1400</v>
      </c>
      <c r="C135" s="1406">
        <v>0</v>
      </c>
      <c r="D135" s="1407">
        <v>0</v>
      </c>
      <c r="E135" s="1406">
        <v>0</v>
      </c>
      <c r="F135" s="1408">
        <f t="shared" si="2"/>
        <v>0</v>
      </c>
    </row>
    <row r="136" spans="1:6" ht="31.5" x14ac:dyDescent="0.25">
      <c r="A136" s="1404" t="s">
        <v>1401</v>
      </c>
      <c r="B136" s="1405" t="s">
        <v>1402</v>
      </c>
      <c r="C136" s="1406">
        <v>6185</v>
      </c>
      <c r="D136" s="1407">
        <v>0</v>
      </c>
      <c r="E136" s="1406">
        <v>0</v>
      </c>
      <c r="F136" s="1408">
        <f t="shared" ref="F136:F161" si="3">SUM(C136:E136)</f>
        <v>6185</v>
      </c>
    </row>
    <row r="137" spans="1:6" ht="47.25" x14ac:dyDescent="0.25">
      <c r="A137" s="1404" t="s">
        <v>1403</v>
      </c>
      <c r="B137" s="1405" t="s">
        <v>1404</v>
      </c>
      <c r="C137" s="1406">
        <v>6185</v>
      </c>
      <c r="D137" s="1407">
        <v>0</v>
      </c>
      <c r="E137" s="1406">
        <v>0</v>
      </c>
      <c r="F137" s="1408">
        <f t="shared" si="3"/>
        <v>6185</v>
      </c>
    </row>
    <row r="138" spans="1:6" ht="31.5" x14ac:dyDescent="0.25">
      <c r="A138" s="1404" t="s">
        <v>1405</v>
      </c>
      <c r="B138" s="1405" t="s">
        <v>1406</v>
      </c>
      <c r="C138" s="1406">
        <v>0</v>
      </c>
      <c r="D138" s="1407">
        <v>0</v>
      </c>
      <c r="E138" s="1406">
        <v>0</v>
      </c>
      <c r="F138" s="1408">
        <f t="shared" si="3"/>
        <v>0</v>
      </c>
    </row>
    <row r="139" spans="1:6" ht="47.25" x14ac:dyDescent="0.25">
      <c r="A139" s="1404" t="s">
        <v>1407</v>
      </c>
      <c r="B139" s="1405" t="s">
        <v>1408</v>
      </c>
      <c r="C139" s="1406">
        <v>0</v>
      </c>
      <c r="D139" s="1407">
        <v>0</v>
      </c>
      <c r="E139" s="1406">
        <v>0</v>
      </c>
      <c r="F139" s="1408">
        <f t="shared" si="3"/>
        <v>0</v>
      </c>
    </row>
    <row r="140" spans="1:6" ht="31.5" x14ac:dyDescent="0.25">
      <c r="A140" s="1404" t="s">
        <v>1409</v>
      </c>
      <c r="B140" s="1405" t="s">
        <v>1410</v>
      </c>
      <c r="C140" s="1406">
        <v>0</v>
      </c>
      <c r="D140" s="1407">
        <v>0</v>
      </c>
      <c r="E140" s="1406">
        <v>0</v>
      </c>
      <c r="F140" s="1408">
        <f t="shared" si="3"/>
        <v>0</v>
      </c>
    </row>
    <row r="141" spans="1:6" ht="31.5" x14ac:dyDescent="0.25">
      <c r="A141" s="1404" t="s">
        <v>1411</v>
      </c>
      <c r="B141" s="1405" t="s">
        <v>1412</v>
      </c>
      <c r="C141" s="1406">
        <v>0</v>
      </c>
      <c r="D141" s="1407">
        <v>0</v>
      </c>
      <c r="E141" s="1406">
        <v>0</v>
      </c>
      <c r="F141" s="1408">
        <f t="shared" si="3"/>
        <v>0</v>
      </c>
    </row>
    <row r="142" spans="1:6" ht="31.5" x14ac:dyDescent="0.25">
      <c r="A142" s="1404" t="s">
        <v>1413</v>
      </c>
      <c r="B142" s="1405" t="s">
        <v>1414</v>
      </c>
      <c r="C142" s="1406">
        <v>0</v>
      </c>
      <c r="D142" s="1407">
        <v>0</v>
      </c>
      <c r="E142" s="1406">
        <v>0</v>
      </c>
      <c r="F142" s="1408">
        <f t="shared" si="3"/>
        <v>0</v>
      </c>
    </row>
    <row r="143" spans="1:6" ht="31.5" x14ac:dyDescent="0.25">
      <c r="A143" s="1404" t="s">
        <v>1415</v>
      </c>
      <c r="B143" s="1405" t="s">
        <v>1416</v>
      </c>
      <c r="C143" s="1406">
        <v>0</v>
      </c>
      <c r="D143" s="1407">
        <v>0</v>
      </c>
      <c r="E143" s="1406">
        <v>0</v>
      </c>
      <c r="F143" s="1408">
        <f t="shared" si="3"/>
        <v>0</v>
      </c>
    </row>
    <row r="144" spans="1:6" ht="31.5" x14ac:dyDescent="0.25">
      <c r="A144" s="1404" t="s">
        <v>1417</v>
      </c>
      <c r="B144" s="1405" t="s">
        <v>1418</v>
      </c>
      <c r="C144" s="1406">
        <v>0</v>
      </c>
      <c r="D144" s="1407">
        <v>0</v>
      </c>
      <c r="E144" s="1406">
        <v>0</v>
      </c>
      <c r="F144" s="1408">
        <f t="shared" si="3"/>
        <v>0</v>
      </c>
    </row>
    <row r="145" spans="1:6" ht="31.5" x14ac:dyDescent="0.25">
      <c r="A145" s="1404" t="s">
        <v>1419</v>
      </c>
      <c r="B145" s="1405" t="s">
        <v>1420</v>
      </c>
      <c r="C145" s="1406">
        <v>6185</v>
      </c>
      <c r="D145" s="1407">
        <v>0</v>
      </c>
      <c r="E145" s="1406">
        <v>0</v>
      </c>
      <c r="F145" s="1408">
        <f t="shared" si="3"/>
        <v>6185</v>
      </c>
    </row>
    <row r="146" spans="1:6" x14ac:dyDescent="0.25">
      <c r="A146" s="1404" t="s">
        <v>1421</v>
      </c>
      <c r="B146" s="1405" t="s">
        <v>1422</v>
      </c>
      <c r="C146" s="1406">
        <v>0</v>
      </c>
      <c r="D146" s="1407">
        <v>0</v>
      </c>
      <c r="E146" s="1406">
        <v>0</v>
      </c>
      <c r="F146" s="1408">
        <f t="shared" si="3"/>
        <v>0</v>
      </c>
    </row>
    <row r="147" spans="1:6" ht="31.5" x14ac:dyDescent="0.25">
      <c r="A147" s="1404" t="s">
        <v>1423</v>
      </c>
      <c r="B147" s="1405" t="s">
        <v>1424</v>
      </c>
      <c r="C147" s="1406">
        <v>0</v>
      </c>
      <c r="D147" s="1407">
        <v>0</v>
      </c>
      <c r="E147" s="1406">
        <v>0</v>
      </c>
      <c r="F147" s="1408">
        <f t="shared" si="3"/>
        <v>0</v>
      </c>
    </row>
    <row r="148" spans="1:6" x14ac:dyDescent="0.25">
      <c r="A148" s="1404" t="s">
        <v>1425</v>
      </c>
      <c r="B148" s="1405" t="s">
        <v>1426</v>
      </c>
      <c r="C148" s="1406">
        <v>0</v>
      </c>
      <c r="D148" s="1407">
        <v>0</v>
      </c>
      <c r="E148" s="1406">
        <v>0</v>
      </c>
      <c r="F148" s="1408">
        <f t="shared" si="3"/>
        <v>0</v>
      </c>
    </row>
    <row r="149" spans="1:6" x14ac:dyDescent="0.25">
      <c r="A149" s="1404" t="s">
        <v>1427</v>
      </c>
      <c r="B149" s="1405" t="s">
        <v>1428</v>
      </c>
      <c r="C149" s="1406">
        <v>0</v>
      </c>
      <c r="D149" s="1407">
        <v>0</v>
      </c>
      <c r="E149" s="1406">
        <v>0</v>
      </c>
      <c r="F149" s="1408">
        <f t="shared" si="3"/>
        <v>0</v>
      </c>
    </row>
    <row r="150" spans="1:6" ht="31.5" x14ac:dyDescent="0.25">
      <c r="A150" s="1404" t="s">
        <v>1429</v>
      </c>
      <c r="B150" s="1405" t="s">
        <v>1430</v>
      </c>
      <c r="C150" s="1406">
        <v>0</v>
      </c>
      <c r="D150" s="1407">
        <v>0</v>
      </c>
      <c r="E150" s="1406">
        <v>0</v>
      </c>
      <c r="F150" s="1408">
        <f t="shared" si="3"/>
        <v>0</v>
      </c>
    </row>
    <row r="151" spans="1:6" ht="31.5" x14ac:dyDescent="0.25">
      <c r="A151" s="1404" t="s">
        <v>1431</v>
      </c>
      <c r="B151" s="1405" t="s">
        <v>1432</v>
      </c>
      <c r="C151" s="1406">
        <v>0</v>
      </c>
      <c r="D151" s="1407">
        <v>0</v>
      </c>
      <c r="E151" s="1406">
        <v>0</v>
      </c>
      <c r="F151" s="1408">
        <f t="shared" si="3"/>
        <v>0</v>
      </c>
    </row>
    <row r="152" spans="1:6" ht="31.5" x14ac:dyDescent="0.25">
      <c r="A152" s="1404" t="s">
        <v>1433</v>
      </c>
      <c r="B152" s="1405" t="s">
        <v>1434</v>
      </c>
      <c r="C152" s="1406">
        <v>0</v>
      </c>
      <c r="D152" s="1407">
        <v>0</v>
      </c>
      <c r="E152" s="1406">
        <v>0</v>
      </c>
      <c r="F152" s="1408">
        <f t="shared" si="3"/>
        <v>0</v>
      </c>
    </row>
    <row r="153" spans="1:6" ht="32.25" thickBot="1" x14ac:dyDescent="0.3">
      <c r="A153" s="1404" t="s">
        <v>1435</v>
      </c>
      <c r="B153" s="1405" t="s">
        <v>1436</v>
      </c>
      <c r="C153" s="1406">
        <v>8285</v>
      </c>
      <c r="D153" s="1407">
        <v>0</v>
      </c>
      <c r="E153" s="1406">
        <v>0</v>
      </c>
      <c r="F153" s="1408">
        <f t="shared" si="3"/>
        <v>8285</v>
      </c>
    </row>
    <row r="154" spans="1:6" ht="32.25" thickBot="1" x14ac:dyDescent="0.3">
      <c r="A154" s="1410" t="s">
        <v>1437</v>
      </c>
      <c r="B154" s="1411" t="s">
        <v>1438</v>
      </c>
      <c r="C154" s="1412">
        <v>14470</v>
      </c>
      <c r="D154" s="1413">
        <v>0</v>
      </c>
      <c r="E154" s="1412"/>
      <c r="F154" s="1414">
        <f t="shared" si="3"/>
        <v>14470</v>
      </c>
    </row>
    <row r="155" spans="1:6" ht="32.25" thickBot="1" x14ac:dyDescent="0.3">
      <c r="A155" s="1410" t="s">
        <v>1439</v>
      </c>
      <c r="B155" s="1411" t="s">
        <v>1440</v>
      </c>
      <c r="C155" s="1412">
        <v>0</v>
      </c>
      <c r="D155" s="1413">
        <v>0</v>
      </c>
      <c r="E155" s="1412">
        <v>0</v>
      </c>
      <c r="F155" s="1414">
        <f t="shared" si="3"/>
        <v>0</v>
      </c>
    </row>
    <row r="156" spans="1:6" ht="32.25" thickBot="1" x14ac:dyDescent="0.3">
      <c r="A156" s="1410" t="s">
        <v>1441</v>
      </c>
      <c r="B156" s="1411" t="s">
        <v>1442</v>
      </c>
      <c r="C156" s="1412">
        <v>0</v>
      </c>
      <c r="D156" s="1413">
        <v>0</v>
      </c>
      <c r="E156" s="1412">
        <v>0</v>
      </c>
      <c r="F156" s="1414">
        <f t="shared" si="3"/>
        <v>0</v>
      </c>
    </row>
    <row r="157" spans="1:6" s="1424" customFormat="1" ht="15.75" customHeight="1" x14ac:dyDescent="0.25">
      <c r="A157" s="1404" t="s">
        <v>1443</v>
      </c>
      <c r="B157" s="1405" t="s">
        <v>1444</v>
      </c>
      <c r="C157" s="1406">
        <v>0</v>
      </c>
      <c r="D157" s="1407">
        <v>0</v>
      </c>
      <c r="E157" s="1406">
        <v>0</v>
      </c>
      <c r="F157" s="1408">
        <f t="shared" si="3"/>
        <v>0</v>
      </c>
    </row>
    <row r="158" spans="1:6" s="1425" customFormat="1" ht="15.75" customHeight="1" x14ac:dyDescent="0.25">
      <c r="A158" s="1404" t="s">
        <v>1445</v>
      </c>
      <c r="B158" s="1405" t="s">
        <v>1446</v>
      </c>
      <c r="C158" s="1406">
        <v>0</v>
      </c>
      <c r="D158" s="1407"/>
      <c r="E158" s="1406"/>
      <c r="F158" s="1408">
        <f t="shared" si="3"/>
        <v>0</v>
      </c>
    </row>
    <row r="159" spans="1:6" s="1431" customFormat="1" ht="15.75" customHeight="1" thickBot="1" x14ac:dyDescent="0.3">
      <c r="A159" s="1426" t="s">
        <v>1447</v>
      </c>
      <c r="B159" s="1427" t="s">
        <v>1448</v>
      </c>
      <c r="C159" s="1428">
        <v>0</v>
      </c>
      <c r="D159" s="1429">
        <v>0</v>
      </c>
      <c r="E159" s="1428">
        <v>0</v>
      </c>
      <c r="F159" s="1430">
        <f t="shared" si="3"/>
        <v>0</v>
      </c>
    </row>
    <row r="160" spans="1:6" ht="32.25" thickBot="1" x14ac:dyDescent="0.3">
      <c r="A160" s="1410" t="s">
        <v>1449</v>
      </c>
      <c r="B160" s="1411" t="s">
        <v>1450</v>
      </c>
      <c r="C160" s="1412">
        <v>0</v>
      </c>
      <c r="D160" s="1413"/>
      <c r="E160" s="1412"/>
      <c r="F160" s="1414">
        <f t="shared" si="3"/>
        <v>0</v>
      </c>
    </row>
    <row r="161" spans="1:6" ht="32.25" thickBot="1" x14ac:dyDescent="0.3">
      <c r="A161" s="1432" t="s">
        <v>1451</v>
      </c>
      <c r="B161" s="1433" t="s">
        <v>1452</v>
      </c>
      <c r="C161" s="1434">
        <v>3601904</v>
      </c>
      <c r="D161" s="1435">
        <v>697</v>
      </c>
      <c r="E161" s="1434">
        <v>506</v>
      </c>
      <c r="F161" s="1436">
        <f t="shared" si="3"/>
        <v>3603107</v>
      </c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scale="84" fitToHeight="0" orientation="portrait" horizontalDpi="300" verticalDpi="300" r:id="rId1"/>
  <headerFooter alignWithMargins="0">
    <oddHeader>&amp;R&amp;"Times New Roman CE,Félkövér"&amp;11 13. melléklet a ./2016. (.) önkormányzati rendelethez</oddHeader>
  </headerFooter>
  <rowBreaks count="1" manualBreakCount="1">
    <brk id="4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F162"/>
  <sheetViews>
    <sheetView view="pageLayout" zoomScaleNormal="100" zoomScaleSheetLayoutView="100" workbookViewId="0">
      <selection activeCell="E164" sqref="E163:E164"/>
    </sheetView>
  </sheetViews>
  <sheetFormatPr defaultColWidth="8.83203125" defaultRowHeight="15.75" x14ac:dyDescent="0.25"/>
  <cols>
    <col min="1" max="1" width="9" style="1437" bestFit="1" customWidth="1"/>
    <col min="2" max="2" width="83.33203125" style="1437" bestFit="1" customWidth="1"/>
    <col min="3" max="3" width="14" style="1437" customWidth="1"/>
    <col min="4" max="4" width="14.83203125" style="1437" customWidth="1"/>
    <col min="5" max="5" width="14.83203125" style="1580" customWidth="1"/>
    <col min="6" max="6" width="13.33203125" style="1437" bestFit="1" customWidth="1"/>
    <col min="7" max="16384" width="8.83203125" style="1437"/>
  </cols>
  <sheetData>
    <row r="1" spans="1:6" ht="15.75" customHeight="1" x14ac:dyDescent="0.25">
      <c r="A1" s="1674" t="s">
        <v>1512</v>
      </c>
      <c r="B1" s="1674"/>
      <c r="C1" s="1674"/>
      <c r="D1" s="1674"/>
      <c r="E1" s="1674"/>
      <c r="F1" s="1549"/>
    </row>
    <row r="2" spans="1:6" x14ac:dyDescent="0.25">
      <c r="A2" s="1675">
        <v>42369</v>
      </c>
      <c r="B2" s="1675"/>
      <c r="C2" s="1675"/>
      <c r="D2" s="1675"/>
      <c r="E2" s="1675"/>
      <c r="F2" s="1550"/>
    </row>
    <row r="3" spans="1:6" ht="16.5" thickBot="1" x14ac:dyDescent="0.3">
      <c r="A3" s="1551"/>
      <c r="B3" s="1551"/>
      <c r="C3" s="1551"/>
      <c r="D3" s="1551"/>
      <c r="E3" s="1552"/>
      <c r="F3" s="1550"/>
    </row>
    <row r="4" spans="1:6" ht="31.5" x14ac:dyDescent="0.25">
      <c r="A4" s="1553"/>
      <c r="B4" s="1554" t="s">
        <v>12</v>
      </c>
      <c r="C4" s="1554" t="s">
        <v>1513</v>
      </c>
      <c r="D4" s="1554" t="s">
        <v>1514</v>
      </c>
      <c r="E4" s="1555" t="s">
        <v>1515</v>
      </c>
    </row>
    <row r="5" spans="1:6" ht="16.5" thickBot="1" x14ac:dyDescent="0.3">
      <c r="A5" s="1556">
        <v>1</v>
      </c>
      <c r="B5" s="1557">
        <v>2</v>
      </c>
      <c r="C5" s="1557">
        <v>3</v>
      </c>
      <c r="D5" s="1557">
        <v>4</v>
      </c>
      <c r="E5" s="1558">
        <v>5</v>
      </c>
    </row>
    <row r="6" spans="1:6" ht="16.5" thickBot="1" x14ac:dyDescent="0.3">
      <c r="A6" s="1559" t="s">
        <v>1161</v>
      </c>
      <c r="B6" s="1560" t="s">
        <v>1162</v>
      </c>
      <c r="C6" s="1561"/>
      <c r="D6" s="1561"/>
      <c r="E6" s="1562"/>
    </row>
    <row r="7" spans="1:6" x14ac:dyDescent="0.25">
      <c r="A7" s="1563" t="s">
        <v>891</v>
      </c>
      <c r="B7" s="1564" t="s">
        <v>1163</v>
      </c>
      <c r="C7" s="1565">
        <v>0</v>
      </c>
      <c r="D7" s="1565">
        <v>0</v>
      </c>
      <c r="E7" s="1566"/>
    </row>
    <row r="8" spans="1:6" x14ac:dyDescent="0.25">
      <c r="A8" s="1567" t="s">
        <v>7</v>
      </c>
      <c r="B8" s="1568" t="s">
        <v>1164</v>
      </c>
      <c r="C8" s="1406">
        <v>3</v>
      </c>
      <c r="D8" s="1406">
        <v>2100</v>
      </c>
      <c r="E8" s="1569">
        <f>D8/C8</f>
        <v>700</v>
      </c>
    </row>
    <row r="9" spans="1:6" ht="16.5" thickBot="1" x14ac:dyDescent="0.3">
      <c r="A9" s="1570" t="s">
        <v>8</v>
      </c>
      <c r="B9" s="1571" t="s">
        <v>1165</v>
      </c>
      <c r="C9" s="1428">
        <v>0</v>
      </c>
      <c r="D9" s="1428">
        <v>0</v>
      </c>
      <c r="E9" s="1572"/>
    </row>
    <row r="10" spans="1:6" ht="16.5" thickBot="1" x14ac:dyDescent="0.3">
      <c r="A10" s="1573" t="s">
        <v>10</v>
      </c>
      <c r="B10" s="1574" t="s">
        <v>1166</v>
      </c>
      <c r="C10" s="1412">
        <v>3</v>
      </c>
      <c r="D10" s="1412">
        <v>2100</v>
      </c>
      <c r="E10" s="1575">
        <f>D10/C10</f>
        <v>700</v>
      </c>
    </row>
    <row r="11" spans="1:6" x14ac:dyDescent="0.25">
      <c r="A11" s="1563" t="s">
        <v>1111</v>
      </c>
      <c r="B11" s="1564" t="s">
        <v>1167</v>
      </c>
      <c r="C11" s="1565">
        <v>2890608</v>
      </c>
      <c r="D11" s="1565">
        <v>3410061</v>
      </c>
      <c r="E11" s="1566">
        <f>D11/C11</f>
        <v>1.1797037163115855</v>
      </c>
    </row>
    <row r="12" spans="1:6" x14ac:dyDescent="0.25">
      <c r="A12" s="1567" t="s">
        <v>1113</v>
      </c>
      <c r="B12" s="1568" t="s">
        <v>1168</v>
      </c>
      <c r="C12" s="1406">
        <v>2479</v>
      </c>
      <c r="D12" s="1406">
        <v>2405</v>
      </c>
      <c r="E12" s="1569">
        <f>D12/C12</f>
        <v>0.97014925373134331</v>
      </c>
    </row>
    <row r="13" spans="1:6" x14ac:dyDescent="0.25">
      <c r="A13" s="1567" t="s">
        <v>1115</v>
      </c>
      <c r="B13" s="1568" t="s">
        <v>1169</v>
      </c>
      <c r="C13" s="1406">
        <v>0</v>
      </c>
      <c r="D13" s="1406">
        <v>0</v>
      </c>
      <c r="E13" s="1569"/>
    </row>
    <row r="14" spans="1:6" x14ac:dyDescent="0.25">
      <c r="A14" s="1567" t="s">
        <v>1117</v>
      </c>
      <c r="B14" s="1568" t="s">
        <v>1170</v>
      </c>
      <c r="C14" s="1406">
        <v>0</v>
      </c>
      <c r="D14" s="1406">
        <v>83498</v>
      </c>
      <c r="E14" s="1569">
        <v>0</v>
      </c>
    </row>
    <row r="15" spans="1:6" ht="16.5" thickBot="1" x14ac:dyDescent="0.3">
      <c r="A15" s="1570" t="s">
        <v>1119</v>
      </c>
      <c r="B15" s="1571" t="s">
        <v>1171</v>
      </c>
      <c r="C15" s="1428">
        <v>0</v>
      </c>
      <c r="D15" s="1428">
        <v>0</v>
      </c>
      <c r="E15" s="1572"/>
    </row>
    <row r="16" spans="1:6" ht="16.5" thickBot="1" x14ac:dyDescent="0.3">
      <c r="A16" s="1573" t="s">
        <v>1121</v>
      </c>
      <c r="B16" s="1574" t="s">
        <v>1172</v>
      </c>
      <c r="C16" s="1412">
        <v>2893087</v>
      </c>
      <c r="D16" s="1412">
        <v>3495964</v>
      </c>
      <c r="E16" s="1575">
        <f>D16/C16</f>
        <v>1.2083853682934527</v>
      </c>
    </row>
    <row r="17" spans="1:5" x14ac:dyDescent="0.25">
      <c r="A17" s="1563" t="s">
        <v>1123</v>
      </c>
      <c r="B17" s="1564" t="s">
        <v>1173</v>
      </c>
      <c r="C17" s="1565">
        <v>11</v>
      </c>
      <c r="D17" s="1565">
        <v>11</v>
      </c>
      <c r="E17" s="1566">
        <f>D17/C17</f>
        <v>1</v>
      </c>
    </row>
    <row r="18" spans="1:5" x14ac:dyDescent="0.25">
      <c r="A18" s="1567" t="s">
        <v>1125</v>
      </c>
      <c r="B18" s="1568" t="s">
        <v>1174</v>
      </c>
      <c r="C18" s="1406">
        <v>0</v>
      </c>
      <c r="D18" s="1406">
        <v>0</v>
      </c>
      <c r="E18" s="1569"/>
    </row>
    <row r="19" spans="1:5" x14ac:dyDescent="0.25">
      <c r="A19" s="1567" t="s">
        <v>1127</v>
      </c>
      <c r="B19" s="1568" t="s">
        <v>1175</v>
      </c>
      <c r="C19" s="1406">
        <v>0</v>
      </c>
      <c r="D19" s="1406">
        <v>0</v>
      </c>
      <c r="E19" s="1569"/>
    </row>
    <row r="20" spans="1:5" x14ac:dyDescent="0.25">
      <c r="A20" s="1567" t="s">
        <v>1129</v>
      </c>
      <c r="B20" s="1568" t="s">
        <v>1176</v>
      </c>
      <c r="C20" s="1406">
        <v>0</v>
      </c>
      <c r="D20" s="1406">
        <v>0</v>
      </c>
      <c r="E20" s="1569"/>
    </row>
    <row r="21" spans="1:5" x14ac:dyDescent="0.25">
      <c r="A21" s="1567" t="s">
        <v>1131</v>
      </c>
      <c r="B21" s="1568" t="s">
        <v>1177</v>
      </c>
      <c r="C21" s="1406">
        <v>0</v>
      </c>
      <c r="D21" s="1406">
        <v>0</v>
      </c>
      <c r="E21" s="1569"/>
    </row>
    <row r="22" spans="1:5" x14ac:dyDescent="0.25">
      <c r="A22" s="1567" t="s">
        <v>1133</v>
      </c>
      <c r="B22" s="1568" t="s">
        <v>1178</v>
      </c>
      <c r="C22" s="1406">
        <v>0</v>
      </c>
      <c r="D22" s="1406">
        <v>0</v>
      </c>
      <c r="E22" s="1569"/>
    </row>
    <row r="23" spans="1:5" ht="16.5" thickBot="1" x14ac:dyDescent="0.3">
      <c r="A23" s="1570" t="s">
        <v>1135</v>
      </c>
      <c r="B23" s="1571" t="s">
        <v>1179</v>
      </c>
      <c r="C23" s="1428">
        <v>0</v>
      </c>
      <c r="D23" s="1428">
        <v>0</v>
      </c>
      <c r="E23" s="1572"/>
    </row>
    <row r="24" spans="1:5" ht="32.25" thickBot="1" x14ac:dyDescent="0.3">
      <c r="A24" s="1573" t="s">
        <v>1137</v>
      </c>
      <c r="B24" s="1574" t="s">
        <v>1180</v>
      </c>
      <c r="C24" s="1412">
        <v>11</v>
      </c>
      <c r="D24" s="1412">
        <v>11</v>
      </c>
      <c r="E24" s="1575">
        <f>D24/C24</f>
        <v>1</v>
      </c>
    </row>
    <row r="25" spans="1:5" x14ac:dyDescent="0.25">
      <c r="A25" s="1563" t="s">
        <v>1139</v>
      </c>
      <c r="B25" s="1564" t="s">
        <v>1181</v>
      </c>
      <c r="C25" s="1565">
        <v>563532</v>
      </c>
      <c r="D25" s="1565">
        <v>0</v>
      </c>
      <c r="E25" s="1566"/>
    </row>
    <row r="26" spans="1:5" ht="16.5" thickBot="1" x14ac:dyDescent="0.3">
      <c r="A26" s="1570" t="s">
        <v>1182</v>
      </c>
      <c r="B26" s="1571" t="s">
        <v>1183</v>
      </c>
      <c r="C26" s="1428">
        <v>0</v>
      </c>
      <c r="D26" s="1428">
        <v>0</v>
      </c>
      <c r="E26" s="1572"/>
    </row>
    <row r="27" spans="1:5" ht="32.25" thickBot="1" x14ac:dyDescent="0.3">
      <c r="A27" s="1573" t="s">
        <v>1184</v>
      </c>
      <c r="B27" s="1574" t="s">
        <v>1185</v>
      </c>
      <c r="C27" s="1412">
        <v>563532</v>
      </c>
      <c r="D27" s="1412">
        <v>0</v>
      </c>
      <c r="E27" s="1575"/>
    </row>
    <row r="28" spans="1:5" ht="32.25" thickBot="1" x14ac:dyDescent="0.3">
      <c r="A28" s="1573" t="s">
        <v>1186</v>
      </c>
      <c r="B28" s="1574" t="s">
        <v>1187</v>
      </c>
      <c r="C28" s="1412">
        <v>3456633</v>
      </c>
      <c r="D28" s="1412">
        <f>D10+D16+D24+D27</f>
        <v>3498075</v>
      </c>
      <c r="E28" s="1575">
        <f>D28/C28</f>
        <v>1.0119891235199108</v>
      </c>
    </row>
    <row r="29" spans="1:5" x14ac:dyDescent="0.25">
      <c r="A29" s="1563" t="s">
        <v>1188</v>
      </c>
      <c r="B29" s="1564" t="s">
        <v>1189</v>
      </c>
      <c r="C29" s="1565">
        <v>0</v>
      </c>
      <c r="D29" s="1565">
        <v>0</v>
      </c>
      <c r="E29" s="1566"/>
    </row>
    <row r="30" spans="1:5" x14ac:dyDescent="0.25">
      <c r="A30" s="1567" t="s">
        <v>1190</v>
      </c>
      <c r="B30" s="1568" t="s">
        <v>1191</v>
      </c>
      <c r="C30" s="1406">
        <v>0</v>
      </c>
      <c r="D30" s="1406">
        <v>0</v>
      </c>
      <c r="E30" s="1569"/>
    </row>
    <row r="31" spans="1:5" x14ac:dyDescent="0.25">
      <c r="A31" s="1567" t="s">
        <v>1192</v>
      </c>
      <c r="B31" s="1568" t="s">
        <v>1193</v>
      </c>
      <c r="C31" s="1406">
        <v>0</v>
      </c>
      <c r="D31" s="1406">
        <v>0</v>
      </c>
      <c r="E31" s="1569"/>
    </row>
    <row r="32" spans="1:5" x14ac:dyDescent="0.25">
      <c r="A32" s="1567" t="s">
        <v>1194</v>
      </c>
      <c r="B32" s="1568" t="s">
        <v>1195</v>
      </c>
      <c r="C32" s="1406">
        <v>0</v>
      </c>
      <c r="D32" s="1406">
        <v>0</v>
      </c>
      <c r="E32" s="1569"/>
    </row>
    <row r="33" spans="1:5" ht="16.5" thickBot="1" x14ac:dyDescent="0.3">
      <c r="A33" s="1570" t="s">
        <v>1196</v>
      </c>
      <c r="B33" s="1571" t="s">
        <v>1197</v>
      </c>
      <c r="C33" s="1428">
        <v>0</v>
      </c>
      <c r="D33" s="1428">
        <v>0</v>
      </c>
      <c r="E33" s="1572"/>
    </row>
    <row r="34" spans="1:5" ht="16.5" thickBot="1" x14ac:dyDescent="0.3">
      <c r="A34" s="1573" t="s">
        <v>1198</v>
      </c>
      <c r="B34" s="1574" t="s">
        <v>1199</v>
      </c>
      <c r="C34" s="1412">
        <v>0</v>
      </c>
      <c r="D34" s="1412">
        <v>0</v>
      </c>
      <c r="E34" s="1575"/>
    </row>
    <row r="35" spans="1:5" x14ac:dyDescent="0.25">
      <c r="A35" s="1563" t="s">
        <v>1200</v>
      </c>
      <c r="B35" s="1564" t="s">
        <v>1201</v>
      </c>
      <c r="C35" s="1565">
        <v>0</v>
      </c>
      <c r="D35" s="1565">
        <v>0</v>
      </c>
      <c r="E35" s="1566"/>
    </row>
    <row r="36" spans="1:5" ht="31.5" x14ac:dyDescent="0.25">
      <c r="A36" s="1567" t="s">
        <v>1202</v>
      </c>
      <c r="B36" s="1568" t="s">
        <v>1203</v>
      </c>
      <c r="C36" s="1406">
        <v>0</v>
      </c>
      <c r="D36" s="1406">
        <v>0</v>
      </c>
      <c r="E36" s="1569"/>
    </row>
    <row r="37" spans="1:5" x14ac:dyDescent="0.25">
      <c r="A37" s="1567" t="s">
        <v>1204</v>
      </c>
      <c r="B37" s="1568" t="s">
        <v>1205</v>
      </c>
      <c r="C37" s="1406">
        <v>0</v>
      </c>
      <c r="D37" s="1406">
        <v>0</v>
      </c>
      <c r="E37" s="1569"/>
    </row>
    <row r="38" spans="1:5" x14ac:dyDescent="0.25">
      <c r="A38" s="1567" t="s">
        <v>1206</v>
      </c>
      <c r="B38" s="1568" t="s">
        <v>1207</v>
      </c>
      <c r="C38" s="1406">
        <v>0</v>
      </c>
      <c r="D38" s="1406">
        <v>0</v>
      </c>
      <c r="E38" s="1569"/>
    </row>
    <row r="39" spans="1:5" x14ac:dyDescent="0.25">
      <c r="A39" s="1567" t="s">
        <v>1208</v>
      </c>
      <c r="B39" s="1568" t="s">
        <v>1209</v>
      </c>
      <c r="C39" s="1406">
        <v>0</v>
      </c>
      <c r="D39" s="1406">
        <v>0</v>
      </c>
      <c r="E39" s="1569"/>
    </row>
    <row r="40" spans="1:5" x14ac:dyDescent="0.25">
      <c r="A40" s="1567" t="s">
        <v>1210</v>
      </c>
      <c r="B40" s="1568" t="s">
        <v>1211</v>
      </c>
      <c r="C40" s="1406">
        <v>0</v>
      </c>
      <c r="D40" s="1406">
        <v>0</v>
      </c>
      <c r="E40" s="1569"/>
    </row>
    <row r="41" spans="1:5" ht="16.5" thickBot="1" x14ac:dyDescent="0.3">
      <c r="A41" s="1570" t="s">
        <v>1212</v>
      </c>
      <c r="B41" s="1571" t="s">
        <v>1213</v>
      </c>
      <c r="C41" s="1428">
        <v>0</v>
      </c>
      <c r="D41" s="1428">
        <v>0</v>
      </c>
      <c r="E41" s="1572"/>
    </row>
    <row r="42" spans="1:5" ht="16.5" thickBot="1" x14ac:dyDescent="0.3">
      <c r="A42" s="1573" t="s">
        <v>1214</v>
      </c>
      <c r="B42" s="1574" t="s">
        <v>1215</v>
      </c>
      <c r="C42" s="1412">
        <v>0</v>
      </c>
      <c r="D42" s="1412">
        <v>0</v>
      </c>
      <c r="E42" s="1575"/>
    </row>
    <row r="43" spans="1:5" ht="32.25" thickBot="1" x14ac:dyDescent="0.3">
      <c r="A43" s="1573" t="s">
        <v>1216</v>
      </c>
      <c r="B43" s="1574" t="s">
        <v>1217</v>
      </c>
      <c r="C43" s="1412">
        <v>0</v>
      </c>
      <c r="D43" s="1412">
        <v>0</v>
      </c>
      <c r="E43" s="1575"/>
    </row>
    <row r="44" spans="1:5" x14ac:dyDescent="0.25">
      <c r="A44" s="1563" t="s">
        <v>1218</v>
      </c>
      <c r="B44" s="1564" t="s">
        <v>1219</v>
      </c>
      <c r="C44" s="1565">
        <v>0</v>
      </c>
      <c r="D44" s="1565">
        <v>0</v>
      </c>
      <c r="E44" s="1566"/>
    </row>
    <row r="45" spans="1:5" x14ac:dyDescent="0.25">
      <c r="A45" s="1567" t="s">
        <v>1220</v>
      </c>
      <c r="B45" s="1568" t="s">
        <v>1221</v>
      </c>
      <c r="C45" s="1406">
        <v>207</v>
      </c>
      <c r="D45" s="1406">
        <v>164</v>
      </c>
      <c r="E45" s="1569">
        <f>D45/C45</f>
        <v>0.79227053140096615</v>
      </c>
    </row>
    <row r="46" spans="1:5" x14ac:dyDescent="0.25">
      <c r="A46" s="1567" t="s">
        <v>1222</v>
      </c>
      <c r="B46" s="1568" t="s">
        <v>1223</v>
      </c>
      <c r="C46" s="1406">
        <v>45026</v>
      </c>
      <c r="D46" s="1406">
        <v>102130</v>
      </c>
      <c r="E46" s="1569">
        <f>D46/C46</f>
        <v>2.2682450139919159</v>
      </c>
    </row>
    <row r="47" spans="1:5" x14ac:dyDescent="0.25">
      <c r="A47" s="1567" t="s">
        <v>1224</v>
      </c>
      <c r="B47" s="1568" t="s">
        <v>1225</v>
      </c>
      <c r="C47" s="1406">
        <v>0</v>
      </c>
      <c r="D47" s="1406">
        <v>0</v>
      </c>
      <c r="E47" s="1569"/>
    </row>
    <row r="48" spans="1:5" ht="16.5" thickBot="1" x14ac:dyDescent="0.3">
      <c r="A48" s="1570" t="s">
        <v>1226</v>
      </c>
      <c r="B48" s="1571" t="s">
        <v>1227</v>
      </c>
      <c r="C48" s="1428">
        <v>26008</v>
      </c>
      <c r="D48" s="1428">
        <v>0</v>
      </c>
      <c r="E48" s="1572">
        <f>D48/C48</f>
        <v>0</v>
      </c>
    </row>
    <row r="49" spans="1:5" ht="16.5" thickBot="1" x14ac:dyDescent="0.3">
      <c r="A49" s="1573" t="s">
        <v>1228</v>
      </c>
      <c r="B49" s="1574" t="s">
        <v>1229</v>
      </c>
      <c r="C49" s="1412">
        <v>71241</v>
      </c>
      <c r="D49" s="1412">
        <f>SUM(D44:D48)</f>
        <v>102294</v>
      </c>
      <c r="E49" s="1575">
        <f>D49/C49</f>
        <v>1.4358866383122078</v>
      </c>
    </row>
    <row r="50" spans="1:5" ht="31.5" x14ac:dyDescent="0.25">
      <c r="A50" s="1563" t="s">
        <v>1230</v>
      </c>
      <c r="B50" s="1564" t="s">
        <v>1231</v>
      </c>
      <c r="C50" s="1565">
        <v>0</v>
      </c>
      <c r="D50" s="1565">
        <v>0</v>
      </c>
      <c r="E50" s="1566"/>
    </row>
    <row r="51" spans="1:5" ht="47.25" x14ac:dyDescent="0.25">
      <c r="A51" s="1567" t="s">
        <v>1232</v>
      </c>
      <c r="B51" s="1568" t="s">
        <v>1233</v>
      </c>
      <c r="C51" s="1406">
        <v>0</v>
      </c>
      <c r="D51" s="1406">
        <v>0</v>
      </c>
      <c r="E51" s="1569"/>
    </row>
    <row r="52" spans="1:5" ht="31.5" x14ac:dyDescent="0.25">
      <c r="A52" s="1567" t="s">
        <v>1234</v>
      </c>
      <c r="B52" s="1568" t="s">
        <v>1235</v>
      </c>
      <c r="C52" s="1406">
        <v>0</v>
      </c>
      <c r="D52" s="1406">
        <v>0</v>
      </c>
      <c r="E52" s="1569"/>
    </row>
    <row r="53" spans="1:5" ht="47.25" x14ac:dyDescent="0.25">
      <c r="A53" s="1567" t="s">
        <v>1236</v>
      </c>
      <c r="B53" s="1568" t="s">
        <v>1237</v>
      </c>
      <c r="C53" s="1406">
        <v>0</v>
      </c>
      <c r="D53" s="1406">
        <v>0</v>
      </c>
      <c r="E53" s="1569"/>
    </row>
    <row r="54" spans="1:5" x14ac:dyDescent="0.25">
      <c r="A54" s="1567" t="s">
        <v>1238</v>
      </c>
      <c r="B54" s="1568" t="s">
        <v>1239</v>
      </c>
      <c r="C54" s="1406">
        <v>21746</v>
      </c>
      <c r="D54" s="1406">
        <v>0</v>
      </c>
      <c r="E54" s="1569">
        <f>D54/C54</f>
        <v>0</v>
      </c>
    </row>
    <row r="55" spans="1:5" ht="15.75" customHeight="1" x14ac:dyDescent="0.25">
      <c r="A55" s="1567" t="s">
        <v>1240</v>
      </c>
      <c r="B55" s="1568" t="s">
        <v>1241</v>
      </c>
      <c r="C55" s="1406">
        <v>5577</v>
      </c>
      <c r="D55" s="1406">
        <v>0</v>
      </c>
      <c r="E55" s="1569">
        <f>D55/C55</f>
        <v>0</v>
      </c>
    </row>
    <row r="56" spans="1:5" x14ac:dyDescent="0.25">
      <c r="A56" s="1567" t="s">
        <v>1242</v>
      </c>
      <c r="B56" s="1568" t="s">
        <v>1243</v>
      </c>
      <c r="C56" s="1406">
        <v>0</v>
      </c>
      <c r="D56" s="1406">
        <v>0</v>
      </c>
      <c r="E56" s="1569"/>
    </row>
    <row r="57" spans="1:5" ht="31.5" x14ac:dyDescent="0.25">
      <c r="A57" s="1567" t="s">
        <v>1244</v>
      </c>
      <c r="B57" s="1568" t="s">
        <v>1245</v>
      </c>
      <c r="C57" s="1406">
        <v>8081</v>
      </c>
      <c r="D57" s="1406">
        <v>0</v>
      </c>
      <c r="E57" s="1569"/>
    </row>
    <row r="58" spans="1:5" ht="31.9" customHeight="1" x14ac:dyDescent="0.25">
      <c r="A58" s="1567" t="s">
        <v>1246</v>
      </c>
      <c r="B58" s="1568" t="s">
        <v>1247</v>
      </c>
      <c r="C58" s="1406">
        <v>8081</v>
      </c>
      <c r="D58" s="1406">
        <v>0</v>
      </c>
      <c r="E58" s="1569"/>
    </row>
    <row r="59" spans="1:5" ht="31.5" x14ac:dyDescent="0.25">
      <c r="A59" s="1567" t="s">
        <v>1248</v>
      </c>
      <c r="B59" s="1568" t="s">
        <v>1249</v>
      </c>
      <c r="C59" s="1406">
        <v>0</v>
      </c>
      <c r="D59" s="1406">
        <v>0</v>
      </c>
      <c r="E59" s="1569"/>
    </row>
    <row r="60" spans="1:5" ht="47.25" x14ac:dyDescent="0.25">
      <c r="A60" s="1567" t="s">
        <v>1250</v>
      </c>
      <c r="B60" s="1568" t="s">
        <v>1251</v>
      </c>
      <c r="C60" s="1406">
        <v>0</v>
      </c>
      <c r="D60" s="1406">
        <v>0</v>
      </c>
      <c r="E60" s="1569"/>
    </row>
    <row r="61" spans="1:5" ht="31.5" x14ac:dyDescent="0.25">
      <c r="A61" s="1567" t="s">
        <v>1252</v>
      </c>
      <c r="B61" s="1568" t="s">
        <v>1253</v>
      </c>
      <c r="C61" s="1406">
        <v>0</v>
      </c>
      <c r="D61" s="1406">
        <v>0</v>
      </c>
      <c r="E61" s="1569"/>
    </row>
    <row r="62" spans="1:5" ht="32.25" thickBot="1" x14ac:dyDescent="0.3">
      <c r="A62" s="1570" t="s">
        <v>1254</v>
      </c>
      <c r="B62" s="1571" t="s">
        <v>1255</v>
      </c>
      <c r="C62" s="1428">
        <v>0</v>
      </c>
      <c r="D62" s="1428">
        <v>0</v>
      </c>
      <c r="E62" s="1572"/>
    </row>
    <row r="63" spans="1:5" ht="32.25" thickBot="1" x14ac:dyDescent="0.3">
      <c r="A63" s="1573" t="s">
        <v>1256</v>
      </c>
      <c r="B63" s="1574" t="s">
        <v>1257</v>
      </c>
      <c r="C63" s="1412">
        <v>0</v>
      </c>
      <c r="D63" s="1412">
        <f>D55+D57+D54+D52+D50</f>
        <v>0</v>
      </c>
      <c r="E63" s="1575">
        <v>0</v>
      </c>
    </row>
    <row r="64" spans="1:5" ht="31.5" x14ac:dyDescent="0.25">
      <c r="A64" s="1563" t="s">
        <v>1258</v>
      </c>
      <c r="B64" s="1564" t="s">
        <v>1259</v>
      </c>
      <c r="C64" s="1565">
        <v>0</v>
      </c>
      <c r="D64" s="1565">
        <v>0</v>
      </c>
      <c r="E64" s="1566"/>
    </row>
    <row r="65" spans="1:5" ht="47.25" x14ac:dyDescent="0.25">
      <c r="A65" s="1567" t="s">
        <v>1260</v>
      </c>
      <c r="B65" s="1568" t="s">
        <v>1261</v>
      </c>
      <c r="C65" s="1406">
        <v>0</v>
      </c>
      <c r="D65" s="1406">
        <v>0</v>
      </c>
      <c r="E65" s="1569"/>
    </row>
    <row r="66" spans="1:5" ht="31.5" x14ac:dyDescent="0.25">
      <c r="A66" s="1567" t="s">
        <v>1262</v>
      </c>
      <c r="B66" s="1568" t="s">
        <v>1263</v>
      </c>
      <c r="C66" s="1406">
        <v>4788</v>
      </c>
      <c r="D66" s="1406">
        <v>0</v>
      </c>
      <c r="E66" s="1569">
        <f>D66/C66</f>
        <v>0</v>
      </c>
    </row>
    <row r="67" spans="1:5" ht="47.25" x14ac:dyDescent="0.25">
      <c r="A67" s="1567" t="s">
        <v>1264</v>
      </c>
      <c r="B67" s="1568" t="s">
        <v>1265</v>
      </c>
      <c r="C67" s="1406">
        <v>0</v>
      </c>
      <c r="D67" s="1406">
        <v>0</v>
      </c>
      <c r="E67" s="1569"/>
    </row>
    <row r="68" spans="1:5" ht="31.5" x14ac:dyDescent="0.25">
      <c r="A68" s="1567" t="s">
        <v>1266</v>
      </c>
      <c r="B68" s="1568" t="s">
        <v>1267</v>
      </c>
      <c r="C68" s="1406">
        <v>3784</v>
      </c>
      <c r="D68" s="1406">
        <v>0</v>
      </c>
      <c r="E68" s="1569">
        <f>D68/C68</f>
        <v>0</v>
      </c>
    </row>
    <row r="69" spans="1:5" ht="31.5" x14ac:dyDescent="0.25">
      <c r="A69" s="1567" t="s">
        <v>1268</v>
      </c>
      <c r="B69" s="1568" t="s">
        <v>1269</v>
      </c>
      <c r="C69" s="1406">
        <v>660</v>
      </c>
      <c r="D69" s="1406">
        <v>2</v>
      </c>
      <c r="E69" s="1569"/>
    </row>
    <row r="70" spans="1:5" ht="31.5" x14ac:dyDescent="0.25">
      <c r="A70" s="1567" t="s">
        <v>1270</v>
      </c>
      <c r="B70" s="1568" t="s">
        <v>1271</v>
      </c>
      <c r="C70" s="1406">
        <v>0</v>
      </c>
      <c r="D70" s="1406">
        <v>0</v>
      </c>
      <c r="E70" s="1569" t="e">
        <f>D70/C70</f>
        <v>#DIV/0!</v>
      </c>
    </row>
    <row r="71" spans="1:5" ht="31.5" x14ac:dyDescent="0.25">
      <c r="A71" s="1567" t="s">
        <v>1272</v>
      </c>
      <c r="B71" s="1568" t="s">
        <v>1273</v>
      </c>
      <c r="C71" s="1406">
        <v>0</v>
      </c>
      <c r="D71" s="1406">
        <v>0</v>
      </c>
      <c r="E71" s="1569"/>
    </row>
    <row r="72" spans="1:5" ht="47.25" x14ac:dyDescent="0.25">
      <c r="A72" s="1567" t="s">
        <v>1274</v>
      </c>
      <c r="B72" s="1568" t="s">
        <v>1275</v>
      </c>
      <c r="C72" s="1406">
        <v>0</v>
      </c>
      <c r="D72" s="1406">
        <v>0</v>
      </c>
      <c r="E72" s="1569"/>
    </row>
    <row r="73" spans="1:5" ht="31.5" x14ac:dyDescent="0.25">
      <c r="A73" s="1567" t="s">
        <v>1276</v>
      </c>
      <c r="B73" s="1568" t="s">
        <v>1277</v>
      </c>
      <c r="C73" s="1406">
        <v>0</v>
      </c>
      <c r="D73" s="1406">
        <v>0</v>
      </c>
      <c r="E73" s="1569"/>
    </row>
    <row r="74" spans="1:5" ht="47.25" x14ac:dyDescent="0.25">
      <c r="A74" s="1567" t="s">
        <v>1278</v>
      </c>
      <c r="B74" s="1568" t="s">
        <v>1279</v>
      </c>
      <c r="C74" s="1406">
        <v>0</v>
      </c>
      <c r="D74" s="1406">
        <v>0</v>
      </c>
      <c r="E74" s="1569"/>
    </row>
    <row r="75" spans="1:5" ht="31.5" x14ac:dyDescent="0.25">
      <c r="A75" s="1567" t="s">
        <v>1280</v>
      </c>
      <c r="B75" s="1568" t="s">
        <v>1281</v>
      </c>
      <c r="C75" s="1406">
        <v>0</v>
      </c>
      <c r="D75" s="1406">
        <v>0</v>
      </c>
      <c r="E75" s="1569"/>
    </row>
    <row r="76" spans="1:5" ht="32.25" thickBot="1" x14ac:dyDescent="0.3">
      <c r="A76" s="1570" t="s">
        <v>1282</v>
      </c>
      <c r="B76" s="1571" t="s">
        <v>1283</v>
      </c>
      <c r="C76" s="1428">
        <v>0</v>
      </c>
      <c r="D76" s="1428">
        <v>0</v>
      </c>
      <c r="E76" s="1572"/>
    </row>
    <row r="77" spans="1:5" ht="32.25" thickBot="1" x14ac:dyDescent="0.3">
      <c r="A77" s="1573" t="s">
        <v>1284</v>
      </c>
      <c r="B77" s="1574" t="s">
        <v>1285</v>
      </c>
      <c r="C77" s="1412">
        <v>9232</v>
      </c>
      <c r="D77" s="1412">
        <v>2</v>
      </c>
      <c r="E77" s="1575">
        <f>D77/C77</f>
        <v>2.1663778162911611E-4</v>
      </c>
    </row>
    <row r="78" spans="1:5" x14ac:dyDescent="0.25">
      <c r="A78" s="1563" t="s">
        <v>1286</v>
      </c>
      <c r="B78" s="1564" t="s">
        <v>1287</v>
      </c>
      <c r="C78" s="1565">
        <v>40</v>
      </c>
      <c r="D78" s="1565">
        <v>2736</v>
      </c>
      <c r="E78" s="1566">
        <f>D78/C78</f>
        <v>68.400000000000006</v>
      </c>
    </row>
    <row r="79" spans="1:5" x14ac:dyDescent="0.25">
      <c r="A79" s="1567" t="s">
        <v>1288</v>
      </c>
      <c r="B79" s="1568" t="s">
        <v>1289</v>
      </c>
      <c r="C79" s="1406">
        <v>0</v>
      </c>
      <c r="D79" s="1406">
        <v>0</v>
      </c>
      <c r="E79" s="1569"/>
    </row>
    <row r="80" spans="1:5" x14ac:dyDescent="0.25">
      <c r="A80" s="1567" t="s">
        <v>1290</v>
      </c>
      <c r="B80" s="1568" t="s">
        <v>1291</v>
      </c>
      <c r="C80" s="1406">
        <v>0</v>
      </c>
      <c r="D80" s="1406">
        <v>0</v>
      </c>
      <c r="E80" s="1569"/>
    </row>
    <row r="81" spans="1:5" x14ac:dyDescent="0.25">
      <c r="A81" s="1567" t="s">
        <v>1292</v>
      </c>
      <c r="B81" s="1568" t="s">
        <v>1293</v>
      </c>
      <c r="C81" s="1406">
        <v>0</v>
      </c>
      <c r="D81" s="1406">
        <v>0</v>
      </c>
      <c r="E81" s="1569"/>
    </row>
    <row r="82" spans="1:5" x14ac:dyDescent="0.25">
      <c r="A82" s="1567" t="s">
        <v>1294</v>
      </c>
      <c r="B82" s="1568" t="s">
        <v>1295</v>
      </c>
      <c r="C82" s="1406">
        <v>40</v>
      </c>
      <c r="D82" s="1406">
        <v>2736</v>
      </c>
      <c r="E82" s="1569">
        <f>D82/C82</f>
        <v>68.400000000000006</v>
      </c>
    </row>
    <row r="83" spans="1:5" x14ac:dyDescent="0.25">
      <c r="A83" s="1567" t="s">
        <v>1296</v>
      </c>
      <c r="B83" s="1568" t="s">
        <v>1297</v>
      </c>
      <c r="C83" s="1406">
        <v>0</v>
      </c>
      <c r="D83" s="1406">
        <v>0</v>
      </c>
      <c r="E83" s="1569"/>
    </row>
    <row r="84" spans="1:5" x14ac:dyDescent="0.25">
      <c r="A84" s="1567" t="s">
        <v>1298</v>
      </c>
      <c r="B84" s="1568" t="s">
        <v>1299</v>
      </c>
      <c r="C84" s="1406">
        <v>0</v>
      </c>
      <c r="D84" s="1406">
        <v>0</v>
      </c>
      <c r="E84" s="1569"/>
    </row>
    <row r="85" spans="1:5" x14ac:dyDescent="0.25">
      <c r="A85" s="1567" t="s">
        <v>1300</v>
      </c>
      <c r="B85" s="1568" t="s">
        <v>1301</v>
      </c>
      <c r="C85" s="1406">
        <v>0</v>
      </c>
      <c r="D85" s="1406">
        <v>0</v>
      </c>
      <c r="E85" s="1569"/>
    </row>
    <row r="86" spans="1:5" x14ac:dyDescent="0.25">
      <c r="A86" s="1567" t="s">
        <v>1302</v>
      </c>
      <c r="B86" s="1568" t="s">
        <v>1303</v>
      </c>
      <c r="C86" s="1406">
        <v>15</v>
      </c>
      <c r="D86" s="1406">
        <v>0</v>
      </c>
      <c r="E86" s="1569"/>
    </row>
    <row r="87" spans="1:5" ht="31.5" x14ac:dyDescent="0.25">
      <c r="A87" s="1567" t="s">
        <v>1304</v>
      </c>
      <c r="B87" s="1568" t="s">
        <v>1305</v>
      </c>
      <c r="C87" s="1406">
        <v>0</v>
      </c>
      <c r="D87" s="1406">
        <v>0</v>
      </c>
      <c r="E87" s="1569"/>
    </row>
    <row r="88" spans="1:5" ht="31.5" x14ac:dyDescent="0.25">
      <c r="A88" s="1567" t="s">
        <v>1306</v>
      </c>
      <c r="B88" s="1568" t="s">
        <v>1307</v>
      </c>
      <c r="C88" s="1406">
        <v>0</v>
      </c>
      <c r="D88" s="1406">
        <v>0</v>
      </c>
      <c r="E88" s="1569"/>
    </row>
    <row r="89" spans="1:5" ht="32.25" thickBot="1" x14ac:dyDescent="0.3">
      <c r="A89" s="1570" t="s">
        <v>1308</v>
      </c>
      <c r="B89" s="1571" t="s">
        <v>1309</v>
      </c>
      <c r="C89" s="1428">
        <v>0</v>
      </c>
      <c r="D89" s="1428">
        <v>0</v>
      </c>
      <c r="E89" s="1572"/>
    </row>
    <row r="90" spans="1:5" ht="32.25" thickBot="1" x14ac:dyDescent="0.3">
      <c r="A90" s="1573" t="s">
        <v>1310</v>
      </c>
      <c r="B90" s="1574" t="s">
        <v>1311</v>
      </c>
      <c r="C90" s="1412">
        <v>55</v>
      </c>
      <c r="D90" s="1412">
        <v>2736</v>
      </c>
      <c r="E90" s="1575">
        <f>D90/C90</f>
        <v>49.745454545454542</v>
      </c>
    </row>
    <row r="91" spans="1:5" ht="16.5" thickBot="1" x14ac:dyDescent="0.3">
      <c r="A91" s="1573" t="s">
        <v>1312</v>
      </c>
      <c r="B91" s="1574" t="s">
        <v>1313</v>
      </c>
      <c r="C91" s="1412">
        <v>32581</v>
      </c>
      <c r="D91" s="1412">
        <f>D63+D77+D90</f>
        <v>2738</v>
      </c>
      <c r="E91" s="1575">
        <f>D91/C91</f>
        <v>8.4036708511095418E-2</v>
      </c>
    </row>
    <row r="92" spans="1:5" ht="16.5" thickBot="1" x14ac:dyDescent="0.3">
      <c r="A92" s="1573" t="s">
        <v>1314</v>
      </c>
      <c r="B92" s="1574" t="s">
        <v>1315</v>
      </c>
      <c r="C92" s="1412">
        <v>5607</v>
      </c>
      <c r="D92" s="1412">
        <v>0</v>
      </c>
      <c r="E92" s="1575">
        <f>D92/C92</f>
        <v>0</v>
      </c>
    </row>
    <row r="93" spans="1:5" x14ac:dyDescent="0.25">
      <c r="A93" s="1563" t="s">
        <v>1316</v>
      </c>
      <c r="B93" s="1564" t="s">
        <v>1317</v>
      </c>
      <c r="C93" s="1565">
        <v>0</v>
      </c>
      <c r="D93" s="1565">
        <v>0</v>
      </c>
      <c r="E93" s="1566"/>
    </row>
    <row r="94" spans="1:5" x14ac:dyDescent="0.25">
      <c r="A94" s="1567" t="s">
        <v>1318</v>
      </c>
      <c r="B94" s="1568" t="s">
        <v>1319</v>
      </c>
      <c r="C94" s="1406">
        <v>0</v>
      </c>
      <c r="D94" s="1406">
        <v>0</v>
      </c>
      <c r="E94" s="1569"/>
    </row>
    <row r="95" spans="1:5" ht="16.5" thickBot="1" x14ac:dyDescent="0.3">
      <c r="A95" s="1570" t="s">
        <v>1320</v>
      </c>
      <c r="B95" s="1571" t="s">
        <v>1321</v>
      </c>
      <c r="C95" s="1428">
        <v>0</v>
      </c>
      <c r="D95" s="1428">
        <v>0</v>
      </c>
      <c r="E95" s="1572"/>
    </row>
    <row r="96" spans="1:5" ht="32.25" thickBot="1" x14ac:dyDescent="0.3">
      <c r="A96" s="1573" t="s">
        <v>1322</v>
      </c>
      <c r="B96" s="1574" t="s">
        <v>1323</v>
      </c>
      <c r="C96" s="1412">
        <v>0</v>
      </c>
      <c r="D96" s="1412">
        <v>0</v>
      </c>
      <c r="E96" s="1575"/>
    </row>
    <row r="97" spans="1:5" ht="32.25" thickBot="1" x14ac:dyDescent="0.3">
      <c r="A97" s="1559" t="s">
        <v>1324</v>
      </c>
      <c r="B97" s="1560" t="s">
        <v>1325</v>
      </c>
      <c r="C97" s="1400">
        <v>3560019</v>
      </c>
      <c r="D97" s="1400">
        <f>D96+D92+D91+D49+D43+D28</f>
        <v>3603107</v>
      </c>
      <c r="E97" s="1576">
        <f>D97/C97</f>
        <v>1.0121033061902198</v>
      </c>
    </row>
    <row r="98" spans="1:5" ht="16.5" thickBot="1" x14ac:dyDescent="0.3">
      <c r="A98" s="1577"/>
      <c r="B98" s="1578"/>
      <c r="C98" s="1422"/>
      <c r="D98" s="1422"/>
      <c r="E98" s="1579"/>
    </row>
    <row r="99" spans="1:5" ht="16.5" thickBot="1" x14ac:dyDescent="0.3">
      <c r="A99" s="1559" t="s">
        <v>1161</v>
      </c>
      <c r="B99" s="1560" t="s">
        <v>1326</v>
      </c>
      <c r="C99" s="1561">
        <v>0</v>
      </c>
      <c r="D99" s="1561"/>
      <c r="E99" s="1562"/>
    </row>
    <row r="100" spans="1:5" x14ac:dyDescent="0.25">
      <c r="A100" s="1563" t="s">
        <v>1327</v>
      </c>
      <c r="B100" s="1564" t="s">
        <v>1328</v>
      </c>
      <c r="C100" s="1565">
        <v>3559077</v>
      </c>
      <c r="D100" s="1565">
        <v>3559077</v>
      </c>
      <c r="E100" s="1566">
        <f>D100/C100</f>
        <v>1</v>
      </c>
    </row>
    <row r="101" spans="1:5" x14ac:dyDescent="0.25">
      <c r="A101" s="1567" t="s">
        <v>1329</v>
      </c>
      <c r="B101" s="1568" t="s">
        <v>1330</v>
      </c>
      <c r="C101" s="1406">
        <v>0</v>
      </c>
      <c r="D101" s="1406">
        <v>0</v>
      </c>
      <c r="E101" s="1569"/>
    </row>
    <row r="102" spans="1:5" x14ac:dyDescent="0.25">
      <c r="A102" s="1567" t="s">
        <v>1331</v>
      </c>
      <c r="B102" s="1568" t="s">
        <v>1332</v>
      </c>
      <c r="C102" s="1406">
        <v>15641</v>
      </c>
      <c r="D102" s="1406">
        <v>15641</v>
      </c>
      <c r="E102" s="1569">
        <f>D102/C102</f>
        <v>1</v>
      </c>
    </row>
    <row r="103" spans="1:5" x14ac:dyDescent="0.25">
      <c r="A103" s="1567" t="s">
        <v>1333</v>
      </c>
      <c r="B103" s="1568" t="s">
        <v>1334</v>
      </c>
      <c r="C103" s="1406">
        <v>-41658</v>
      </c>
      <c r="D103" s="1406">
        <v>-41658</v>
      </c>
      <c r="E103" s="1569">
        <f>D103/C103</f>
        <v>1</v>
      </c>
    </row>
    <row r="104" spans="1:5" x14ac:dyDescent="0.25">
      <c r="A104" s="1567" t="s">
        <v>1335</v>
      </c>
      <c r="B104" s="1568" t="s">
        <v>1336</v>
      </c>
      <c r="C104" s="1406">
        <v>0</v>
      </c>
      <c r="D104" s="1406">
        <v>0</v>
      </c>
      <c r="E104" s="1569"/>
    </row>
    <row r="105" spans="1:5" ht="16.5" thickBot="1" x14ac:dyDescent="0.3">
      <c r="A105" s="1570" t="s">
        <v>1337</v>
      </c>
      <c r="B105" s="1571" t="s">
        <v>1338</v>
      </c>
      <c r="C105" s="1428">
        <v>8206</v>
      </c>
      <c r="D105" s="1428">
        <v>55577</v>
      </c>
      <c r="E105" s="1569">
        <f t="shared" ref="E105" si="0">D105/C105</f>
        <v>6.7727272727272725</v>
      </c>
    </row>
    <row r="106" spans="1:5" ht="16.5" thickBot="1" x14ac:dyDescent="0.3">
      <c r="A106" s="1573" t="s">
        <v>1339</v>
      </c>
      <c r="B106" s="1574" t="s">
        <v>1340</v>
      </c>
      <c r="C106" s="1412">
        <v>3541266</v>
      </c>
      <c r="D106" s="1412">
        <f>SUM(D100:D105)</f>
        <v>3588637</v>
      </c>
      <c r="E106" s="1575">
        <f>D106/C106</f>
        <v>1.0133768544921506</v>
      </c>
    </row>
    <row r="107" spans="1:5" x14ac:dyDescent="0.25">
      <c r="A107" s="1563" t="s">
        <v>1341</v>
      </c>
      <c r="B107" s="1564" t="s">
        <v>1342</v>
      </c>
      <c r="C107" s="1565">
        <v>0</v>
      </c>
      <c r="D107" s="1565">
        <v>0</v>
      </c>
      <c r="E107" s="1566"/>
    </row>
    <row r="108" spans="1:5" ht="31.5" x14ac:dyDescent="0.25">
      <c r="A108" s="1567" t="s">
        <v>1343</v>
      </c>
      <c r="B108" s="1568" t="s">
        <v>1344</v>
      </c>
      <c r="C108" s="1406">
        <v>0</v>
      </c>
      <c r="D108" s="1406">
        <v>0</v>
      </c>
      <c r="E108" s="1569"/>
    </row>
    <row r="109" spans="1:5" x14ac:dyDescent="0.25">
      <c r="A109" s="1567" t="s">
        <v>1345</v>
      </c>
      <c r="B109" s="1568" t="s">
        <v>1346</v>
      </c>
      <c r="C109" s="1406">
        <v>0</v>
      </c>
      <c r="D109" s="1406">
        <v>0</v>
      </c>
      <c r="E109" s="1569">
        <v>0</v>
      </c>
    </row>
    <row r="110" spans="1:5" ht="31.5" x14ac:dyDescent="0.25">
      <c r="A110" s="1567" t="s">
        <v>1347</v>
      </c>
      <c r="B110" s="1568" t="s">
        <v>1348</v>
      </c>
      <c r="C110" s="1406">
        <v>0</v>
      </c>
      <c r="D110" s="1406">
        <v>0</v>
      </c>
      <c r="E110" s="1569"/>
    </row>
    <row r="111" spans="1:5" ht="31.5" x14ac:dyDescent="0.25">
      <c r="A111" s="1567" t="s">
        <v>1349</v>
      </c>
      <c r="B111" s="1568" t="s">
        <v>1350</v>
      </c>
      <c r="C111" s="1406">
        <v>0</v>
      </c>
      <c r="D111" s="1406">
        <v>0</v>
      </c>
      <c r="E111" s="1569">
        <v>0</v>
      </c>
    </row>
    <row r="112" spans="1:5" ht="47.25" x14ac:dyDescent="0.25">
      <c r="A112" s="1567" t="s">
        <v>1351</v>
      </c>
      <c r="B112" s="1568" t="s">
        <v>1352</v>
      </c>
      <c r="C112" s="1406">
        <v>0</v>
      </c>
      <c r="D112" s="1406">
        <v>0</v>
      </c>
      <c r="E112" s="1569"/>
    </row>
    <row r="113" spans="1:5" x14ac:dyDescent="0.25">
      <c r="A113" s="1567" t="s">
        <v>1353</v>
      </c>
      <c r="B113" s="1568" t="s">
        <v>1354</v>
      </c>
      <c r="C113" s="1406">
        <v>0</v>
      </c>
      <c r="D113" s="1406">
        <v>0</v>
      </c>
      <c r="E113" s="1569"/>
    </row>
    <row r="114" spans="1:5" x14ac:dyDescent="0.25">
      <c r="A114" s="1567" t="s">
        <v>1355</v>
      </c>
      <c r="B114" s="1568" t="s">
        <v>1356</v>
      </c>
      <c r="C114" s="1406">
        <v>0</v>
      </c>
      <c r="D114" s="1406">
        <v>0</v>
      </c>
      <c r="E114" s="1569"/>
    </row>
    <row r="115" spans="1:5" ht="31.5" x14ac:dyDescent="0.25">
      <c r="A115" s="1567" t="s">
        <v>1357</v>
      </c>
      <c r="B115" s="1568" t="s">
        <v>1358</v>
      </c>
      <c r="C115" s="1406">
        <v>6</v>
      </c>
      <c r="D115" s="1406">
        <v>0</v>
      </c>
      <c r="E115" s="1569"/>
    </row>
    <row r="116" spans="1:5" ht="47.25" x14ac:dyDescent="0.25">
      <c r="A116" s="1567" t="s">
        <v>1359</v>
      </c>
      <c r="B116" s="1568" t="s">
        <v>1360</v>
      </c>
      <c r="C116" s="1406">
        <v>0</v>
      </c>
      <c r="D116" s="1406">
        <v>0</v>
      </c>
      <c r="E116" s="1569"/>
    </row>
    <row r="117" spans="1:5" ht="31.5" x14ac:dyDescent="0.25">
      <c r="A117" s="1567" t="s">
        <v>1361</v>
      </c>
      <c r="B117" s="1568" t="s">
        <v>1362</v>
      </c>
      <c r="C117" s="1406">
        <v>0</v>
      </c>
      <c r="D117" s="1406">
        <v>0</v>
      </c>
      <c r="E117" s="1569"/>
    </row>
    <row r="118" spans="1:5" ht="31.5" x14ac:dyDescent="0.25">
      <c r="A118" s="1567" t="s">
        <v>1363</v>
      </c>
      <c r="B118" s="1568" t="s">
        <v>1364</v>
      </c>
      <c r="C118" s="1406">
        <v>0</v>
      </c>
      <c r="D118" s="1406">
        <v>0</v>
      </c>
      <c r="E118" s="1569"/>
    </row>
    <row r="119" spans="1:5" ht="31.5" x14ac:dyDescent="0.25">
      <c r="A119" s="1567" t="s">
        <v>1365</v>
      </c>
      <c r="B119" s="1568" t="s">
        <v>1366</v>
      </c>
      <c r="C119" s="1406">
        <v>0</v>
      </c>
      <c r="D119" s="1406">
        <v>0</v>
      </c>
      <c r="E119" s="1569"/>
    </row>
    <row r="120" spans="1:5" ht="31.5" x14ac:dyDescent="0.25">
      <c r="A120" s="1567" t="s">
        <v>1367</v>
      </c>
      <c r="B120" s="1568" t="s">
        <v>1368</v>
      </c>
      <c r="C120" s="1406">
        <v>0</v>
      </c>
      <c r="D120" s="1406">
        <v>0</v>
      </c>
      <c r="E120" s="1569"/>
    </row>
    <row r="121" spans="1:5" ht="31.5" x14ac:dyDescent="0.25">
      <c r="A121" s="1567" t="s">
        <v>1369</v>
      </c>
      <c r="B121" s="1568" t="s">
        <v>1370</v>
      </c>
      <c r="C121" s="1406">
        <v>0</v>
      </c>
      <c r="D121" s="1406">
        <v>0</v>
      </c>
      <c r="E121" s="1569"/>
    </row>
    <row r="122" spans="1:5" ht="31.5" x14ac:dyDescent="0.25">
      <c r="A122" s="1567" t="s">
        <v>1371</v>
      </c>
      <c r="B122" s="1568" t="s">
        <v>1372</v>
      </c>
      <c r="C122" s="1406">
        <v>0</v>
      </c>
      <c r="D122" s="1406">
        <v>0</v>
      </c>
      <c r="E122" s="1569"/>
    </row>
    <row r="123" spans="1:5" ht="31.5" x14ac:dyDescent="0.25">
      <c r="A123" s="1567" t="s">
        <v>1373</v>
      </c>
      <c r="B123" s="1568" t="s">
        <v>1374</v>
      </c>
      <c r="C123" s="1406">
        <v>0</v>
      </c>
      <c r="D123" s="1406">
        <v>0</v>
      </c>
      <c r="E123" s="1569"/>
    </row>
    <row r="124" spans="1:5" ht="31.5" x14ac:dyDescent="0.25">
      <c r="A124" s="1567" t="s">
        <v>1375</v>
      </c>
      <c r="B124" s="1568" t="s">
        <v>1376</v>
      </c>
      <c r="C124" s="1406">
        <v>0</v>
      </c>
      <c r="D124" s="1406">
        <v>0</v>
      </c>
      <c r="E124" s="1569"/>
    </row>
    <row r="125" spans="1:5" ht="32.25" thickBot="1" x14ac:dyDescent="0.3">
      <c r="A125" s="1570" t="s">
        <v>1377</v>
      </c>
      <c r="B125" s="1571" t="s">
        <v>1378</v>
      </c>
      <c r="C125" s="1428">
        <v>0</v>
      </c>
      <c r="D125" s="1428">
        <v>0</v>
      </c>
      <c r="E125" s="1572"/>
    </row>
    <row r="126" spans="1:5" ht="32.25" thickBot="1" x14ac:dyDescent="0.3">
      <c r="A126" s="1573" t="s">
        <v>1379</v>
      </c>
      <c r="B126" s="1574" t="s">
        <v>1380</v>
      </c>
      <c r="C126" s="1412">
        <v>1759</v>
      </c>
      <c r="D126" s="1412">
        <v>0</v>
      </c>
      <c r="E126" s="1575">
        <f>D126/C126</f>
        <v>0</v>
      </c>
    </row>
    <row r="127" spans="1:5" ht="31.5" x14ac:dyDescent="0.25">
      <c r="A127" s="1563" t="s">
        <v>1381</v>
      </c>
      <c r="B127" s="1564" t="s">
        <v>1382</v>
      </c>
      <c r="C127" s="1565">
        <v>0</v>
      </c>
      <c r="D127" s="1565">
        <v>0</v>
      </c>
      <c r="E127" s="1566"/>
    </row>
    <row r="128" spans="1:5" ht="31.5" x14ac:dyDescent="0.25">
      <c r="A128" s="1567" t="s">
        <v>1383</v>
      </c>
      <c r="B128" s="1568" t="s">
        <v>1384</v>
      </c>
      <c r="C128" s="1406">
        <v>0</v>
      </c>
      <c r="D128" s="1406">
        <v>0</v>
      </c>
      <c r="E128" s="1569"/>
    </row>
    <row r="129" spans="1:5" ht="31.5" x14ac:dyDescent="0.25">
      <c r="A129" s="1567" t="s">
        <v>1385</v>
      </c>
      <c r="B129" s="1568" t="s">
        <v>1386</v>
      </c>
      <c r="C129" s="1406">
        <v>1062</v>
      </c>
      <c r="D129" s="1406">
        <v>0</v>
      </c>
      <c r="E129" s="1569">
        <f>D129/C129</f>
        <v>0</v>
      </c>
    </row>
    <row r="130" spans="1:5" ht="31.5" x14ac:dyDescent="0.25">
      <c r="A130" s="1567" t="s">
        <v>1387</v>
      </c>
      <c r="B130" s="1568" t="s">
        <v>1388</v>
      </c>
      <c r="C130" s="1406">
        <v>0</v>
      </c>
      <c r="D130" s="1406">
        <v>0</v>
      </c>
      <c r="E130" s="1569"/>
    </row>
    <row r="131" spans="1:5" ht="31.5" x14ac:dyDescent="0.25">
      <c r="A131" s="1567" t="s">
        <v>1389</v>
      </c>
      <c r="B131" s="1568" t="s">
        <v>1390</v>
      </c>
      <c r="C131" s="1406">
        <v>0</v>
      </c>
      <c r="D131" s="1406">
        <v>0</v>
      </c>
      <c r="E131" s="1569"/>
    </row>
    <row r="132" spans="1:5" ht="47.25" x14ac:dyDescent="0.25">
      <c r="A132" s="1567" t="s">
        <v>1391</v>
      </c>
      <c r="B132" s="1568" t="s">
        <v>1392</v>
      </c>
      <c r="C132" s="1406">
        <v>0</v>
      </c>
      <c r="D132" s="1406">
        <v>0</v>
      </c>
      <c r="E132" s="1569"/>
    </row>
    <row r="133" spans="1:5" ht="31.5" x14ac:dyDescent="0.25">
      <c r="A133" s="1567" t="s">
        <v>1393</v>
      </c>
      <c r="B133" s="1568" t="s">
        <v>1394</v>
      </c>
      <c r="C133" s="1406">
        <v>0</v>
      </c>
      <c r="D133" s="1406">
        <v>0</v>
      </c>
      <c r="E133" s="1569"/>
    </row>
    <row r="134" spans="1:5" x14ac:dyDescent="0.25">
      <c r="A134" s="1567" t="s">
        <v>1395</v>
      </c>
      <c r="B134" s="1568" t="s">
        <v>1396</v>
      </c>
      <c r="C134" s="1406">
        <v>0</v>
      </c>
      <c r="D134" s="1406">
        <v>0</v>
      </c>
      <c r="E134" s="1569"/>
    </row>
    <row r="135" spans="1:5" ht="31.5" x14ac:dyDescent="0.25">
      <c r="A135" s="1567" t="s">
        <v>1397</v>
      </c>
      <c r="B135" s="1568" t="s">
        <v>1398</v>
      </c>
      <c r="C135" s="1406">
        <v>0</v>
      </c>
      <c r="D135" s="1406">
        <v>0</v>
      </c>
      <c r="E135" s="1569"/>
    </row>
    <row r="136" spans="1:5" ht="47.25" x14ac:dyDescent="0.25">
      <c r="A136" s="1567" t="s">
        <v>1399</v>
      </c>
      <c r="B136" s="1568" t="s">
        <v>1400</v>
      </c>
      <c r="C136" s="1406">
        <v>0</v>
      </c>
      <c r="D136" s="1406">
        <v>0</v>
      </c>
      <c r="E136" s="1569"/>
    </row>
    <row r="137" spans="1:5" ht="31.5" x14ac:dyDescent="0.25">
      <c r="A137" s="1567" t="s">
        <v>1401</v>
      </c>
      <c r="B137" s="1568" t="s">
        <v>1402</v>
      </c>
      <c r="C137" s="1406">
        <v>5704</v>
      </c>
      <c r="D137" s="1406">
        <v>6185</v>
      </c>
      <c r="E137" s="1569"/>
    </row>
    <row r="138" spans="1:5" ht="31.5" x14ac:dyDescent="0.25">
      <c r="A138" s="1567" t="s">
        <v>1403</v>
      </c>
      <c r="B138" s="1568" t="s">
        <v>1404</v>
      </c>
      <c r="C138" s="1406">
        <v>5704</v>
      </c>
      <c r="D138" s="1406">
        <v>6185</v>
      </c>
      <c r="E138" s="1569"/>
    </row>
    <row r="139" spans="1:5" ht="31.5" x14ac:dyDescent="0.25">
      <c r="A139" s="1567" t="s">
        <v>1405</v>
      </c>
      <c r="B139" s="1568" t="s">
        <v>1406</v>
      </c>
      <c r="C139" s="1406">
        <v>0</v>
      </c>
      <c r="D139" s="1406">
        <v>0</v>
      </c>
      <c r="E139" s="1569"/>
    </row>
    <row r="140" spans="1:5" ht="31.5" x14ac:dyDescent="0.25">
      <c r="A140" s="1567" t="s">
        <v>1407</v>
      </c>
      <c r="B140" s="1568" t="s">
        <v>1408</v>
      </c>
      <c r="C140" s="1406">
        <v>0</v>
      </c>
      <c r="D140" s="1406">
        <v>0</v>
      </c>
      <c r="E140" s="1569"/>
    </row>
    <row r="141" spans="1:5" ht="31.5" x14ac:dyDescent="0.25">
      <c r="A141" s="1567" t="s">
        <v>1409</v>
      </c>
      <c r="B141" s="1568" t="s">
        <v>1410</v>
      </c>
      <c r="C141" s="1406">
        <v>0</v>
      </c>
      <c r="D141" s="1406">
        <v>0</v>
      </c>
      <c r="E141" s="1569"/>
    </row>
    <row r="142" spans="1:5" ht="31.5" x14ac:dyDescent="0.25">
      <c r="A142" s="1567" t="s">
        <v>1411</v>
      </c>
      <c r="B142" s="1568" t="s">
        <v>1412</v>
      </c>
      <c r="C142" s="1406">
        <v>0</v>
      </c>
      <c r="D142" s="1406">
        <v>0</v>
      </c>
      <c r="E142" s="1569"/>
    </row>
    <row r="143" spans="1:5" ht="31.5" x14ac:dyDescent="0.25">
      <c r="A143" s="1567" t="s">
        <v>1413</v>
      </c>
      <c r="B143" s="1568" t="s">
        <v>1414</v>
      </c>
      <c r="C143" s="1406">
        <v>0</v>
      </c>
      <c r="D143" s="1406">
        <v>0</v>
      </c>
      <c r="E143" s="1569"/>
    </row>
    <row r="144" spans="1:5" ht="31.5" x14ac:dyDescent="0.25">
      <c r="A144" s="1567" t="s">
        <v>1415</v>
      </c>
      <c r="B144" s="1568" t="s">
        <v>1416</v>
      </c>
      <c r="C144" s="1406">
        <v>0</v>
      </c>
      <c r="D144" s="1406">
        <v>0</v>
      </c>
      <c r="E144" s="1569"/>
    </row>
    <row r="145" spans="1:5" ht="32.25" thickBot="1" x14ac:dyDescent="0.3">
      <c r="A145" s="1570" t="s">
        <v>1417</v>
      </c>
      <c r="B145" s="1571" t="s">
        <v>1418</v>
      </c>
      <c r="C145" s="1428">
        <v>0</v>
      </c>
      <c r="D145" s="1428">
        <v>0</v>
      </c>
      <c r="E145" s="1572"/>
    </row>
    <row r="146" spans="1:5" ht="32.25" thickBot="1" x14ac:dyDescent="0.3">
      <c r="A146" s="1573" t="s">
        <v>1419</v>
      </c>
      <c r="B146" s="1574" t="s">
        <v>1420</v>
      </c>
      <c r="C146" s="1412">
        <v>9820</v>
      </c>
      <c r="D146" s="1412">
        <f>D137+D135+D134+D133+D131+D130+D129+D128+D127</f>
        <v>6185</v>
      </c>
      <c r="E146" s="1575">
        <f>D146/C146</f>
        <v>0.62983706720977595</v>
      </c>
    </row>
    <row r="147" spans="1:5" x14ac:dyDescent="0.25">
      <c r="A147" s="1563" t="s">
        <v>1421</v>
      </c>
      <c r="B147" s="1564" t="s">
        <v>1422</v>
      </c>
      <c r="C147" s="1565">
        <v>12329</v>
      </c>
      <c r="D147" s="1565">
        <v>0</v>
      </c>
      <c r="E147" s="1566">
        <f>D147/C147</f>
        <v>0</v>
      </c>
    </row>
    <row r="148" spans="1:5" x14ac:dyDescent="0.25">
      <c r="A148" s="1567" t="s">
        <v>1423</v>
      </c>
      <c r="B148" s="1568" t="s">
        <v>1424</v>
      </c>
      <c r="C148" s="1406">
        <v>0</v>
      </c>
      <c r="D148" s="1406">
        <v>0</v>
      </c>
      <c r="E148" s="1569"/>
    </row>
    <row r="149" spans="1:5" x14ac:dyDescent="0.25">
      <c r="A149" s="1567" t="s">
        <v>1425</v>
      </c>
      <c r="B149" s="1568" t="s">
        <v>1426</v>
      </c>
      <c r="C149" s="1406">
        <v>0</v>
      </c>
      <c r="D149" s="1406">
        <v>0</v>
      </c>
      <c r="E149" s="1569"/>
    </row>
    <row r="150" spans="1:5" x14ac:dyDescent="0.25">
      <c r="A150" s="1567" t="s">
        <v>1427</v>
      </c>
      <c r="B150" s="1568" t="s">
        <v>1428</v>
      </c>
      <c r="C150" s="1406">
        <v>0</v>
      </c>
      <c r="D150" s="1406">
        <v>0</v>
      </c>
      <c r="E150" s="1569"/>
    </row>
    <row r="151" spans="1:5" ht="31.5" x14ac:dyDescent="0.25">
      <c r="A151" s="1567" t="s">
        <v>1429</v>
      </c>
      <c r="B151" s="1568" t="s">
        <v>1430</v>
      </c>
      <c r="C151" s="1406">
        <v>0</v>
      </c>
      <c r="D151" s="1406">
        <v>0</v>
      </c>
      <c r="E151" s="1569"/>
    </row>
    <row r="152" spans="1:5" ht="31.5" x14ac:dyDescent="0.25">
      <c r="A152" s="1567" t="s">
        <v>1431</v>
      </c>
      <c r="B152" s="1568" t="s">
        <v>1432</v>
      </c>
      <c r="C152" s="1406">
        <v>0</v>
      </c>
      <c r="D152" s="1406">
        <v>0</v>
      </c>
      <c r="E152" s="1569"/>
    </row>
    <row r="153" spans="1:5" ht="32.25" thickBot="1" x14ac:dyDescent="0.3">
      <c r="A153" s="1570" t="s">
        <v>1433</v>
      </c>
      <c r="B153" s="1571" t="s">
        <v>1434</v>
      </c>
      <c r="C153" s="1428">
        <v>0</v>
      </c>
      <c r="D153" s="1428">
        <v>0</v>
      </c>
      <c r="E153" s="1572"/>
    </row>
    <row r="154" spans="1:5" ht="32.25" thickBot="1" x14ac:dyDescent="0.3">
      <c r="A154" s="1573" t="s">
        <v>1435</v>
      </c>
      <c r="B154" s="1574" t="s">
        <v>1436</v>
      </c>
      <c r="C154" s="1412">
        <v>12329</v>
      </c>
      <c r="D154" s="1412">
        <v>8285</v>
      </c>
      <c r="E154" s="1575">
        <f>D154/C154</f>
        <v>0.67199286235704436</v>
      </c>
    </row>
    <row r="155" spans="1:5" ht="16.5" thickBot="1" x14ac:dyDescent="0.3">
      <c r="A155" s="1573" t="s">
        <v>1437</v>
      </c>
      <c r="B155" s="1574" t="s">
        <v>1438</v>
      </c>
      <c r="C155" s="1412">
        <v>12329</v>
      </c>
      <c r="D155" s="1412">
        <f>D146+D154+D126</f>
        <v>14470</v>
      </c>
      <c r="E155" s="1575">
        <f>D155/C155</f>
        <v>1.1736556087273906</v>
      </c>
    </row>
    <row r="156" spans="1:5" ht="16.5" thickBot="1" x14ac:dyDescent="0.3">
      <c r="A156" s="1573" t="s">
        <v>1439</v>
      </c>
      <c r="B156" s="1574" t="s">
        <v>1440</v>
      </c>
      <c r="C156" s="1412">
        <v>6548</v>
      </c>
      <c r="D156" s="1412">
        <v>0</v>
      </c>
      <c r="E156" s="1575">
        <f>D156/C156</f>
        <v>0</v>
      </c>
    </row>
    <row r="157" spans="1:5" ht="32.25" thickBot="1" x14ac:dyDescent="0.3">
      <c r="A157" s="1573" t="s">
        <v>1441</v>
      </c>
      <c r="B157" s="1574" t="s">
        <v>1442</v>
      </c>
      <c r="C157" s="1412">
        <v>0</v>
      </c>
      <c r="D157" s="1412">
        <v>0</v>
      </c>
      <c r="E157" s="1575"/>
    </row>
    <row r="158" spans="1:5" x14ac:dyDescent="0.25">
      <c r="A158" s="1563" t="s">
        <v>1443</v>
      </c>
      <c r="B158" s="1564" t="s">
        <v>1444</v>
      </c>
      <c r="C158" s="1565">
        <v>0</v>
      </c>
      <c r="D158" s="1565">
        <v>0</v>
      </c>
      <c r="E158" s="1566"/>
    </row>
    <row r="159" spans="1:5" x14ac:dyDescent="0.25">
      <c r="A159" s="1567" t="s">
        <v>1445</v>
      </c>
      <c r="B159" s="1568" t="s">
        <v>1446</v>
      </c>
      <c r="C159" s="1406">
        <v>11263</v>
      </c>
      <c r="D159" s="1406">
        <v>0</v>
      </c>
      <c r="E159" s="1569"/>
    </row>
    <row r="160" spans="1:5" ht="16.5" thickBot="1" x14ac:dyDescent="0.3">
      <c r="A160" s="1570" t="s">
        <v>1447</v>
      </c>
      <c r="B160" s="1571" t="s">
        <v>1448</v>
      </c>
      <c r="C160" s="1428">
        <v>0</v>
      </c>
      <c r="D160" s="1428">
        <v>0</v>
      </c>
      <c r="E160" s="1572"/>
    </row>
    <row r="161" spans="1:5" ht="32.25" thickBot="1" x14ac:dyDescent="0.3">
      <c r="A161" s="1573" t="s">
        <v>1449</v>
      </c>
      <c r="B161" s="1574" t="s">
        <v>1450</v>
      </c>
      <c r="C161" s="1412">
        <v>0</v>
      </c>
      <c r="D161" s="1412">
        <f>SUM(D158:D160)</f>
        <v>0</v>
      </c>
      <c r="E161" s="1575"/>
    </row>
    <row r="162" spans="1:5" ht="16.5" thickBot="1" x14ac:dyDescent="0.3">
      <c r="A162" s="1559" t="s">
        <v>1451</v>
      </c>
      <c r="B162" s="1560" t="s">
        <v>1452</v>
      </c>
      <c r="C162" s="1400">
        <v>3571406</v>
      </c>
      <c r="D162" s="1400">
        <f>D161+D157+D156+D155+D106</f>
        <v>3603107</v>
      </c>
      <c r="E162" s="1576">
        <f>D162/C162</f>
        <v>1.0088763360984441</v>
      </c>
    </row>
  </sheetData>
  <mergeCells count="2">
    <mergeCell ref="A1:E1"/>
    <mergeCell ref="A2:E2"/>
  </mergeCells>
  <printOptions horizontalCentered="1"/>
  <pageMargins left="0.25" right="0.25" top="0.75" bottom="0.75" header="0.3" footer="0.3"/>
  <pageSetup paperSize="9" scale="71" orientation="portrait" r:id="rId1"/>
  <headerFooter>
    <oddHeader>&amp;R&amp;"Times New Roman CE,Félkövér"&amp;11 14. melléklet a 3/2016. (IV.29.) önkormányzati rendelethez</oddHeader>
  </headerFooter>
  <rowBreaks count="3" manualBreakCount="3">
    <brk id="52" max="4" man="1"/>
    <brk id="77" max="4" man="1"/>
    <brk id="98" max="4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5"/>
  <sheetViews>
    <sheetView tabSelected="1" view="pageBreakPreview" zoomScaleSheetLayoutView="100" workbookViewId="0">
      <selection activeCell="J6" sqref="J6"/>
    </sheetView>
  </sheetViews>
  <sheetFormatPr defaultRowHeight="15.75" x14ac:dyDescent="0.25"/>
  <cols>
    <col min="1" max="1" width="6.6640625" style="1437" customWidth="1"/>
    <col min="2" max="2" width="56.83203125" style="1437" customWidth="1"/>
    <col min="3" max="3" width="51.5" style="1437" customWidth="1"/>
    <col min="4" max="4" width="12" style="1439" hidden="1" customWidth="1"/>
    <col min="5" max="5" width="14.33203125" style="1437" bestFit="1" customWidth="1"/>
    <col min="6" max="8" width="14.33203125" style="1437" hidden="1" customWidth="1"/>
    <col min="9" max="9" width="15.6640625" style="1437" customWidth="1"/>
    <col min="10" max="10" width="16" style="1437" customWidth="1"/>
    <col min="11" max="16384" width="9.33203125" style="1437"/>
  </cols>
  <sheetData>
    <row r="1" spans="1:10" x14ac:dyDescent="0.25">
      <c r="A1" s="1676" t="s">
        <v>1555</v>
      </c>
      <c r="B1" s="1676"/>
      <c r="C1" s="1676"/>
      <c r="D1" s="1676"/>
      <c r="E1" s="1676"/>
      <c r="F1" s="1676"/>
      <c r="G1" s="1676"/>
      <c r="H1" s="1676"/>
      <c r="I1" s="1676"/>
      <c r="J1" s="1676"/>
    </row>
    <row r="2" spans="1:10" ht="35.25" customHeight="1" x14ac:dyDescent="0.25">
      <c r="A2" s="1677" t="s">
        <v>1497</v>
      </c>
      <c r="B2" s="1677"/>
      <c r="C2" s="1677"/>
      <c r="D2" s="1677"/>
      <c r="E2" s="1677"/>
      <c r="F2" s="1677"/>
      <c r="G2" s="1677"/>
      <c r="H2" s="1677"/>
      <c r="I2" s="1677"/>
      <c r="J2" s="1677"/>
    </row>
    <row r="3" spans="1:10" ht="17.25" customHeight="1" x14ac:dyDescent="0.25">
      <c r="A3" s="1116"/>
      <c r="B3" s="1116"/>
      <c r="C3" s="1116"/>
    </row>
    <row r="4" spans="1:10" ht="16.5" thickBot="1" x14ac:dyDescent="0.3">
      <c r="A4" s="1440"/>
      <c r="B4" s="1440"/>
      <c r="C4" s="1441"/>
      <c r="F4" s="1678"/>
      <c r="G4" s="1678"/>
      <c r="H4" s="1678"/>
      <c r="I4" s="1678"/>
      <c r="J4" s="1437" t="s">
        <v>270</v>
      </c>
    </row>
    <row r="5" spans="1:10" ht="50.25" customHeight="1" thickBot="1" x14ac:dyDescent="0.3">
      <c r="A5" s="1442" t="s">
        <v>16</v>
      </c>
      <c r="B5" s="1443" t="s">
        <v>66</v>
      </c>
      <c r="C5" s="1443" t="s">
        <v>67</v>
      </c>
      <c r="D5" s="1444" t="s">
        <v>1453</v>
      </c>
      <c r="E5" s="1445" t="s">
        <v>943</v>
      </c>
      <c r="F5" s="1446" t="s">
        <v>1454</v>
      </c>
      <c r="G5" s="1446" t="s">
        <v>1455</v>
      </c>
      <c r="H5" s="1445" t="s">
        <v>1456</v>
      </c>
      <c r="I5" s="1446" t="s">
        <v>1496</v>
      </c>
      <c r="J5" s="1446" t="s">
        <v>1494</v>
      </c>
    </row>
    <row r="6" spans="1:10" ht="15.95" customHeight="1" x14ac:dyDescent="0.25">
      <c r="A6" s="1447" t="s">
        <v>855</v>
      </c>
      <c r="B6" s="1448" t="s">
        <v>539</v>
      </c>
      <c r="C6" s="1448" t="s">
        <v>540</v>
      </c>
      <c r="D6" s="1449">
        <v>600</v>
      </c>
      <c r="E6" s="1450">
        <v>302</v>
      </c>
      <c r="F6" s="1449"/>
      <c r="G6" s="1449">
        <v>-400</v>
      </c>
      <c r="H6" s="1449"/>
      <c r="I6" s="1449">
        <v>302</v>
      </c>
      <c r="J6" s="1531">
        <v>302</v>
      </c>
    </row>
    <row r="7" spans="1:10" ht="15.95" customHeight="1" x14ac:dyDescent="0.25">
      <c r="A7" s="1451" t="s">
        <v>856</v>
      </c>
      <c r="B7" s="1452" t="s">
        <v>548</v>
      </c>
      <c r="C7" s="1452" t="s">
        <v>541</v>
      </c>
      <c r="D7" s="1453">
        <f>576+530+133+1</f>
        <v>1240</v>
      </c>
      <c r="E7" s="1454">
        <v>732</v>
      </c>
      <c r="F7" s="1455"/>
      <c r="G7" s="1455"/>
      <c r="H7" s="1455"/>
      <c r="I7" s="1455">
        <v>732</v>
      </c>
      <c r="J7" s="1453">
        <v>723</v>
      </c>
    </row>
    <row r="8" spans="1:10" ht="15.95" customHeight="1" x14ac:dyDescent="0.25">
      <c r="A8" s="1451" t="s">
        <v>857</v>
      </c>
      <c r="B8" s="1452" t="s">
        <v>542</v>
      </c>
      <c r="C8" s="1452" t="s">
        <v>1457</v>
      </c>
      <c r="D8" s="1453">
        <v>78</v>
      </c>
      <c r="E8" s="1454">
        <f>80+480</f>
        <v>560</v>
      </c>
      <c r="F8" s="1455"/>
      <c r="G8" s="1455"/>
      <c r="H8" s="1455"/>
      <c r="I8" s="1455">
        <v>560</v>
      </c>
      <c r="J8" s="1456">
        <v>480</v>
      </c>
    </row>
    <row r="9" spans="1:10" ht="15.95" hidden="1" customHeight="1" x14ac:dyDescent="0.25">
      <c r="A9" s="1451" t="s">
        <v>858</v>
      </c>
      <c r="B9" s="1452" t="s">
        <v>542</v>
      </c>
      <c r="C9" s="1452" t="s">
        <v>1458</v>
      </c>
      <c r="D9" s="1453">
        <v>900</v>
      </c>
      <c r="E9" s="1454"/>
      <c r="F9" s="1455"/>
      <c r="G9" s="1455"/>
      <c r="H9" s="1455"/>
      <c r="I9" s="1455"/>
      <c r="J9" s="1455"/>
    </row>
    <row r="10" spans="1:10" ht="15.95" customHeight="1" x14ac:dyDescent="0.25">
      <c r="A10" s="1451" t="s">
        <v>858</v>
      </c>
      <c r="B10" s="1452" t="s">
        <v>545</v>
      </c>
      <c r="C10" s="1452" t="s">
        <v>546</v>
      </c>
      <c r="D10" s="1453">
        <f>50*12</f>
        <v>600</v>
      </c>
      <c r="E10" s="1454">
        <v>600</v>
      </c>
      <c r="F10" s="1455"/>
      <c r="G10" s="1455"/>
      <c r="H10" s="1455"/>
      <c r="I10" s="1455">
        <v>600</v>
      </c>
      <c r="J10" s="1455">
        <v>266</v>
      </c>
    </row>
    <row r="11" spans="1:10" ht="15.95" hidden="1" customHeight="1" x14ac:dyDescent="0.25">
      <c r="A11" s="1451" t="s">
        <v>860</v>
      </c>
      <c r="B11" s="1452" t="s">
        <v>547</v>
      </c>
      <c r="C11" s="1452" t="s">
        <v>1459</v>
      </c>
      <c r="D11" s="1453">
        <v>0</v>
      </c>
      <c r="E11" s="1454"/>
      <c r="F11" s="1455"/>
      <c r="G11" s="1455"/>
      <c r="H11" s="1455"/>
      <c r="I11" s="1455"/>
      <c r="J11" s="1455"/>
    </row>
    <row r="12" spans="1:10" ht="15.95" hidden="1" customHeight="1" x14ac:dyDescent="0.25">
      <c r="A12" s="1451" t="s">
        <v>861</v>
      </c>
      <c r="B12" s="1452" t="s">
        <v>1460</v>
      </c>
      <c r="C12" s="1452" t="s">
        <v>1461</v>
      </c>
      <c r="D12" s="1453">
        <v>101</v>
      </c>
      <c r="E12" s="1454"/>
      <c r="F12" s="1455"/>
      <c r="G12" s="1455"/>
      <c r="H12" s="1455"/>
      <c r="I12" s="1455"/>
      <c r="J12" s="1455"/>
    </row>
    <row r="13" spans="1:10" ht="31.5" hidden="1" customHeight="1" x14ac:dyDescent="0.25">
      <c r="A13" s="1451" t="s">
        <v>862</v>
      </c>
      <c r="B13" s="1457" t="s">
        <v>1462</v>
      </c>
      <c r="C13" s="1452" t="s">
        <v>1461</v>
      </c>
      <c r="D13" s="1453">
        <v>50</v>
      </c>
      <c r="E13" s="1454"/>
      <c r="F13" s="1455"/>
      <c r="G13" s="1455"/>
      <c r="H13" s="1455"/>
      <c r="I13" s="1455"/>
      <c r="J13" s="1455"/>
    </row>
    <row r="14" spans="1:10" ht="15.95" hidden="1" customHeight="1" x14ac:dyDescent="0.25">
      <c r="A14" s="1451" t="s">
        <v>863</v>
      </c>
      <c r="B14" s="1452" t="s">
        <v>1463</v>
      </c>
      <c r="C14" s="1452" t="s">
        <v>1464</v>
      </c>
      <c r="D14" s="1453">
        <v>20</v>
      </c>
      <c r="E14" s="1454"/>
      <c r="F14" s="1455"/>
      <c r="G14" s="1455"/>
      <c r="H14" s="1455"/>
      <c r="I14" s="1455"/>
      <c r="J14" s="1455"/>
    </row>
    <row r="15" spans="1:10" ht="15.95" hidden="1" customHeight="1" x14ac:dyDescent="0.25">
      <c r="A15" s="1451" t="s">
        <v>864</v>
      </c>
      <c r="B15" s="1452" t="s">
        <v>547</v>
      </c>
      <c r="C15" s="1452" t="s">
        <v>1464</v>
      </c>
      <c r="D15" s="1453">
        <v>50</v>
      </c>
      <c r="E15" s="1454"/>
      <c r="F15" s="1455"/>
      <c r="G15" s="1455"/>
      <c r="H15" s="1455"/>
      <c r="I15" s="1455"/>
      <c r="J15" s="1455"/>
    </row>
    <row r="16" spans="1:10" ht="15.95" hidden="1" customHeight="1" x14ac:dyDescent="0.25">
      <c r="A16" s="1451" t="s">
        <v>865</v>
      </c>
      <c r="B16" s="1452" t="s">
        <v>1465</v>
      </c>
      <c r="C16" s="1452" t="s">
        <v>1466</v>
      </c>
      <c r="D16" s="1453">
        <v>80</v>
      </c>
      <c r="E16" s="1454"/>
      <c r="F16" s="1455"/>
      <c r="G16" s="1455"/>
      <c r="H16" s="1455"/>
      <c r="I16" s="1455"/>
      <c r="J16" s="1455"/>
    </row>
    <row r="17" spans="1:10" ht="15.95" hidden="1" customHeight="1" x14ac:dyDescent="0.25">
      <c r="A17" s="1451" t="s">
        <v>866</v>
      </c>
      <c r="B17" s="1452" t="s">
        <v>1467</v>
      </c>
      <c r="C17" s="1452" t="s">
        <v>1468</v>
      </c>
      <c r="D17" s="1453">
        <v>1327</v>
      </c>
      <c r="E17" s="1454"/>
      <c r="F17" s="1455"/>
      <c r="G17" s="1455"/>
      <c r="H17" s="1455"/>
      <c r="I17" s="1455"/>
      <c r="J17" s="1455"/>
    </row>
    <row r="18" spans="1:10" ht="15.95" customHeight="1" x14ac:dyDescent="0.25">
      <c r="A18" s="1451" t="s">
        <v>859</v>
      </c>
      <c r="B18" s="1452" t="s">
        <v>547</v>
      </c>
      <c r="C18" s="1452" t="s">
        <v>1469</v>
      </c>
      <c r="D18" s="1453">
        <v>1157</v>
      </c>
      <c r="E18" s="1454">
        <f>1500+1287</f>
        <v>2787</v>
      </c>
      <c r="F18" s="1455"/>
      <c r="G18" s="1455"/>
      <c r="H18" s="1455"/>
      <c r="I18" s="1455">
        <v>2787</v>
      </c>
      <c r="J18" s="1455">
        <v>2861</v>
      </c>
    </row>
    <row r="19" spans="1:10" ht="15.95" hidden="1" customHeight="1" x14ac:dyDescent="0.25">
      <c r="A19" s="1451" t="s">
        <v>868</v>
      </c>
      <c r="B19" s="1452" t="s">
        <v>1470</v>
      </c>
      <c r="C19" s="1452" t="s">
        <v>1471</v>
      </c>
      <c r="D19" s="1453">
        <v>90</v>
      </c>
      <c r="E19" s="1454"/>
      <c r="F19" s="1455"/>
      <c r="G19" s="1455"/>
      <c r="H19" s="1455"/>
      <c r="I19" s="1455"/>
      <c r="J19" s="1455"/>
    </row>
    <row r="20" spans="1:10" x14ac:dyDescent="0.25">
      <c r="A20" s="1451" t="s">
        <v>860</v>
      </c>
      <c r="B20" s="1452" t="s">
        <v>1060</v>
      </c>
      <c r="C20" s="1457" t="s">
        <v>1472</v>
      </c>
      <c r="D20" s="1455">
        <v>50</v>
      </c>
      <c r="E20" s="1454">
        <v>0</v>
      </c>
      <c r="F20" s="1455"/>
      <c r="G20" s="1455">
        <v>400</v>
      </c>
      <c r="H20" s="1455"/>
      <c r="I20" s="1455">
        <v>264</v>
      </c>
      <c r="J20" s="1455">
        <v>264</v>
      </c>
    </row>
    <row r="21" spans="1:10" s="1461" customFormat="1" ht="15.95" customHeight="1" x14ac:dyDescent="0.25">
      <c r="A21" s="1458" t="s">
        <v>861</v>
      </c>
      <c r="B21" s="1533" t="s">
        <v>927</v>
      </c>
      <c r="C21" s="1459"/>
      <c r="D21" s="1460"/>
      <c r="E21" s="1532">
        <v>1000</v>
      </c>
      <c r="F21" s="1460">
        <v>700</v>
      </c>
      <c r="G21" s="1460"/>
      <c r="H21" s="1460"/>
      <c r="I21" s="1453">
        <v>1000</v>
      </c>
      <c r="J21" s="1453">
        <v>1000</v>
      </c>
    </row>
    <row r="22" spans="1:10" ht="15.95" hidden="1" customHeight="1" thickBot="1" x14ac:dyDescent="0.3">
      <c r="A22" s="1534"/>
      <c r="B22" s="1535"/>
      <c r="C22" s="1535"/>
      <c r="D22" s="1536"/>
      <c r="E22" s="1537"/>
      <c r="F22" s="1536"/>
      <c r="G22" s="1536"/>
      <c r="H22" s="1536"/>
      <c r="I22" s="1536">
        <f t="shared" ref="I22:J22" si="0">E22+F22+G22+H22</f>
        <v>0</v>
      </c>
      <c r="J22" s="1536">
        <f t="shared" si="0"/>
        <v>0</v>
      </c>
    </row>
    <row r="23" spans="1:10" ht="15.95" customHeight="1" x14ac:dyDescent="0.25">
      <c r="A23" s="1451" t="s">
        <v>862</v>
      </c>
      <c r="B23" s="1452" t="s">
        <v>1498</v>
      </c>
      <c r="C23" s="1452" t="s">
        <v>1499</v>
      </c>
      <c r="D23" s="1455"/>
      <c r="E23" s="1455"/>
      <c r="F23" s="1455"/>
      <c r="G23" s="1455"/>
      <c r="H23" s="1455"/>
      <c r="I23" s="1455">
        <v>70</v>
      </c>
      <c r="J23" s="1542">
        <v>70</v>
      </c>
    </row>
    <row r="24" spans="1:10" ht="15.95" customHeight="1" thickBot="1" x14ac:dyDescent="0.3">
      <c r="A24" s="1538" t="s">
        <v>863</v>
      </c>
      <c r="B24" s="1539" t="s">
        <v>1463</v>
      </c>
      <c r="C24" s="1539" t="s">
        <v>1500</v>
      </c>
      <c r="D24" s="1540"/>
      <c r="E24" s="1540"/>
      <c r="F24" s="1540"/>
      <c r="G24" s="1540"/>
      <c r="H24" s="1540"/>
      <c r="I24" s="1540">
        <v>40</v>
      </c>
      <c r="J24" s="1541">
        <v>40</v>
      </c>
    </row>
    <row r="25" spans="1:10" ht="15.95" customHeight="1" thickBot="1" x14ac:dyDescent="0.3">
      <c r="A25" s="1679" t="s">
        <v>1473</v>
      </c>
      <c r="B25" s="1680"/>
      <c r="C25" s="1681"/>
      <c r="D25" s="1462">
        <f>SUM(D6:D22)</f>
        <v>6343</v>
      </c>
      <c r="E25" s="1463">
        <f>SUM(E6:E21)</f>
        <v>5981</v>
      </c>
      <c r="F25" s="1463">
        <f t="shared" ref="F25:I25" si="1">SUM(F6:F21)</f>
        <v>700</v>
      </c>
      <c r="G25" s="1463">
        <f t="shared" si="1"/>
        <v>0</v>
      </c>
      <c r="H25" s="1463">
        <f t="shared" si="1"/>
        <v>0</v>
      </c>
      <c r="I25" s="1463">
        <f t="shared" si="1"/>
        <v>6245</v>
      </c>
      <c r="J25" s="1462">
        <f>SUM(J6:J21)</f>
        <v>5896</v>
      </c>
    </row>
  </sheetData>
  <mergeCells count="4">
    <mergeCell ref="A1:J1"/>
    <mergeCell ref="A2:J2"/>
    <mergeCell ref="F4:I4"/>
    <mergeCell ref="A25:C25"/>
  </mergeCells>
  <conditionalFormatting sqref="D25:I25">
    <cfRule type="cellIs" dxfId="5" priority="3" stopIfTrue="1" operator="equal">
      <formula>0</formula>
    </cfRule>
  </conditionalFormatting>
  <conditionalFormatting sqref="J25">
    <cfRule type="cellIs" dxfId="4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5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2:J100"/>
  <sheetViews>
    <sheetView view="pageBreakPreview" zoomScaleNormal="100" zoomScaleSheetLayoutView="100" workbookViewId="0">
      <selection activeCell="I38" sqref="I38"/>
    </sheetView>
  </sheetViews>
  <sheetFormatPr defaultColWidth="9.33203125" defaultRowHeight="12.75" x14ac:dyDescent="0.2"/>
  <cols>
    <col min="1" max="1" width="3.5" style="1464" bestFit="1" customWidth="1"/>
    <col min="2" max="2" width="3.5" style="1464" customWidth="1"/>
    <col min="3" max="3" width="5.5" style="1464" customWidth="1"/>
    <col min="4" max="4" width="4" style="1464" customWidth="1"/>
    <col min="5" max="5" width="9.33203125" style="1464" customWidth="1"/>
    <col min="6" max="6" width="61.1640625" style="1464" bestFit="1" customWidth="1"/>
    <col min="7" max="7" width="12.6640625" style="1464" hidden="1" customWidth="1"/>
    <col min="8" max="8" width="12.6640625" style="1464" bestFit="1" customWidth="1"/>
    <col min="9" max="10" width="15.1640625" style="1464" bestFit="1" customWidth="1"/>
    <col min="11" max="13" width="9.33203125" style="1464"/>
    <col min="14" max="14" width="9.33203125" style="1464" customWidth="1"/>
    <col min="15" max="16384" width="9.33203125" style="1464"/>
  </cols>
  <sheetData>
    <row r="2" spans="1:10" ht="32.25" customHeight="1" x14ac:dyDescent="0.2">
      <c r="A2" s="1682" t="s">
        <v>1511</v>
      </c>
      <c r="B2" s="1682"/>
      <c r="C2" s="1682"/>
      <c r="D2" s="1682"/>
      <c r="E2" s="1682"/>
      <c r="F2" s="1682"/>
      <c r="G2" s="1682"/>
      <c r="H2" s="1682"/>
      <c r="I2" s="1682"/>
    </row>
    <row r="3" spans="1:10" s="1466" customFormat="1" ht="13.5" thickBot="1" x14ac:dyDescent="0.25">
      <c r="A3" s="1465"/>
      <c r="B3" s="1465"/>
      <c r="C3" s="1465"/>
      <c r="D3" s="1465"/>
      <c r="E3" s="1465"/>
      <c r="F3" s="1465"/>
      <c r="I3" s="1467"/>
      <c r="J3" s="1467" t="s">
        <v>1474</v>
      </c>
    </row>
    <row r="4" spans="1:10" s="1470" customFormat="1" ht="26.25" thickBot="1" x14ac:dyDescent="0.25">
      <c r="A4" s="1683" t="s">
        <v>889</v>
      </c>
      <c r="B4" s="1684"/>
      <c r="C4" s="1684"/>
      <c r="D4" s="1684"/>
      <c r="E4" s="1684"/>
      <c r="F4" s="1685"/>
      <c r="G4" s="1468" t="s">
        <v>926</v>
      </c>
      <c r="H4" s="1469" t="s">
        <v>943</v>
      </c>
      <c r="I4" s="1469" t="s">
        <v>1496</v>
      </c>
      <c r="J4" s="1469" t="s">
        <v>1494</v>
      </c>
    </row>
    <row r="5" spans="1:10" ht="14.25" customHeight="1" x14ac:dyDescent="0.2">
      <c r="A5" s="1686" t="s">
        <v>549</v>
      </c>
      <c r="B5" s="1689">
        <v>1</v>
      </c>
      <c r="C5" s="1691" t="s">
        <v>550</v>
      </c>
      <c r="D5" s="1692"/>
      <c r="E5" s="1692"/>
      <c r="F5" s="1693"/>
      <c r="G5" s="1471">
        <f>G6+G9+G10+G13</f>
        <v>51035884</v>
      </c>
      <c r="H5" s="1471">
        <f>H6+H9+H10+H13+H14</f>
        <v>77091476</v>
      </c>
      <c r="I5" s="1471">
        <f>I6+I9+I10+I13+I14+I15</f>
        <v>77154087</v>
      </c>
      <c r="J5" s="1471">
        <f>J6+J9+J10+J13+J14+J15</f>
        <v>77154087</v>
      </c>
    </row>
    <row r="6" spans="1:10" ht="25.5" customHeight="1" x14ac:dyDescent="0.2">
      <c r="A6" s="1687"/>
      <c r="B6" s="1690"/>
      <c r="C6" s="1472" t="s">
        <v>551</v>
      </c>
      <c r="D6" s="1472"/>
      <c r="E6" s="1472"/>
      <c r="F6" s="1473" t="s">
        <v>552</v>
      </c>
      <c r="G6" s="1474">
        <f>G7+G8</f>
        <v>38014000</v>
      </c>
      <c r="H6" s="1474">
        <v>40166600</v>
      </c>
      <c r="I6" s="1474">
        <v>40166600</v>
      </c>
      <c r="J6" s="1474">
        <v>40166600</v>
      </c>
    </row>
    <row r="7" spans="1:10" ht="153" hidden="1" customHeight="1" x14ac:dyDescent="0.2">
      <c r="A7" s="1687"/>
      <c r="B7" s="1690"/>
      <c r="C7" s="1472"/>
      <c r="D7" s="1472" t="s">
        <v>1475</v>
      </c>
      <c r="E7" s="1472"/>
      <c r="F7" s="1475" t="s">
        <v>553</v>
      </c>
      <c r="G7" s="1476">
        <v>38014000</v>
      </c>
      <c r="H7" s="1476">
        <v>38014000</v>
      </c>
      <c r="I7" s="1476"/>
      <c r="J7" s="1476">
        <v>38014000</v>
      </c>
    </row>
    <row r="8" spans="1:10" ht="102" hidden="1" customHeight="1" x14ac:dyDescent="0.2">
      <c r="A8" s="1687"/>
      <c r="B8" s="1690"/>
      <c r="C8" s="1472"/>
      <c r="D8" s="1472" t="s">
        <v>1476</v>
      </c>
      <c r="E8" s="1472"/>
      <c r="F8" s="1475" t="s">
        <v>554</v>
      </c>
      <c r="G8" s="1476">
        <v>0</v>
      </c>
      <c r="H8" s="1476">
        <v>0</v>
      </c>
      <c r="I8" s="1476"/>
      <c r="J8" s="1476">
        <v>0</v>
      </c>
    </row>
    <row r="9" spans="1:10" x14ac:dyDescent="0.2">
      <c r="A9" s="1687"/>
      <c r="B9" s="1690"/>
      <c r="C9" s="1472" t="s">
        <v>555</v>
      </c>
      <c r="D9" s="1472"/>
      <c r="E9" s="1472"/>
      <c r="F9" s="1473" t="s">
        <v>556</v>
      </c>
      <c r="G9" s="1474">
        <v>12448359</v>
      </c>
      <c r="H9" s="1474">
        <v>18067916</v>
      </c>
      <c r="I9" s="1474">
        <v>18067916</v>
      </c>
      <c r="J9" s="1474">
        <v>18067916</v>
      </c>
    </row>
    <row r="10" spans="1:10" x14ac:dyDescent="0.2">
      <c r="A10" s="1687"/>
      <c r="B10" s="1690"/>
      <c r="C10" s="1472" t="s">
        <v>557</v>
      </c>
      <c r="D10" s="1472"/>
      <c r="E10" s="1472"/>
      <c r="F10" s="1473" t="s">
        <v>1477</v>
      </c>
      <c r="G10" s="1474">
        <v>-8071875</v>
      </c>
      <c r="H10" s="1474">
        <v>10055410</v>
      </c>
      <c r="I10" s="1474">
        <v>10055410</v>
      </c>
      <c r="J10" s="1474">
        <v>10055410</v>
      </c>
    </row>
    <row r="11" spans="1:10" ht="165.75" hidden="1" customHeight="1" x14ac:dyDescent="0.2">
      <c r="A11" s="1687"/>
      <c r="B11" s="1690"/>
      <c r="C11" s="1477"/>
      <c r="D11" s="1477"/>
      <c r="E11" s="1477"/>
      <c r="F11" s="1475" t="s">
        <v>558</v>
      </c>
      <c r="G11" s="1478">
        <v>42390484</v>
      </c>
      <c r="H11" s="1478">
        <v>42390484</v>
      </c>
      <c r="I11" s="1478"/>
      <c r="J11" s="1478">
        <v>42390484</v>
      </c>
    </row>
    <row r="12" spans="1:10" ht="63.75" hidden="1" customHeight="1" x14ac:dyDescent="0.2">
      <c r="A12" s="1687"/>
      <c r="B12" s="1690"/>
      <c r="C12" s="1477"/>
      <c r="D12" s="1477"/>
      <c r="E12" s="1477"/>
      <c r="F12" s="1475" t="s">
        <v>559</v>
      </c>
      <c r="G12" s="1478">
        <v>0</v>
      </c>
      <c r="H12" s="1478">
        <v>0</v>
      </c>
      <c r="I12" s="1478"/>
      <c r="J12" s="1478">
        <v>0</v>
      </c>
    </row>
    <row r="13" spans="1:10" x14ac:dyDescent="0.2">
      <c r="A13" s="1687"/>
      <c r="B13" s="1690"/>
      <c r="C13" s="1472" t="s">
        <v>560</v>
      </c>
      <c r="D13" s="1472"/>
      <c r="E13" s="1472"/>
      <c r="F13" s="1479" t="s">
        <v>561</v>
      </c>
      <c r="G13" s="1480">
        <v>8645400</v>
      </c>
      <c r="H13" s="1480">
        <v>8793900</v>
      </c>
      <c r="I13" s="1480">
        <v>8793900</v>
      </c>
      <c r="J13" s="1480">
        <v>8793900</v>
      </c>
    </row>
    <row r="14" spans="1:10" x14ac:dyDescent="0.2">
      <c r="A14" s="1687"/>
      <c r="B14" s="1543"/>
      <c r="C14" s="1472" t="s">
        <v>575</v>
      </c>
      <c r="D14" s="1472"/>
      <c r="E14" s="1472"/>
      <c r="F14" s="1479" t="s">
        <v>625</v>
      </c>
      <c r="G14" s="1544"/>
      <c r="H14" s="1544">
        <v>7650</v>
      </c>
      <c r="I14" s="1544">
        <v>7650</v>
      </c>
      <c r="J14" s="1544">
        <v>7650</v>
      </c>
    </row>
    <row r="15" spans="1:10" x14ac:dyDescent="0.2">
      <c r="A15" s="1687"/>
      <c r="B15" s="1543"/>
      <c r="C15" s="1472"/>
      <c r="D15" s="1472"/>
      <c r="E15" s="1472"/>
      <c r="F15" s="1479" t="s">
        <v>1501</v>
      </c>
      <c r="G15" s="1544"/>
      <c r="H15" s="1544"/>
      <c r="I15" s="1544">
        <v>62611</v>
      </c>
      <c r="J15" s="1544">
        <v>62611</v>
      </c>
    </row>
    <row r="16" spans="1:10" ht="13.5" thickBot="1" x14ac:dyDescent="0.25">
      <c r="A16" s="1687"/>
      <c r="B16" s="1481">
        <v>2</v>
      </c>
      <c r="C16" s="1694" t="s">
        <v>1478</v>
      </c>
      <c r="D16" s="1695"/>
      <c r="E16" s="1695"/>
      <c r="F16" s="1696"/>
      <c r="G16" s="1482">
        <v>0</v>
      </c>
      <c r="H16" s="1482">
        <v>0</v>
      </c>
      <c r="I16" s="1482"/>
      <c r="J16" s="1482">
        <v>0</v>
      </c>
    </row>
    <row r="17" spans="1:10" ht="27.6" customHeight="1" thickBot="1" x14ac:dyDescent="0.25">
      <c r="A17" s="1688"/>
      <c r="B17" s="1697" t="s">
        <v>1058</v>
      </c>
      <c r="C17" s="1684"/>
      <c r="D17" s="1684"/>
      <c r="E17" s="1684"/>
      <c r="F17" s="1685"/>
      <c r="G17" s="1483">
        <f>G5+G16</f>
        <v>51035884</v>
      </c>
      <c r="H17" s="1483">
        <f>H5+H16</f>
        <v>77091476</v>
      </c>
      <c r="I17" s="1483">
        <f>I5+I16</f>
        <v>77154087</v>
      </c>
      <c r="J17" s="1483">
        <f>J5+J16</f>
        <v>77154087</v>
      </c>
    </row>
    <row r="18" spans="1:10" x14ac:dyDescent="0.2">
      <c r="A18" s="1686" t="s">
        <v>562</v>
      </c>
      <c r="B18" s="1689">
        <v>1</v>
      </c>
      <c r="C18" s="1698" t="s">
        <v>909</v>
      </c>
      <c r="D18" s="1698"/>
      <c r="E18" s="1698"/>
      <c r="F18" s="1698"/>
      <c r="G18" s="1484">
        <f>G19+G23</f>
        <v>33648000</v>
      </c>
      <c r="H18" s="1484">
        <f>H19+H23</f>
        <v>51628800</v>
      </c>
      <c r="I18" s="1484">
        <f t="shared" ref="I18:J18" si="0">I19+I23</f>
        <v>53012800</v>
      </c>
      <c r="J18" s="1484">
        <f t="shared" si="0"/>
        <v>53012800</v>
      </c>
    </row>
    <row r="19" spans="1:10" x14ac:dyDescent="0.2">
      <c r="A19" s="1687"/>
      <c r="B19" s="1690"/>
      <c r="C19" s="1472" t="s">
        <v>551</v>
      </c>
      <c r="D19" s="1472"/>
      <c r="E19" s="1472"/>
      <c r="F19" s="1479" t="s">
        <v>563</v>
      </c>
      <c r="G19" s="1480">
        <f>G20+G21</f>
        <v>25488000</v>
      </c>
      <c r="H19" s="1480">
        <f>SUM(H20:H21)</f>
        <v>39028800</v>
      </c>
      <c r="I19" s="1480">
        <f t="shared" ref="I19:J19" si="1">SUM(I20:I21)</f>
        <v>40412800</v>
      </c>
      <c r="J19" s="1480">
        <f t="shared" si="1"/>
        <v>40412800</v>
      </c>
    </row>
    <row r="20" spans="1:10" s="1488" customFormat="1" x14ac:dyDescent="0.2">
      <c r="A20" s="1687"/>
      <c r="B20" s="1690"/>
      <c r="C20" s="1485"/>
      <c r="D20" s="1485"/>
      <c r="E20" s="1485"/>
      <c r="F20" s="1486" t="s">
        <v>922</v>
      </c>
      <c r="G20" s="1487">
        <v>16992000</v>
      </c>
      <c r="H20" s="1478">
        <v>26019200</v>
      </c>
      <c r="I20" s="1478">
        <v>26019200</v>
      </c>
      <c r="J20" s="1478">
        <v>26019200</v>
      </c>
    </row>
    <row r="21" spans="1:10" s="1488" customFormat="1" x14ac:dyDescent="0.2">
      <c r="A21" s="1687"/>
      <c r="B21" s="1690"/>
      <c r="C21" s="1485"/>
      <c r="D21" s="1485"/>
      <c r="E21" s="1485"/>
      <c r="F21" s="1486" t="s">
        <v>1502</v>
      </c>
      <c r="G21" s="1487">
        <v>8496000</v>
      </c>
      <c r="H21" s="1478">
        <v>13009600</v>
      </c>
      <c r="I21" s="1478">
        <v>14393600</v>
      </c>
      <c r="J21" s="1478">
        <v>14393600</v>
      </c>
    </row>
    <row r="22" spans="1:10" s="1488" customFormat="1" x14ac:dyDescent="0.2">
      <c r="A22" s="1687"/>
      <c r="B22" s="1690"/>
      <c r="C22" s="1485"/>
      <c r="D22" s="1485"/>
      <c r="E22" s="1485"/>
      <c r="F22" s="1545" t="s">
        <v>1504</v>
      </c>
      <c r="G22" s="1487"/>
      <c r="H22" s="1480">
        <v>329000</v>
      </c>
      <c r="I22" s="1478">
        <v>364000</v>
      </c>
      <c r="J22" s="1478">
        <v>364000</v>
      </c>
    </row>
    <row r="23" spans="1:10" ht="25.5" x14ac:dyDescent="0.2">
      <c r="A23" s="1687"/>
      <c r="B23" s="1690"/>
      <c r="C23" s="1472" t="s">
        <v>555</v>
      </c>
      <c r="D23" s="1472"/>
      <c r="E23" s="1472"/>
      <c r="F23" s="1479" t="s">
        <v>912</v>
      </c>
      <c r="G23" s="1480">
        <f>G24+G25</f>
        <v>8160000</v>
      </c>
      <c r="H23" s="1480">
        <f>SUM(H24:H25)</f>
        <v>12600000</v>
      </c>
      <c r="I23" s="1480">
        <f>SUM(I24:I25)</f>
        <v>12600000</v>
      </c>
      <c r="J23" s="1480">
        <f>SUM(J24:J25)</f>
        <v>12600000</v>
      </c>
    </row>
    <row r="24" spans="1:10" s="1488" customFormat="1" x14ac:dyDescent="0.2">
      <c r="A24" s="1687"/>
      <c r="B24" s="1690"/>
      <c r="C24" s="1485"/>
      <c r="D24" s="1485"/>
      <c r="E24" s="1485"/>
      <c r="F24" s="1486" t="s">
        <v>922</v>
      </c>
      <c r="G24" s="1487">
        <v>5440000</v>
      </c>
      <c r="H24" s="1478">
        <v>8400000</v>
      </c>
      <c r="I24" s="1478">
        <v>8400000</v>
      </c>
      <c r="J24" s="1478">
        <v>8400000</v>
      </c>
    </row>
    <row r="25" spans="1:10" s="1488" customFormat="1" x14ac:dyDescent="0.2">
      <c r="A25" s="1687"/>
      <c r="B25" s="1690"/>
      <c r="C25" s="1485"/>
      <c r="D25" s="1485"/>
      <c r="E25" s="1485"/>
      <c r="F25" s="1486" t="s">
        <v>1502</v>
      </c>
      <c r="G25" s="1487">
        <v>2720000</v>
      </c>
      <c r="H25" s="1478">
        <v>4200000</v>
      </c>
      <c r="I25" s="1478">
        <v>4200000</v>
      </c>
      <c r="J25" s="1478">
        <v>4200000</v>
      </c>
    </row>
    <row r="26" spans="1:10" x14ac:dyDescent="0.2">
      <c r="A26" s="1687"/>
      <c r="B26" s="1690">
        <v>2</v>
      </c>
      <c r="C26" s="1699" t="s">
        <v>910</v>
      </c>
      <c r="D26" s="1699"/>
      <c r="E26" s="1699"/>
      <c r="F26" s="1699"/>
      <c r="G26" s="1480">
        <f>G27+G28</f>
        <v>5400000</v>
      </c>
      <c r="H26" s="1480">
        <f>SUM(H27:H28)</f>
        <v>7210000</v>
      </c>
      <c r="I26" s="1480">
        <f t="shared" ref="I26:J26" si="2">SUM(I27:I28)</f>
        <v>7490000</v>
      </c>
      <c r="J26" s="1480">
        <f t="shared" si="2"/>
        <v>7490000</v>
      </c>
    </row>
    <row r="27" spans="1:10" s="1489" customFormat="1" x14ac:dyDescent="0.2">
      <c r="A27" s="1687"/>
      <c r="B27" s="1690"/>
      <c r="C27" s="1485"/>
      <c r="D27" s="1485"/>
      <c r="E27" s="1485"/>
      <c r="F27" s="1486" t="s">
        <v>922</v>
      </c>
      <c r="G27" s="1487">
        <v>3600000</v>
      </c>
      <c r="H27" s="1478">
        <v>4806667</v>
      </c>
      <c r="I27" s="1478">
        <v>4806667</v>
      </c>
      <c r="J27" s="1478">
        <v>4806667</v>
      </c>
    </row>
    <row r="28" spans="1:10" s="1488" customFormat="1" x14ac:dyDescent="0.2">
      <c r="A28" s="1687"/>
      <c r="B28" s="1690"/>
      <c r="C28" s="1485"/>
      <c r="D28" s="1485"/>
      <c r="E28" s="1485"/>
      <c r="F28" s="1486" t="s">
        <v>1502</v>
      </c>
      <c r="G28" s="1487">
        <v>1800000</v>
      </c>
      <c r="H28" s="1478">
        <v>2403333</v>
      </c>
      <c r="I28" s="1478">
        <v>2683333</v>
      </c>
      <c r="J28" s="1478">
        <v>2683333</v>
      </c>
    </row>
    <row r="29" spans="1:10" s="1488" customFormat="1" ht="13.5" customHeight="1" x14ac:dyDescent="0.2">
      <c r="A29" s="1687"/>
      <c r="B29" s="1472"/>
      <c r="C29" s="1706" t="s">
        <v>1505</v>
      </c>
      <c r="D29" s="1709"/>
      <c r="E29" s="1709"/>
      <c r="F29" s="1710"/>
      <c r="G29" s="1487"/>
      <c r="H29" s="1478"/>
      <c r="I29" s="1478">
        <v>475000</v>
      </c>
      <c r="J29" s="1478">
        <v>475000</v>
      </c>
    </row>
    <row r="30" spans="1:10" s="1488" customFormat="1" x14ac:dyDescent="0.2">
      <c r="A30" s="1687"/>
      <c r="B30" s="1472"/>
      <c r="C30" s="1706" t="s">
        <v>1503</v>
      </c>
      <c r="D30" s="1707"/>
      <c r="E30" s="1707"/>
      <c r="F30" s="1708"/>
      <c r="G30" s="1487"/>
      <c r="H30" s="1480">
        <v>352000</v>
      </c>
      <c r="I30" s="1478">
        <v>352000</v>
      </c>
      <c r="J30" s="1478">
        <v>352000</v>
      </c>
    </row>
    <row r="31" spans="1:10" x14ac:dyDescent="0.2">
      <c r="A31" s="1687"/>
      <c r="B31" s="1690">
        <v>3</v>
      </c>
      <c r="C31" s="1699" t="s">
        <v>911</v>
      </c>
      <c r="D31" s="1699"/>
      <c r="E31" s="1699"/>
      <c r="F31" s="1699"/>
      <c r="G31" s="1480">
        <f>G32+G33</f>
        <v>8160000</v>
      </c>
      <c r="H31" s="1480"/>
      <c r="I31" s="1480"/>
      <c r="J31" s="1480"/>
    </row>
    <row r="32" spans="1:10" ht="25.5" x14ac:dyDescent="0.2">
      <c r="A32" s="1687"/>
      <c r="B32" s="1690"/>
      <c r="C32" s="1472" t="s">
        <v>551</v>
      </c>
      <c r="D32" s="1472"/>
      <c r="E32" s="1472"/>
      <c r="F32" s="1479" t="s">
        <v>566</v>
      </c>
      <c r="G32" s="1480">
        <v>0</v>
      </c>
      <c r="H32" s="1480"/>
      <c r="I32" s="1480"/>
      <c r="J32" s="1480"/>
    </row>
    <row r="33" spans="1:10" x14ac:dyDescent="0.2">
      <c r="A33" s="1687"/>
      <c r="B33" s="1690"/>
      <c r="C33" s="1472" t="s">
        <v>555</v>
      </c>
      <c r="D33" s="1472"/>
      <c r="E33" s="1472"/>
      <c r="F33" s="1479" t="s">
        <v>567</v>
      </c>
      <c r="G33" s="1480">
        <v>8160000</v>
      </c>
      <c r="H33" s="1480"/>
      <c r="I33" s="1480"/>
      <c r="J33" s="1480"/>
    </row>
    <row r="34" spans="1:10" s="1491" customFormat="1" ht="13.5" thickBot="1" x14ac:dyDescent="0.25">
      <c r="A34" s="1687"/>
      <c r="B34" s="1700">
        <v>4</v>
      </c>
      <c r="C34" s="1702" t="s">
        <v>925</v>
      </c>
      <c r="D34" s="1702"/>
      <c r="E34" s="1702"/>
      <c r="F34" s="1702"/>
      <c r="G34" s="1490">
        <f>G35+G36</f>
        <v>0</v>
      </c>
      <c r="H34" s="1490">
        <f>H35+H36</f>
        <v>0</v>
      </c>
      <c r="I34" s="1490"/>
      <c r="J34" s="1490">
        <f>J35+J36</f>
        <v>0</v>
      </c>
    </row>
    <row r="35" spans="1:10" s="1488" customFormat="1" ht="38.25" hidden="1" customHeight="1" x14ac:dyDescent="0.2">
      <c r="A35" s="1687"/>
      <c r="B35" s="1700"/>
      <c r="C35" s="1492"/>
      <c r="D35" s="1485"/>
      <c r="E35" s="1485"/>
      <c r="F35" s="1486" t="s">
        <v>564</v>
      </c>
      <c r="G35" s="1487">
        <v>0</v>
      </c>
      <c r="H35" s="1487">
        <v>0</v>
      </c>
      <c r="I35" s="1487"/>
      <c r="J35" s="1487">
        <v>0</v>
      </c>
    </row>
    <row r="36" spans="1:10" s="1488" customFormat="1" ht="39" hidden="1" customHeight="1" thickBot="1" x14ac:dyDescent="0.25">
      <c r="A36" s="1687"/>
      <c r="B36" s="1701"/>
      <c r="C36" s="1493"/>
      <c r="D36" s="1494"/>
      <c r="E36" s="1494"/>
      <c r="F36" s="1495" t="s">
        <v>565</v>
      </c>
      <c r="G36" s="1496">
        <v>0</v>
      </c>
      <c r="H36" s="1496">
        <v>0</v>
      </c>
      <c r="I36" s="1496"/>
      <c r="J36" s="1496">
        <v>0</v>
      </c>
    </row>
    <row r="37" spans="1:10" ht="28.5" customHeight="1" thickBot="1" x14ac:dyDescent="0.25">
      <c r="A37" s="1688"/>
      <c r="B37" s="1703" t="s">
        <v>568</v>
      </c>
      <c r="C37" s="1704"/>
      <c r="D37" s="1704"/>
      <c r="E37" s="1704"/>
      <c r="F37" s="1705"/>
      <c r="G37" s="1483">
        <f>G18+G26+G31+G34</f>
        <v>47208000</v>
      </c>
      <c r="H37" s="1483">
        <f>H18+H26+H31+H34+H30+H22</f>
        <v>59519800</v>
      </c>
      <c r="I37" s="1483">
        <f>I18+I26+I31+I34+I30+I22+I29</f>
        <v>61693800</v>
      </c>
      <c r="J37" s="1483">
        <f>J18+J26+J31+J34+J30+J22+J29</f>
        <v>61693800</v>
      </c>
    </row>
    <row r="38" spans="1:10" s="1499" customFormat="1" x14ac:dyDescent="0.2">
      <c r="A38" s="1686" t="s">
        <v>569</v>
      </c>
      <c r="B38" s="1497">
        <v>2</v>
      </c>
      <c r="C38" s="1712" t="s">
        <v>433</v>
      </c>
      <c r="D38" s="1713"/>
      <c r="E38" s="1713"/>
      <c r="F38" s="1714"/>
      <c r="G38" s="1498">
        <v>5246099</v>
      </c>
      <c r="H38" s="1498">
        <v>12494470</v>
      </c>
      <c r="I38" s="1498">
        <f>12494470+1189440+833875+575776+150000</f>
        <v>15243561</v>
      </c>
      <c r="J38" s="1498">
        <v>15243561</v>
      </c>
    </row>
    <row r="39" spans="1:10" s="1499" customFormat="1" x14ac:dyDescent="0.2">
      <c r="A39" s="1687"/>
      <c r="B39" s="1690">
        <v>3</v>
      </c>
      <c r="C39" s="1715" t="s">
        <v>570</v>
      </c>
      <c r="D39" s="1716"/>
      <c r="E39" s="1716"/>
      <c r="F39" s="1717"/>
      <c r="G39" s="1500">
        <v>1214196</v>
      </c>
      <c r="H39" s="1500">
        <f>SUM(H40:H51)</f>
        <v>2573030</v>
      </c>
      <c r="I39" s="1500">
        <f t="shared" ref="I39:J39" si="3">SUM(I40:I51)</f>
        <v>2573030</v>
      </c>
      <c r="J39" s="1500">
        <f t="shared" si="3"/>
        <v>2573030</v>
      </c>
    </row>
    <row r="40" spans="1:10" x14ac:dyDescent="0.2">
      <c r="A40" s="1687"/>
      <c r="B40" s="1690"/>
      <c r="C40" s="1472" t="s">
        <v>551</v>
      </c>
      <c r="D40" s="1472"/>
      <c r="E40" s="1472"/>
      <c r="F40" s="1479" t="s">
        <v>571</v>
      </c>
      <c r="G40" s="1480">
        <v>0</v>
      </c>
      <c r="H40" s="1480">
        <v>2573030</v>
      </c>
      <c r="I40" s="1480">
        <v>2573030</v>
      </c>
      <c r="J40" s="1480">
        <v>2573030</v>
      </c>
    </row>
    <row r="41" spans="1:10" x14ac:dyDescent="0.2">
      <c r="A41" s="1687"/>
      <c r="B41" s="1690"/>
      <c r="C41" s="1472" t="s">
        <v>555</v>
      </c>
      <c r="D41" s="1472"/>
      <c r="E41" s="1472"/>
      <c r="F41" s="1479" t="s">
        <v>572</v>
      </c>
      <c r="G41" s="1480">
        <v>0</v>
      </c>
      <c r="H41" s="1480"/>
      <c r="I41" s="1480"/>
      <c r="J41" s="1480"/>
    </row>
    <row r="42" spans="1:10" x14ac:dyDescent="0.2">
      <c r="A42" s="1687"/>
      <c r="B42" s="1690"/>
      <c r="C42" s="1472" t="s">
        <v>557</v>
      </c>
      <c r="D42" s="1472"/>
      <c r="E42" s="1472"/>
      <c r="F42" s="1479" t="s">
        <v>573</v>
      </c>
      <c r="G42" s="1480">
        <v>0</v>
      </c>
      <c r="H42" s="1480">
        <v>0</v>
      </c>
      <c r="I42" s="1480"/>
      <c r="J42" s="1480">
        <v>0</v>
      </c>
    </row>
    <row r="43" spans="1:10" x14ac:dyDescent="0.2">
      <c r="A43" s="1687"/>
      <c r="B43" s="1690"/>
      <c r="C43" s="1472" t="s">
        <v>560</v>
      </c>
      <c r="D43" s="1472"/>
      <c r="E43" s="1472"/>
      <c r="F43" s="1479" t="s">
        <v>574</v>
      </c>
      <c r="G43" s="1480">
        <v>0</v>
      </c>
      <c r="H43" s="1480">
        <v>0</v>
      </c>
      <c r="I43" s="1480"/>
      <c r="J43" s="1480">
        <v>0</v>
      </c>
    </row>
    <row r="44" spans="1:10" x14ac:dyDescent="0.2">
      <c r="A44" s="1687"/>
      <c r="B44" s="1690"/>
      <c r="C44" s="1472" t="s">
        <v>575</v>
      </c>
      <c r="D44" s="1472"/>
      <c r="E44" s="1472"/>
      <c r="F44" s="1479" t="s">
        <v>576</v>
      </c>
      <c r="G44" s="1480">
        <v>0</v>
      </c>
      <c r="H44" s="1480">
        <v>0</v>
      </c>
      <c r="I44" s="1480"/>
      <c r="J44" s="1480">
        <v>0</v>
      </c>
    </row>
    <row r="45" spans="1:10" x14ac:dyDescent="0.2">
      <c r="A45" s="1687"/>
      <c r="B45" s="1690"/>
      <c r="C45" s="1472" t="s">
        <v>577</v>
      </c>
      <c r="D45" s="1472"/>
      <c r="E45" s="1472"/>
      <c r="F45" s="1479" t="s">
        <v>578</v>
      </c>
      <c r="G45" s="1480">
        <v>0</v>
      </c>
      <c r="H45" s="1480">
        <v>0</v>
      </c>
      <c r="I45" s="1480"/>
      <c r="J45" s="1480">
        <v>0</v>
      </c>
    </row>
    <row r="46" spans="1:10" x14ac:dyDescent="0.2">
      <c r="A46" s="1687"/>
      <c r="B46" s="1690"/>
      <c r="C46" s="1472" t="s">
        <v>579</v>
      </c>
      <c r="D46" s="1472"/>
      <c r="E46" s="1472"/>
      <c r="F46" s="1479" t="s">
        <v>580</v>
      </c>
      <c r="G46" s="1480">
        <v>0</v>
      </c>
      <c r="H46" s="1480">
        <v>0</v>
      </c>
      <c r="I46" s="1480"/>
      <c r="J46" s="1480">
        <v>0</v>
      </c>
    </row>
    <row r="47" spans="1:10" x14ac:dyDescent="0.2">
      <c r="A47" s="1687"/>
      <c r="B47" s="1690"/>
      <c r="C47" s="1472" t="s">
        <v>581</v>
      </c>
      <c r="D47" s="1472"/>
      <c r="E47" s="1472"/>
      <c r="F47" s="1479" t="s">
        <v>582</v>
      </c>
      <c r="G47" s="1480">
        <v>0</v>
      </c>
      <c r="H47" s="1480">
        <v>0</v>
      </c>
      <c r="I47" s="1480"/>
      <c r="J47" s="1480">
        <v>0</v>
      </c>
    </row>
    <row r="48" spans="1:10" x14ac:dyDescent="0.2">
      <c r="A48" s="1687"/>
      <c r="B48" s="1690"/>
      <c r="C48" s="1472" t="s">
        <v>583</v>
      </c>
      <c r="D48" s="1472"/>
      <c r="E48" s="1472"/>
      <c r="F48" s="1479" t="s">
        <v>584</v>
      </c>
      <c r="G48" s="1480">
        <v>0</v>
      </c>
      <c r="H48" s="1480">
        <v>0</v>
      </c>
      <c r="I48" s="1480"/>
      <c r="J48" s="1480">
        <v>0</v>
      </c>
    </row>
    <row r="49" spans="1:10" x14ac:dyDescent="0.2">
      <c r="A49" s="1687"/>
      <c r="B49" s="1690"/>
      <c r="C49" s="1472" t="s">
        <v>585</v>
      </c>
      <c r="D49" s="1472"/>
      <c r="E49" s="1472"/>
      <c r="F49" s="1479" t="s">
        <v>586</v>
      </c>
      <c r="G49" s="1480">
        <v>0</v>
      </c>
      <c r="H49" s="1480">
        <v>0</v>
      </c>
      <c r="I49" s="1480"/>
      <c r="J49" s="1480">
        <v>0</v>
      </c>
    </row>
    <row r="50" spans="1:10" x14ac:dyDescent="0.2">
      <c r="A50" s="1687"/>
      <c r="B50" s="1690"/>
      <c r="C50" s="1472" t="s">
        <v>587</v>
      </c>
      <c r="D50" s="1472"/>
      <c r="E50" s="1472"/>
      <c r="F50" s="1479" t="s">
        <v>588</v>
      </c>
      <c r="G50" s="1480">
        <v>0</v>
      </c>
      <c r="H50" s="1480">
        <v>0</v>
      </c>
      <c r="I50" s="1480"/>
      <c r="J50" s="1480">
        <v>0</v>
      </c>
    </row>
    <row r="51" spans="1:10" x14ac:dyDescent="0.2">
      <c r="A51" s="1687"/>
      <c r="B51" s="1690"/>
      <c r="C51" s="1472" t="s">
        <v>589</v>
      </c>
      <c r="D51" s="1472"/>
      <c r="E51" s="1472"/>
      <c r="F51" s="1479" t="s">
        <v>590</v>
      </c>
      <c r="G51" s="1480">
        <v>0</v>
      </c>
      <c r="H51" s="1480">
        <v>0</v>
      </c>
      <c r="I51" s="1480"/>
      <c r="J51" s="1480">
        <v>0</v>
      </c>
    </row>
    <row r="52" spans="1:10" x14ac:dyDescent="0.2">
      <c r="A52" s="1687"/>
      <c r="B52" s="1718">
        <v>5</v>
      </c>
      <c r="C52" s="1719" t="s">
        <v>923</v>
      </c>
      <c r="D52" s="1720"/>
      <c r="E52" s="1720"/>
      <c r="F52" s="1721"/>
      <c r="G52" s="1501">
        <f>G53+G54</f>
        <v>0</v>
      </c>
      <c r="H52" s="1501">
        <f>H53+H54</f>
        <v>11485081</v>
      </c>
      <c r="I52" s="1501">
        <f>I53+I54+I55</f>
        <v>12860047</v>
      </c>
      <c r="J52" s="1501">
        <f>J53+J54+J55</f>
        <v>12860047</v>
      </c>
    </row>
    <row r="53" spans="1:10" x14ac:dyDescent="0.2">
      <c r="A53" s="1687"/>
      <c r="B53" s="1718"/>
      <c r="C53" s="1502" t="s">
        <v>551</v>
      </c>
      <c r="D53" s="1502"/>
      <c r="E53" s="1502"/>
      <c r="F53" s="1503" t="s">
        <v>924</v>
      </c>
      <c r="G53" s="1490">
        <v>0</v>
      </c>
      <c r="H53" s="1490">
        <v>7507200</v>
      </c>
      <c r="I53" s="1490">
        <v>7507200</v>
      </c>
      <c r="J53" s="1490">
        <v>7507200</v>
      </c>
    </row>
    <row r="54" spans="1:10" x14ac:dyDescent="0.2">
      <c r="A54" s="1687"/>
      <c r="B54" s="1718"/>
      <c r="C54" s="1504" t="s">
        <v>555</v>
      </c>
      <c r="D54" s="1504"/>
      <c r="E54" s="1504"/>
      <c r="F54" s="1505" t="s">
        <v>591</v>
      </c>
      <c r="G54" s="1506">
        <v>0</v>
      </c>
      <c r="H54" s="1506">
        <v>3977881</v>
      </c>
      <c r="I54" s="1506">
        <v>5189779</v>
      </c>
      <c r="J54" s="1506">
        <v>5189779</v>
      </c>
    </row>
    <row r="55" spans="1:10" ht="13.5" thickBot="1" x14ac:dyDescent="0.25">
      <c r="A55" s="1711"/>
      <c r="B55" s="1546"/>
      <c r="C55" s="1722" t="s">
        <v>1506</v>
      </c>
      <c r="D55" s="1723"/>
      <c r="E55" s="1723"/>
      <c r="F55" s="1724"/>
      <c r="G55" s="1547"/>
      <c r="H55" s="1547"/>
      <c r="I55" s="1547">
        <v>163068</v>
      </c>
      <c r="J55" s="1548">
        <v>163068</v>
      </c>
    </row>
    <row r="56" spans="1:10" ht="37.9" customHeight="1" thickBot="1" x14ac:dyDescent="0.25">
      <c r="A56" s="1688"/>
      <c r="B56" s="1703" t="s">
        <v>954</v>
      </c>
      <c r="C56" s="1704"/>
      <c r="D56" s="1704"/>
      <c r="E56" s="1704"/>
      <c r="F56" s="1705"/>
      <c r="G56" s="1483">
        <f>G38+G39+G52</f>
        <v>6460295</v>
      </c>
      <c r="H56" s="1483">
        <f>H38+H39+H52</f>
        <v>26552581</v>
      </c>
      <c r="I56" s="1483">
        <f t="shared" ref="I56:J56" si="4">I38+I39+I52</f>
        <v>30676638</v>
      </c>
      <c r="J56" s="1483">
        <f t="shared" si="4"/>
        <v>30676638</v>
      </c>
    </row>
    <row r="57" spans="1:10" x14ac:dyDescent="0.2">
      <c r="A57" s="1686" t="s">
        <v>592</v>
      </c>
      <c r="B57" s="1725">
        <v>1</v>
      </c>
      <c r="C57" s="1726" t="s">
        <v>594</v>
      </c>
      <c r="D57" s="1727"/>
      <c r="E57" s="1727"/>
      <c r="F57" s="1728"/>
      <c r="G57" s="1507">
        <f>SUM(G58:G65)</f>
        <v>3650280</v>
      </c>
      <c r="H57" s="1507">
        <f>SUM(H58:H65)</f>
        <v>3712980</v>
      </c>
      <c r="I57" s="1507">
        <f t="shared" ref="I57:J57" si="5">SUM(I58:I65)</f>
        <v>3712980</v>
      </c>
      <c r="J57" s="1507">
        <f t="shared" si="5"/>
        <v>3712980</v>
      </c>
    </row>
    <row r="58" spans="1:10" ht="191.25" hidden="1" customHeight="1" x14ac:dyDescent="0.2">
      <c r="A58" s="1687"/>
      <c r="B58" s="1700"/>
      <c r="C58" s="1502" t="s">
        <v>551</v>
      </c>
      <c r="D58" s="1502"/>
      <c r="E58" s="1502"/>
      <c r="F58" s="1503" t="s">
        <v>595</v>
      </c>
      <c r="G58" s="1490">
        <v>0</v>
      </c>
      <c r="H58" s="1490">
        <v>0</v>
      </c>
      <c r="I58" s="1490"/>
      <c r="J58" s="1490"/>
    </row>
    <row r="59" spans="1:10" ht="140.25" hidden="1" customHeight="1" x14ac:dyDescent="0.2">
      <c r="A59" s="1687"/>
      <c r="B59" s="1700"/>
      <c r="C59" s="1502" t="s">
        <v>555</v>
      </c>
      <c r="D59" s="1502"/>
      <c r="E59" s="1502"/>
      <c r="F59" s="1503" t="s">
        <v>596</v>
      </c>
      <c r="G59" s="1490">
        <v>0</v>
      </c>
      <c r="H59" s="1490">
        <v>0</v>
      </c>
      <c r="I59" s="1490"/>
      <c r="J59" s="1490"/>
    </row>
    <row r="60" spans="1:10" ht="178.5" hidden="1" customHeight="1" x14ac:dyDescent="0.2">
      <c r="A60" s="1687"/>
      <c r="B60" s="1700"/>
      <c r="C60" s="1502" t="s">
        <v>557</v>
      </c>
      <c r="D60" s="1502"/>
      <c r="E60" s="1502"/>
      <c r="F60" s="1503" t="s">
        <v>597</v>
      </c>
      <c r="G60" s="1490">
        <v>0</v>
      </c>
      <c r="H60" s="1490">
        <v>0</v>
      </c>
      <c r="I60" s="1490"/>
      <c r="J60" s="1490"/>
    </row>
    <row r="61" spans="1:10" ht="25.5" x14ac:dyDescent="0.2">
      <c r="A61" s="1687"/>
      <c r="B61" s="1700"/>
      <c r="C61" s="1502" t="s">
        <v>560</v>
      </c>
      <c r="D61" s="1502"/>
      <c r="E61" s="1502"/>
      <c r="F61" s="1503" t="s">
        <v>598</v>
      </c>
      <c r="G61" s="1490">
        <v>3650280</v>
      </c>
      <c r="H61" s="1490">
        <v>3712980</v>
      </c>
      <c r="I61" s="1490">
        <v>3712980</v>
      </c>
      <c r="J61" s="1490">
        <v>3712980</v>
      </c>
    </row>
    <row r="62" spans="1:10" ht="140.25" hidden="1" customHeight="1" x14ac:dyDescent="0.2">
      <c r="A62" s="1687"/>
      <c r="B62" s="1700"/>
      <c r="C62" s="1502" t="s">
        <v>575</v>
      </c>
      <c r="D62" s="1502"/>
      <c r="E62" s="1502"/>
      <c r="F62" s="1503" t="s">
        <v>599</v>
      </c>
      <c r="G62" s="1490">
        <v>0</v>
      </c>
      <c r="H62" s="1490">
        <v>0</v>
      </c>
      <c r="I62" s="1490"/>
      <c r="J62" s="1490"/>
    </row>
    <row r="63" spans="1:10" ht="153" hidden="1" customHeight="1" x14ac:dyDescent="0.2">
      <c r="A63" s="1687"/>
      <c r="B63" s="1700"/>
      <c r="C63" s="1502" t="s">
        <v>577</v>
      </c>
      <c r="D63" s="1502"/>
      <c r="E63" s="1502"/>
      <c r="F63" s="1503" t="s">
        <v>600</v>
      </c>
      <c r="G63" s="1490">
        <v>0</v>
      </c>
      <c r="H63" s="1490">
        <v>0</v>
      </c>
      <c r="I63" s="1490"/>
      <c r="J63" s="1490"/>
    </row>
    <row r="64" spans="1:10" ht="76.5" hidden="1" customHeight="1" x14ac:dyDescent="0.2">
      <c r="A64" s="1687"/>
      <c r="B64" s="1700"/>
      <c r="C64" s="1502" t="s">
        <v>579</v>
      </c>
      <c r="D64" s="1502"/>
      <c r="E64" s="1502"/>
      <c r="F64" s="1503" t="s">
        <v>601</v>
      </c>
      <c r="G64" s="1490">
        <v>0</v>
      </c>
      <c r="H64" s="1490">
        <v>0</v>
      </c>
      <c r="I64" s="1490"/>
      <c r="J64" s="1490"/>
    </row>
    <row r="65" spans="1:10" ht="216.75" hidden="1" customHeight="1" x14ac:dyDescent="0.2">
      <c r="A65" s="1687"/>
      <c r="B65" s="1700"/>
      <c r="C65" s="1502" t="s">
        <v>581</v>
      </c>
      <c r="D65" s="1502"/>
      <c r="E65" s="1502"/>
      <c r="F65" s="1503" t="s">
        <v>602</v>
      </c>
      <c r="G65" s="1490">
        <v>0</v>
      </c>
      <c r="H65" s="1490">
        <v>0</v>
      </c>
      <c r="I65" s="1490"/>
      <c r="J65" s="1490"/>
    </row>
    <row r="66" spans="1:10" ht="26.25" customHeight="1" thickBot="1" x14ac:dyDescent="0.25">
      <c r="A66" s="1687"/>
      <c r="B66" s="1729">
        <v>2</v>
      </c>
      <c r="C66" s="1719" t="s">
        <v>603</v>
      </c>
      <c r="D66" s="1720"/>
      <c r="E66" s="1720"/>
      <c r="F66" s="1721"/>
      <c r="G66" s="1501">
        <f>G67+G74+G79</f>
        <v>0</v>
      </c>
      <c r="H66" s="1501">
        <f>H67+H74+H79</f>
        <v>0</v>
      </c>
      <c r="I66" s="1501"/>
      <c r="J66" s="1501">
        <f>J67+J74+J79</f>
        <v>0</v>
      </c>
    </row>
    <row r="67" spans="1:10" ht="409.5" hidden="1" customHeight="1" x14ac:dyDescent="0.2">
      <c r="A67" s="1687"/>
      <c r="B67" s="1729"/>
      <c r="C67" s="1502" t="s">
        <v>551</v>
      </c>
      <c r="D67" s="1502"/>
      <c r="E67" s="1502"/>
      <c r="F67" s="1503" t="s">
        <v>604</v>
      </c>
      <c r="G67" s="1490">
        <f>G68+G71</f>
        <v>0</v>
      </c>
      <c r="H67" s="1490">
        <f>H68+H71</f>
        <v>0</v>
      </c>
      <c r="I67" s="1490"/>
      <c r="J67" s="1490"/>
    </row>
    <row r="68" spans="1:10" ht="216.75" hidden="1" customHeight="1" x14ac:dyDescent="0.2">
      <c r="A68" s="1687"/>
      <c r="B68" s="1729"/>
      <c r="C68" s="1502"/>
      <c r="D68" s="1502" t="s">
        <v>1475</v>
      </c>
      <c r="E68" s="1502"/>
      <c r="F68" s="1508" t="s">
        <v>605</v>
      </c>
      <c r="G68" s="1509">
        <f>G69+G70</f>
        <v>0</v>
      </c>
      <c r="H68" s="1509">
        <f>H69+H70</f>
        <v>0</v>
      </c>
      <c r="I68" s="1509"/>
      <c r="J68" s="1509"/>
    </row>
    <row r="69" spans="1:10" ht="409.5" hidden="1" customHeight="1" x14ac:dyDescent="0.2">
      <c r="A69" s="1687"/>
      <c r="B69" s="1729"/>
      <c r="C69" s="1502"/>
      <c r="D69" s="1502"/>
      <c r="E69" s="1502" t="s">
        <v>1479</v>
      </c>
      <c r="F69" s="1510" t="s">
        <v>606</v>
      </c>
      <c r="G69" s="1509">
        <v>0</v>
      </c>
      <c r="H69" s="1509">
        <v>0</v>
      </c>
      <c r="I69" s="1509"/>
      <c r="J69" s="1509"/>
    </row>
    <row r="70" spans="1:10" ht="409.5" hidden="1" customHeight="1" x14ac:dyDescent="0.2">
      <c r="A70" s="1687"/>
      <c r="B70" s="1729"/>
      <c r="C70" s="1502"/>
      <c r="D70" s="1502"/>
      <c r="E70" s="1502" t="s">
        <v>1480</v>
      </c>
      <c r="F70" s="1510" t="s">
        <v>607</v>
      </c>
      <c r="G70" s="1509">
        <v>0</v>
      </c>
      <c r="H70" s="1509">
        <v>0</v>
      </c>
      <c r="I70" s="1509"/>
      <c r="J70" s="1509"/>
    </row>
    <row r="71" spans="1:10" ht="76.5" hidden="1" customHeight="1" x14ac:dyDescent="0.2">
      <c r="A71" s="1687"/>
      <c r="B71" s="1729"/>
      <c r="C71" s="1502"/>
      <c r="D71" s="1502" t="s">
        <v>1476</v>
      </c>
      <c r="E71" s="1502"/>
      <c r="F71" s="1508" t="s">
        <v>608</v>
      </c>
      <c r="G71" s="1509">
        <f>G72+G73</f>
        <v>0</v>
      </c>
      <c r="H71" s="1509">
        <f>H72+H73</f>
        <v>0</v>
      </c>
      <c r="I71" s="1509"/>
      <c r="J71" s="1509"/>
    </row>
    <row r="72" spans="1:10" ht="216.75" hidden="1" customHeight="1" x14ac:dyDescent="0.2">
      <c r="A72" s="1687"/>
      <c r="B72" s="1729"/>
      <c r="C72" s="1502"/>
      <c r="D72" s="1502"/>
      <c r="E72" s="1502" t="s">
        <v>1481</v>
      </c>
      <c r="F72" s="1510" t="s">
        <v>609</v>
      </c>
      <c r="G72" s="1509">
        <v>0</v>
      </c>
      <c r="H72" s="1509">
        <v>0</v>
      </c>
      <c r="I72" s="1509"/>
      <c r="J72" s="1509"/>
    </row>
    <row r="73" spans="1:10" ht="318.75" hidden="1" customHeight="1" x14ac:dyDescent="0.2">
      <c r="A73" s="1687"/>
      <c r="B73" s="1729"/>
      <c r="C73" s="1502"/>
      <c r="D73" s="1502"/>
      <c r="E73" s="1502" t="s">
        <v>1482</v>
      </c>
      <c r="F73" s="1510" t="s">
        <v>610</v>
      </c>
      <c r="G73" s="1509">
        <v>0</v>
      </c>
      <c r="H73" s="1509">
        <v>0</v>
      </c>
      <c r="I73" s="1509"/>
      <c r="J73" s="1509"/>
    </row>
    <row r="74" spans="1:10" ht="216.75" hidden="1" customHeight="1" x14ac:dyDescent="0.2">
      <c r="A74" s="1687"/>
      <c r="B74" s="1729"/>
      <c r="C74" s="1502" t="s">
        <v>555</v>
      </c>
      <c r="D74" s="1502"/>
      <c r="E74" s="1502"/>
      <c r="F74" s="1503" t="s">
        <v>611</v>
      </c>
      <c r="G74" s="1490">
        <f>SUM(G75:G78)</f>
        <v>0</v>
      </c>
      <c r="H74" s="1490">
        <f>SUM(H75:H78)</f>
        <v>0</v>
      </c>
      <c r="I74" s="1490"/>
      <c r="J74" s="1490"/>
    </row>
    <row r="75" spans="1:10" ht="318.75" hidden="1" customHeight="1" x14ac:dyDescent="0.2">
      <c r="A75" s="1687"/>
      <c r="B75" s="1729"/>
      <c r="C75" s="1502"/>
      <c r="D75" s="1502" t="s">
        <v>1483</v>
      </c>
      <c r="E75" s="1502"/>
      <c r="F75" s="1508" t="s">
        <v>612</v>
      </c>
      <c r="G75" s="1509">
        <v>0</v>
      </c>
      <c r="H75" s="1509">
        <v>0</v>
      </c>
      <c r="I75" s="1509"/>
      <c r="J75" s="1509"/>
    </row>
    <row r="76" spans="1:10" ht="76.5" hidden="1" customHeight="1" x14ac:dyDescent="0.2">
      <c r="A76" s="1687"/>
      <c r="B76" s="1729"/>
      <c r="C76" s="1502"/>
      <c r="D76" s="1502" t="s">
        <v>1484</v>
      </c>
      <c r="E76" s="1502"/>
      <c r="F76" s="1508" t="s">
        <v>613</v>
      </c>
      <c r="G76" s="1509">
        <v>0</v>
      </c>
      <c r="H76" s="1509">
        <v>0</v>
      </c>
      <c r="I76" s="1509"/>
      <c r="J76" s="1509"/>
    </row>
    <row r="77" spans="1:10" ht="76.5" hidden="1" customHeight="1" x14ac:dyDescent="0.2">
      <c r="A77" s="1687"/>
      <c r="B77" s="1729"/>
      <c r="C77" s="1502"/>
      <c r="D77" s="1502" t="s">
        <v>1485</v>
      </c>
      <c r="E77" s="1502"/>
      <c r="F77" s="1508" t="s">
        <v>614</v>
      </c>
      <c r="G77" s="1509">
        <v>0</v>
      </c>
      <c r="H77" s="1509">
        <v>0</v>
      </c>
      <c r="I77" s="1509"/>
      <c r="J77" s="1509"/>
    </row>
    <row r="78" spans="1:10" ht="369.75" hidden="1" customHeight="1" x14ac:dyDescent="0.2">
      <c r="A78" s="1687"/>
      <c r="B78" s="1729"/>
      <c r="C78" s="1502"/>
      <c r="D78" s="1502" t="s">
        <v>1486</v>
      </c>
      <c r="E78" s="1502"/>
      <c r="F78" s="1508" t="s">
        <v>615</v>
      </c>
      <c r="G78" s="1509">
        <v>0</v>
      </c>
      <c r="H78" s="1509">
        <v>0</v>
      </c>
      <c r="I78" s="1509"/>
      <c r="J78" s="1509"/>
    </row>
    <row r="79" spans="1:10" ht="369.75" hidden="1" customHeight="1" x14ac:dyDescent="0.2">
      <c r="A79" s="1687"/>
      <c r="B79" s="1729"/>
      <c r="C79" s="1502" t="s">
        <v>557</v>
      </c>
      <c r="D79" s="1502"/>
      <c r="E79" s="1502"/>
      <c r="F79" s="1503" t="s">
        <v>616</v>
      </c>
      <c r="G79" s="1490">
        <f>G80+G83</f>
        <v>0</v>
      </c>
      <c r="H79" s="1490">
        <f>H80+H83</f>
        <v>0</v>
      </c>
      <c r="I79" s="1490"/>
      <c r="J79" s="1490"/>
    </row>
    <row r="80" spans="1:10" ht="76.5" hidden="1" customHeight="1" x14ac:dyDescent="0.2">
      <c r="A80" s="1687"/>
      <c r="B80" s="1729"/>
      <c r="C80" s="1502"/>
      <c r="D80" s="1502" t="s">
        <v>1487</v>
      </c>
      <c r="E80" s="1502"/>
      <c r="F80" s="1508" t="s">
        <v>617</v>
      </c>
      <c r="G80" s="1509">
        <f>G81+G82</f>
        <v>0</v>
      </c>
      <c r="H80" s="1509">
        <f>H81+H82</f>
        <v>0</v>
      </c>
      <c r="I80" s="1509"/>
      <c r="J80" s="1509"/>
    </row>
    <row r="81" spans="1:10" ht="382.5" hidden="1" customHeight="1" x14ac:dyDescent="0.2">
      <c r="A81" s="1687"/>
      <c r="B81" s="1729"/>
      <c r="C81" s="1502"/>
      <c r="D81" s="1502"/>
      <c r="E81" s="1502" t="s">
        <v>1488</v>
      </c>
      <c r="F81" s="1510" t="s">
        <v>618</v>
      </c>
      <c r="G81" s="1509">
        <v>0</v>
      </c>
      <c r="H81" s="1509">
        <v>0</v>
      </c>
      <c r="I81" s="1509"/>
      <c r="J81" s="1509"/>
    </row>
    <row r="82" spans="1:10" ht="382.5" hidden="1" customHeight="1" x14ac:dyDescent="0.2">
      <c r="A82" s="1687"/>
      <c r="B82" s="1729"/>
      <c r="C82" s="1502"/>
      <c r="D82" s="1502"/>
      <c r="E82" s="1502" t="s">
        <v>1489</v>
      </c>
      <c r="F82" s="1510" t="s">
        <v>619</v>
      </c>
      <c r="G82" s="1509">
        <v>0</v>
      </c>
      <c r="H82" s="1509">
        <v>0</v>
      </c>
      <c r="I82" s="1509"/>
      <c r="J82" s="1509"/>
    </row>
    <row r="83" spans="1:10" ht="230.25" hidden="1" customHeight="1" thickBot="1" x14ac:dyDescent="0.25">
      <c r="A83" s="1687"/>
      <c r="B83" s="1729"/>
      <c r="C83" s="1502"/>
      <c r="D83" s="1502" t="s">
        <v>1490</v>
      </c>
      <c r="E83" s="1502"/>
      <c r="F83" s="1508" t="s">
        <v>620</v>
      </c>
      <c r="G83" s="1509">
        <f>G84+G85</f>
        <v>0</v>
      </c>
      <c r="H83" s="1509">
        <f>H84+H85</f>
        <v>0</v>
      </c>
      <c r="I83" s="1509"/>
      <c r="J83" s="1509"/>
    </row>
    <row r="84" spans="1:10" ht="178.5" hidden="1" customHeight="1" x14ac:dyDescent="0.2">
      <c r="A84" s="1687"/>
      <c r="B84" s="1729"/>
      <c r="C84" s="1502"/>
      <c r="D84" s="1502"/>
      <c r="E84" s="1502" t="s">
        <v>1491</v>
      </c>
      <c r="F84" s="1510" t="s">
        <v>621</v>
      </c>
      <c r="G84" s="1509">
        <v>0</v>
      </c>
      <c r="H84" s="1509">
        <v>0</v>
      </c>
      <c r="I84" s="1509"/>
      <c r="J84" s="1509"/>
    </row>
    <row r="85" spans="1:10" ht="21" hidden="1" customHeight="1" thickBot="1" x14ac:dyDescent="0.25">
      <c r="A85" s="1687"/>
      <c r="B85" s="1730"/>
      <c r="C85" s="1504"/>
      <c r="D85" s="1504"/>
      <c r="E85" s="1504" t="s">
        <v>1492</v>
      </c>
      <c r="F85" s="1511" t="s">
        <v>622</v>
      </c>
      <c r="G85" s="1512">
        <v>0</v>
      </c>
      <c r="H85" s="1512">
        <v>0</v>
      </c>
      <c r="I85" s="1512"/>
      <c r="J85" s="1512"/>
    </row>
    <row r="86" spans="1:10" ht="13.5" thickBot="1" x14ac:dyDescent="0.25">
      <c r="A86" s="1688"/>
      <c r="B86" s="1703" t="s">
        <v>623</v>
      </c>
      <c r="C86" s="1704"/>
      <c r="D86" s="1704"/>
      <c r="E86" s="1704"/>
      <c r="F86" s="1705"/>
      <c r="G86" s="1483">
        <f>G57+G66</f>
        <v>3650280</v>
      </c>
      <c r="H86" s="1483">
        <f>H57+H66</f>
        <v>3712980</v>
      </c>
      <c r="I86" s="1483">
        <f t="shared" ref="I86:J86" si="6">I57+I66</f>
        <v>3712980</v>
      </c>
      <c r="J86" s="1483">
        <f t="shared" si="6"/>
        <v>3712980</v>
      </c>
    </row>
    <row r="87" spans="1:10" ht="13.5" thickBot="1" x14ac:dyDescent="0.25">
      <c r="A87" s="1513"/>
      <c r="B87" s="1514"/>
      <c r="C87" s="1514"/>
      <c r="D87" s="1514"/>
      <c r="E87" s="1514"/>
      <c r="F87" s="1514"/>
      <c r="G87" s="1515"/>
      <c r="H87" s="1515"/>
      <c r="I87" s="1515"/>
      <c r="J87" s="1515"/>
    </row>
    <row r="88" spans="1:10" ht="13.5" customHeight="1" thickBot="1" x14ac:dyDescent="0.25">
      <c r="A88" s="1683" t="s">
        <v>626</v>
      </c>
      <c r="B88" s="1684"/>
      <c r="C88" s="1684"/>
      <c r="D88" s="1684"/>
      <c r="E88" s="1684"/>
      <c r="F88" s="1731"/>
      <c r="G88" s="1516">
        <f>G86+G56+G37+G17</f>
        <v>108354459</v>
      </c>
      <c r="H88" s="1516">
        <f>H86+H56+H37+H17</f>
        <v>166876837</v>
      </c>
      <c r="I88" s="1516">
        <f t="shared" ref="I88:J88" si="7">I86+I56+I37+I17</f>
        <v>173237505</v>
      </c>
      <c r="J88" s="1516">
        <f t="shared" si="7"/>
        <v>173237505</v>
      </c>
    </row>
    <row r="89" spans="1:10" x14ac:dyDescent="0.2">
      <c r="A89" s="1513"/>
      <c r="B89" s="1514"/>
      <c r="C89" s="1514"/>
      <c r="D89" s="1514"/>
      <c r="E89" s="1514"/>
      <c r="F89" s="1514"/>
      <c r="H89" s="1517"/>
      <c r="I89" s="1517"/>
      <c r="J89" s="1517"/>
    </row>
    <row r="90" spans="1:10" ht="15.75" x14ac:dyDescent="0.2">
      <c r="A90" s="1744" t="s">
        <v>1493</v>
      </c>
      <c r="B90" s="1744"/>
      <c r="C90" s="1744"/>
      <c r="D90" s="1744"/>
      <c r="E90" s="1744"/>
      <c r="F90" s="1744"/>
      <c r="G90" s="1744"/>
      <c r="H90" s="1744"/>
      <c r="I90" s="1744"/>
    </row>
    <row r="91" spans="1:10" ht="16.5" thickBot="1" x14ac:dyDescent="0.25">
      <c r="A91" s="1527"/>
      <c r="B91" s="1527"/>
      <c r="C91" s="1527"/>
      <c r="D91" s="1527"/>
      <c r="E91" s="1527"/>
      <c r="F91" s="1527"/>
      <c r="G91" s="1527"/>
      <c r="H91" s="1527"/>
      <c r="I91" s="1527"/>
      <c r="J91" s="1527"/>
    </row>
    <row r="92" spans="1:10" ht="26.25" thickBot="1" x14ac:dyDescent="0.25">
      <c r="A92" s="1741" t="s">
        <v>12</v>
      </c>
      <c r="B92" s="1742"/>
      <c r="C92" s="1742"/>
      <c r="D92" s="1742"/>
      <c r="E92" s="1742"/>
      <c r="F92" s="1745"/>
      <c r="G92" s="1519" t="s">
        <v>935</v>
      </c>
      <c r="H92" s="1469" t="s">
        <v>943</v>
      </c>
      <c r="I92" s="1469" t="s">
        <v>1496</v>
      </c>
      <c r="J92" s="1469" t="s">
        <v>1496</v>
      </c>
    </row>
    <row r="93" spans="1:10" x14ac:dyDescent="0.2">
      <c r="A93" s="1528"/>
      <c r="B93" s="1735" t="s">
        <v>1507</v>
      </c>
      <c r="C93" s="1736"/>
      <c r="D93" s="1736"/>
      <c r="E93" s="1736"/>
      <c r="F93" s="1737"/>
      <c r="G93" s="1529">
        <v>7765</v>
      </c>
      <c r="H93" s="1530"/>
      <c r="I93" s="1530">
        <v>777113</v>
      </c>
      <c r="J93" s="1530">
        <v>777113</v>
      </c>
    </row>
    <row r="94" spans="1:10" x14ac:dyDescent="0.2">
      <c r="A94" s="1520"/>
      <c r="B94" s="1732" t="s">
        <v>1508</v>
      </c>
      <c r="C94" s="1733"/>
      <c r="D94" s="1733"/>
      <c r="E94" s="1733"/>
      <c r="F94" s="1734"/>
      <c r="G94" s="1521">
        <v>7765</v>
      </c>
      <c r="H94" s="1522"/>
      <c r="I94" s="1522">
        <v>244845</v>
      </c>
      <c r="J94" s="1522">
        <v>244845</v>
      </c>
    </row>
    <row r="95" spans="1:10" x14ac:dyDescent="0.2">
      <c r="A95" s="1520"/>
      <c r="B95" s="1735" t="s">
        <v>1509</v>
      </c>
      <c r="C95" s="1736"/>
      <c r="D95" s="1736"/>
      <c r="E95" s="1736"/>
      <c r="F95" s="1737"/>
      <c r="G95" s="1521"/>
      <c r="H95" s="1522"/>
      <c r="I95" s="1522">
        <v>746760</v>
      </c>
      <c r="J95" s="1522">
        <v>746760</v>
      </c>
    </row>
    <row r="96" spans="1:10" ht="13.5" thickBot="1" x14ac:dyDescent="0.25">
      <c r="A96" s="1523"/>
      <c r="B96" s="1738" t="s">
        <v>1510</v>
      </c>
      <c r="C96" s="1739"/>
      <c r="D96" s="1739"/>
      <c r="E96" s="1739"/>
      <c r="F96" s="1740"/>
      <c r="G96" s="1524">
        <v>7765</v>
      </c>
      <c r="H96" s="1525">
        <f>SUM(H93:H95)</f>
        <v>0</v>
      </c>
      <c r="I96" s="1525">
        <f t="shared" ref="I96:J96" si="8">SUM(I93:I95)</f>
        <v>1768718</v>
      </c>
      <c r="J96" s="1525">
        <f t="shared" si="8"/>
        <v>1768718</v>
      </c>
    </row>
    <row r="97" spans="1:10" ht="13.5" thickBot="1" x14ac:dyDescent="0.25">
      <c r="A97" s="1518"/>
      <c r="B97" s="1518"/>
      <c r="C97" s="1518"/>
      <c r="D97" s="1518"/>
      <c r="E97" s="1518"/>
      <c r="F97" s="1518"/>
      <c r="G97" s="1518"/>
      <c r="H97" s="1518"/>
      <c r="I97" s="1518"/>
      <c r="J97" s="1518"/>
    </row>
    <row r="98" spans="1:10" ht="13.5" thickBot="1" x14ac:dyDescent="0.25">
      <c r="A98" s="1741" t="s">
        <v>626</v>
      </c>
      <c r="B98" s="1742"/>
      <c r="C98" s="1742"/>
      <c r="D98" s="1742"/>
      <c r="E98" s="1742"/>
      <c r="F98" s="1743"/>
      <c r="G98" s="1526">
        <f>G93+G73+G54+G37</f>
        <v>47215765</v>
      </c>
      <c r="H98" s="1526">
        <f>H88+H96</f>
        <v>166876837</v>
      </c>
      <c r="I98" s="1526">
        <f t="shared" ref="I98:J98" si="9">I88+I96</f>
        <v>175006223</v>
      </c>
      <c r="J98" s="1526">
        <f t="shared" si="9"/>
        <v>175006223</v>
      </c>
    </row>
    <row r="100" spans="1:10" x14ac:dyDescent="0.2">
      <c r="I100" s="1517"/>
      <c r="J100" s="1517"/>
    </row>
  </sheetData>
  <mergeCells count="41">
    <mergeCell ref="A88:F88"/>
    <mergeCell ref="B94:F94"/>
    <mergeCell ref="B95:F95"/>
    <mergeCell ref="B96:F96"/>
    <mergeCell ref="A98:F98"/>
    <mergeCell ref="A90:I90"/>
    <mergeCell ref="A92:F92"/>
    <mergeCell ref="B93:F93"/>
    <mergeCell ref="A57:A86"/>
    <mergeCell ref="B57:B65"/>
    <mergeCell ref="C57:F57"/>
    <mergeCell ref="B66:B85"/>
    <mergeCell ref="C66:F66"/>
    <mergeCell ref="B86:F86"/>
    <mergeCell ref="A38:A56"/>
    <mergeCell ref="C38:F38"/>
    <mergeCell ref="B39:B51"/>
    <mergeCell ref="C39:F39"/>
    <mergeCell ref="B52:B54"/>
    <mergeCell ref="C52:F52"/>
    <mergeCell ref="B56:F56"/>
    <mergeCell ref="C55:F55"/>
    <mergeCell ref="A18:A37"/>
    <mergeCell ref="B18:B25"/>
    <mergeCell ref="C18:F18"/>
    <mergeCell ref="B26:B28"/>
    <mergeCell ref="C26:F26"/>
    <mergeCell ref="B31:B33"/>
    <mergeCell ref="C31:F31"/>
    <mergeCell ref="B34:B36"/>
    <mergeCell ref="C34:F34"/>
    <mergeCell ref="B37:F37"/>
    <mergeCell ref="C30:F30"/>
    <mergeCell ref="C29:F29"/>
    <mergeCell ref="A2:I2"/>
    <mergeCell ref="A4:F4"/>
    <mergeCell ref="A5:A17"/>
    <mergeCell ref="B5:B13"/>
    <mergeCell ref="C5:F5"/>
    <mergeCell ref="C16:F16"/>
    <mergeCell ref="B17:F1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6" orientation="portrait" verticalDpi="300" r:id="rId1"/>
  <headerFooter alignWithMargins="0">
    <oddHeader>&amp;R&amp;"Times New Roman CE,Félkövér dőlt"&amp;11 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SheetLayoutView="100" workbookViewId="0">
      <selection sqref="A1:C1"/>
    </sheetView>
  </sheetViews>
  <sheetFormatPr defaultColWidth="9.33203125" defaultRowHeight="12.75" x14ac:dyDescent="0.2"/>
  <cols>
    <col min="1" max="1" width="39.5" style="1582" bestFit="1" customWidth="1"/>
    <col min="2" max="2" width="20.33203125" style="1582" customWidth="1"/>
    <col min="3" max="3" width="21.5" style="1582" customWidth="1"/>
    <col min="4" max="8" width="17" style="1582" customWidth="1"/>
    <col min="9" max="9" width="12.83203125" style="1587" customWidth="1"/>
    <col min="10" max="16384" width="9.33203125" style="1582"/>
  </cols>
  <sheetData>
    <row r="1" spans="1:9" ht="13.5" x14ac:dyDescent="0.25">
      <c r="A1" s="1605" t="s">
        <v>1557</v>
      </c>
      <c r="B1" s="1605"/>
      <c r="C1" s="1605"/>
      <c r="D1" s="1581"/>
      <c r="E1" s="1581"/>
      <c r="F1" s="1581"/>
      <c r="G1" s="1581"/>
      <c r="H1" s="1581"/>
      <c r="I1" s="1581"/>
    </row>
    <row r="4" spans="1:9" ht="12.75" customHeight="1" x14ac:dyDescent="0.2">
      <c r="A4" s="1606" t="s">
        <v>1516</v>
      </c>
      <c r="B4" s="1606"/>
      <c r="C4" s="1606"/>
      <c r="D4" s="1583"/>
      <c r="E4" s="1583"/>
      <c r="F4" s="1583"/>
      <c r="G4" s="1583"/>
      <c r="H4" s="1583"/>
      <c r="I4" s="1583"/>
    </row>
    <row r="5" spans="1:9" x14ac:dyDescent="0.2">
      <c r="A5" s="1607" t="s">
        <v>1517</v>
      </c>
      <c r="B5" s="1607"/>
      <c r="C5" s="1607"/>
      <c r="D5" s="1584"/>
      <c r="E5" s="1584"/>
      <c r="F5" s="1584"/>
      <c r="G5" s="1584"/>
      <c r="H5" s="1584"/>
      <c r="I5" s="1584"/>
    </row>
    <row r="6" spans="1:9" ht="13.5" thickBot="1" x14ac:dyDescent="0.25">
      <c r="A6" s="1585"/>
      <c r="B6" s="1586"/>
    </row>
    <row r="7" spans="1:9" ht="14.25" thickTop="1" thickBot="1" x14ac:dyDescent="0.25">
      <c r="A7" s="1608" t="s">
        <v>1518</v>
      </c>
      <c r="B7" s="1609"/>
      <c r="C7" s="1610"/>
    </row>
    <row r="8" spans="1:9" ht="14.25" thickTop="1" thickBot="1" x14ac:dyDescent="0.25">
      <c r="A8" s="1588" t="s">
        <v>1519</v>
      </c>
      <c r="B8" s="1589" t="s">
        <v>1520</v>
      </c>
      <c r="C8" s="1590" t="s">
        <v>1521</v>
      </c>
    </row>
    <row r="9" spans="1:9" ht="14.25" thickTop="1" thickBot="1" x14ac:dyDescent="0.25">
      <c r="A9" s="1611" t="s">
        <v>1522</v>
      </c>
      <c r="B9" s="1591" t="s">
        <v>1523</v>
      </c>
      <c r="C9" s="1591" t="s">
        <v>1524</v>
      </c>
    </row>
    <row r="10" spans="1:9" ht="13.5" thickBot="1" x14ac:dyDescent="0.25">
      <c r="A10" s="1604"/>
      <c r="B10" s="1591" t="s">
        <v>1525</v>
      </c>
      <c r="C10" s="1591" t="s">
        <v>1524</v>
      </c>
    </row>
    <row r="11" spans="1:9" ht="13.5" thickBot="1" x14ac:dyDescent="0.25">
      <c r="A11" s="1592" t="s">
        <v>1526</v>
      </c>
      <c r="B11" s="1591" t="s">
        <v>1527</v>
      </c>
      <c r="C11" s="1591" t="s">
        <v>1528</v>
      </c>
    </row>
    <row r="12" spans="1:9" ht="26.25" thickBot="1" x14ac:dyDescent="0.25">
      <c r="A12" s="1593" t="s">
        <v>1529</v>
      </c>
      <c r="B12" s="1591" t="s">
        <v>1530</v>
      </c>
      <c r="C12" s="1591" t="s">
        <v>1531</v>
      </c>
    </row>
    <row r="13" spans="1:9" x14ac:dyDescent="0.2">
      <c r="A13" s="1592" t="s">
        <v>1532</v>
      </c>
      <c r="B13" s="1603" t="s">
        <v>1533</v>
      </c>
      <c r="C13" s="1603" t="s">
        <v>1524</v>
      </c>
    </row>
    <row r="14" spans="1:9" ht="13.5" thickBot="1" x14ac:dyDescent="0.25">
      <c r="A14" s="1593" t="s">
        <v>1534</v>
      </c>
      <c r="B14" s="1604"/>
      <c r="C14" s="1604"/>
    </row>
    <row r="15" spans="1:9" x14ac:dyDescent="0.2">
      <c r="A15" s="1592" t="s">
        <v>1535</v>
      </c>
      <c r="B15" s="1603" t="s">
        <v>1536</v>
      </c>
      <c r="C15" s="1603" t="s">
        <v>1524</v>
      </c>
    </row>
    <row r="16" spans="1:9" ht="13.5" thickBot="1" x14ac:dyDescent="0.25">
      <c r="A16" s="1593" t="s">
        <v>1534</v>
      </c>
      <c r="B16" s="1604"/>
      <c r="C16" s="1604"/>
    </row>
    <row r="17" spans="1:3" ht="13.5" thickBot="1" x14ac:dyDescent="0.25">
      <c r="A17" s="1593"/>
      <c r="B17" s="1591" t="s">
        <v>1537</v>
      </c>
      <c r="C17" s="1591" t="s">
        <v>1531</v>
      </c>
    </row>
    <row r="18" spans="1:3" x14ac:dyDescent="0.2">
      <c r="A18" s="1592" t="s">
        <v>1538</v>
      </c>
      <c r="B18" s="1603" t="s">
        <v>1539</v>
      </c>
      <c r="C18" s="1603" t="s">
        <v>1524</v>
      </c>
    </row>
    <row r="19" spans="1:3" ht="13.5" thickBot="1" x14ac:dyDescent="0.25">
      <c r="A19" s="1593" t="s">
        <v>1534</v>
      </c>
      <c r="B19" s="1604"/>
      <c r="C19" s="1604"/>
    </row>
    <row r="20" spans="1:3" x14ac:dyDescent="0.2">
      <c r="A20" s="1592" t="s">
        <v>1540</v>
      </c>
      <c r="B20" s="1603" t="s">
        <v>1541</v>
      </c>
      <c r="C20" s="1603" t="s">
        <v>1524</v>
      </c>
    </row>
    <row r="21" spans="1:3" ht="13.5" thickBot="1" x14ac:dyDescent="0.25">
      <c r="A21" s="1593" t="s">
        <v>1534</v>
      </c>
      <c r="B21" s="1604"/>
      <c r="C21" s="1604"/>
    </row>
    <row r="22" spans="1:3" ht="13.5" thickBot="1" x14ac:dyDescent="0.25"/>
    <row r="23" spans="1:3" ht="14.25" thickTop="1" thickBot="1" x14ac:dyDescent="0.25">
      <c r="A23" s="1608" t="s">
        <v>1106</v>
      </c>
      <c r="B23" s="1609"/>
      <c r="C23" s="1610"/>
    </row>
    <row r="24" spans="1:3" ht="14.25" thickTop="1" thickBot="1" x14ac:dyDescent="0.25">
      <c r="A24" s="1588" t="s">
        <v>1519</v>
      </c>
      <c r="B24" s="1589" t="s">
        <v>1520</v>
      </c>
      <c r="C24" s="1590" t="s">
        <v>1521</v>
      </c>
    </row>
    <row r="25" spans="1:3" ht="14.25" thickTop="1" thickBot="1" x14ac:dyDescent="0.25">
      <c r="A25" s="1592" t="s">
        <v>1542</v>
      </c>
      <c r="B25" s="1594" t="s">
        <v>1543</v>
      </c>
      <c r="C25" s="1594" t="s">
        <v>1524</v>
      </c>
    </row>
    <row r="26" spans="1:3" ht="13.5" thickBot="1" x14ac:dyDescent="0.25">
      <c r="A26" s="1593" t="s">
        <v>1544</v>
      </c>
      <c r="B26" s="1591" t="s">
        <v>1542</v>
      </c>
      <c r="C26" s="1591" t="s">
        <v>1545</v>
      </c>
    </row>
    <row r="27" spans="1:3" ht="13.5" thickBot="1" x14ac:dyDescent="0.25"/>
    <row r="28" spans="1:3" ht="14.25" thickTop="1" thickBot="1" x14ac:dyDescent="0.25">
      <c r="A28" s="1608" t="s">
        <v>443</v>
      </c>
      <c r="B28" s="1609"/>
      <c r="C28" s="1610"/>
    </row>
    <row r="29" spans="1:3" ht="14.25" thickTop="1" thickBot="1" x14ac:dyDescent="0.25">
      <c r="A29" s="1588" t="s">
        <v>1519</v>
      </c>
      <c r="B29" s="1589" t="s">
        <v>1520</v>
      </c>
      <c r="C29" s="1590" t="s">
        <v>1521</v>
      </c>
    </row>
    <row r="30" spans="1:3" ht="14.25" thickTop="1" thickBot="1" x14ac:dyDescent="0.25">
      <c r="A30" s="1592" t="s">
        <v>1546</v>
      </c>
      <c r="B30" s="1594" t="s">
        <v>1547</v>
      </c>
      <c r="C30" s="1594" t="s">
        <v>1524</v>
      </c>
    </row>
    <row r="31" spans="1:3" ht="13.5" thickBot="1" x14ac:dyDescent="0.25">
      <c r="A31" s="1592" t="s">
        <v>1548</v>
      </c>
      <c r="B31" s="1594" t="s">
        <v>1549</v>
      </c>
      <c r="C31" s="1594" t="s">
        <v>1550</v>
      </c>
    </row>
    <row r="32" spans="1:3" ht="26.25" thickBot="1" x14ac:dyDescent="0.25">
      <c r="A32" s="1595"/>
      <c r="B32" s="1591" t="s">
        <v>1551</v>
      </c>
      <c r="C32" s="1591" t="s">
        <v>1524</v>
      </c>
    </row>
    <row r="33" spans="1:3" ht="13.5" thickBot="1" x14ac:dyDescent="0.25">
      <c r="A33" s="1596"/>
      <c r="B33" s="1591" t="s">
        <v>1552</v>
      </c>
      <c r="C33" s="1591" t="s">
        <v>1553</v>
      </c>
    </row>
    <row r="34" spans="1:3" ht="13.5" thickBot="1" x14ac:dyDescent="0.25">
      <c r="A34" s="1596"/>
      <c r="B34" s="1591" t="s">
        <v>1554</v>
      </c>
      <c r="C34" s="1591" t="s">
        <v>1524</v>
      </c>
    </row>
    <row r="35" spans="1:3" ht="26.25" thickBot="1" x14ac:dyDescent="0.25">
      <c r="A35" s="1597"/>
      <c r="B35" s="1591" t="s">
        <v>1533</v>
      </c>
      <c r="C35" s="1591" t="s">
        <v>1528</v>
      </c>
    </row>
  </sheetData>
  <mergeCells count="15">
    <mergeCell ref="A23:C23"/>
    <mergeCell ref="A28:C28"/>
    <mergeCell ref="B15:B16"/>
    <mergeCell ref="C15:C16"/>
    <mergeCell ref="B18:B19"/>
    <mergeCell ref="C18:C19"/>
    <mergeCell ref="B20:B21"/>
    <mergeCell ref="C20:C21"/>
    <mergeCell ref="B13:B14"/>
    <mergeCell ref="C13:C14"/>
    <mergeCell ref="A1:C1"/>
    <mergeCell ref="A4:C4"/>
    <mergeCell ref="A5:C5"/>
    <mergeCell ref="A7:C7"/>
    <mergeCell ref="A9:A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44" customWidth="1"/>
    <col min="2" max="2" width="33.1640625" style="44" customWidth="1"/>
    <col min="3" max="3" width="12.33203125" style="44" customWidth="1"/>
    <col min="4" max="4" width="11.5" style="44" customWidth="1"/>
    <col min="5" max="5" width="11.33203125" style="44" customWidth="1"/>
    <col min="6" max="6" width="11" style="44" customWidth="1"/>
    <col min="7" max="7" width="14.33203125" style="44" customWidth="1"/>
    <col min="8" max="16384" width="9.33203125" style="44"/>
  </cols>
  <sheetData>
    <row r="1" spans="1:7" ht="43.5" customHeight="1" x14ac:dyDescent="0.25">
      <c r="A1" s="1747" t="s">
        <v>840</v>
      </c>
      <c r="B1" s="1747"/>
      <c r="C1" s="1747"/>
      <c r="D1" s="1747"/>
      <c r="E1" s="1747"/>
      <c r="F1" s="1747"/>
      <c r="G1" s="1747"/>
    </row>
    <row r="3" spans="1:7" s="129" customFormat="1" ht="27" customHeight="1" x14ac:dyDescent="0.25">
      <c r="A3" s="127" t="s">
        <v>188</v>
      </c>
      <c r="B3" s="128"/>
      <c r="C3" s="1746" t="s">
        <v>189</v>
      </c>
      <c r="D3" s="1746"/>
      <c r="E3" s="1746"/>
      <c r="F3" s="1746"/>
      <c r="G3" s="1746"/>
    </row>
    <row r="4" spans="1:7" s="129" customFormat="1" ht="15.75" x14ac:dyDescent="0.25">
      <c r="A4" s="128"/>
      <c r="B4" s="128"/>
      <c r="C4" s="128"/>
      <c r="D4" s="128"/>
      <c r="E4" s="128"/>
      <c r="F4" s="128"/>
      <c r="G4" s="128"/>
    </row>
    <row r="5" spans="1:7" s="129" customFormat="1" ht="24.75" customHeight="1" x14ac:dyDescent="0.25">
      <c r="A5" s="127" t="s">
        <v>190</v>
      </c>
      <c r="B5" s="128"/>
      <c r="C5" s="1746" t="s">
        <v>189</v>
      </c>
      <c r="D5" s="1746"/>
      <c r="E5" s="1746"/>
      <c r="F5" s="1746"/>
      <c r="G5" s="128"/>
    </row>
    <row r="6" spans="1:7" s="130" customFormat="1" x14ac:dyDescent="0.2">
      <c r="A6" s="166"/>
      <c r="B6" s="166"/>
      <c r="C6" s="166"/>
      <c r="D6" s="166"/>
      <c r="E6" s="166"/>
      <c r="F6" s="166"/>
      <c r="G6" s="166"/>
    </row>
    <row r="7" spans="1:7" s="131" customFormat="1" ht="15" customHeight="1" x14ac:dyDescent="0.25">
      <c r="A7" s="233" t="s">
        <v>191</v>
      </c>
      <c r="B7" s="232"/>
      <c r="C7" s="232"/>
      <c r="D7" s="218"/>
      <c r="E7" s="218"/>
      <c r="F7" s="218"/>
      <c r="G7" s="218"/>
    </row>
    <row r="8" spans="1:7" s="131" customFormat="1" ht="15" customHeight="1" thickBot="1" x14ac:dyDescent="0.3">
      <c r="A8" s="233" t="s">
        <v>192</v>
      </c>
      <c r="B8" s="218"/>
      <c r="C8" s="218"/>
      <c r="D8" s="218"/>
      <c r="E8" s="218"/>
      <c r="F8" s="218"/>
      <c r="G8" s="218"/>
    </row>
    <row r="9" spans="1:7" s="58" customFormat="1" ht="42" customHeight="1" thickBot="1" x14ac:dyDescent="0.25">
      <c r="A9" s="150" t="s">
        <v>853</v>
      </c>
      <c r="B9" s="151" t="s">
        <v>193</v>
      </c>
      <c r="C9" s="151" t="s">
        <v>194</v>
      </c>
      <c r="D9" s="151" t="s">
        <v>195</v>
      </c>
      <c r="E9" s="151" t="s">
        <v>196</v>
      </c>
      <c r="F9" s="151" t="s">
        <v>197</v>
      </c>
      <c r="G9" s="152" t="s">
        <v>890</v>
      </c>
    </row>
    <row r="10" spans="1:7" ht="24" customHeight="1" x14ac:dyDescent="0.2">
      <c r="A10" s="219" t="s">
        <v>855</v>
      </c>
      <c r="B10" s="159" t="s">
        <v>198</v>
      </c>
      <c r="C10" s="132"/>
      <c r="D10" s="132"/>
      <c r="E10" s="132"/>
      <c r="F10" s="132"/>
      <c r="G10" s="220">
        <f>SUM(C10:F10)</f>
        <v>0</v>
      </c>
    </row>
    <row r="11" spans="1:7" ht="24" customHeight="1" x14ac:dyDescent="0.2">
      <c r="A11" s="221" t="s">
        <v>856</v>
      </c>
      <c r="B11" s="160" t="s">
        <v>199</v>
      </c>
      <c r="C11" s="133"/>
      <c r="D11" s="133"/>
      <c r="E11" s="133"/>
      <c r="F11" s="133"/>
      <c r="G11" s="222">
        <f t="shared" ref="G11:G16" si="0">SUM(C11:F11)</f>
        <v>0</v>
      </c>
    </row>
    <row r="12" spans="1:7" ht="24" customHeight="1" x14ac:dyDescent="0.2">
      <c r="A12" s="221" t="s">
        <v>857</v>
      </c>
      <c r="B12" s="160" t="s">
        <v>200</v>
      </c>
      <c r="C12" s="133"/>
      <c r="D12" s="133"/>
      <c r="E12" s="133"/>
      <c r="F12" s="133"/>
      <c r="G12" s="222">
        <f t="shared" si="0"/>
        <v>0</v>
      </c>
    </row>
    <row r="13" spans="1:7" ht="24" customHeight="1" x14ac:dyDescent="0.2">
      <c r="A13" s="221" t="s">
        <v>858</v>
      </c>
      <c r="B13" s="160" t="s">
        <v>201</v>
      </c>
      <c r="C13" s="133"/>
      <c r="D13" s="133"/>
      <c r="E13" s="133"/>
      <c r="F13" s="133"/>
      <c r="G13" s="222">
        <f t="shared" si="0"/>
        <v>0</v>
      </c>
    </row>
    <row r="14" spans="1:7" ht="24" customHeight="1" x14ac:dyDescent="0.2">
      <c r="A14" s="221" t="s">
        <v>859</v>
      </c>
      <c r="B14" s="160" t="s">
        <v>202</v>
      </c>
      <c r="C14" s="133"/>
      <c r="D14" s="133"/>
      <c r="E14" s="133"/>
      <c r="F14" s="133"/>
      <c r="G14" s="222">
        <f t="shared" si="0"/>
        <v>0</v>
      </c>
    </row>
    <row r="15" spans="1:7" ht="24" customHeight="1" thickBot="1" x14ac:dyDescent="0.25">
      <c r="A15" s="223" t="s">
        <v>860</v>
      </c>
      <c r="B15" s="224" t="s">
        <v>203</v>
      </c>
      <c r="C15" s="134"/>
      <c r="D15" s="134"/>
      <c r="E15" s="134"/>
      <c r="F15" s="134"/>
      <c r="G15" s="225">
        <f t="shared" si="0"/>
        <v>0</v>
      </c>
    </row>
    <row r="16" spans="1:7" s="135" customFormat="1" ht="24" customHeight="1" thickBot="1" x14ac:dyDescent="0.25">
      <c r="A16" s="226" t="s">
        <v>861</v>
      </c>
      <c r="B16" s="227" t="s">
        <v>890</v>
      </c>
      <c r="C16" s="228">
        <f>SUM(C10:C15)</f>
        <v>0</v>
      </c>
      <c r="D16" s="228">
        <f>SUM(D10:D15)</f>
        <v>0</v>
      </c>
      <c r="E16" s="228">
        <f>SUM(E10:E15)</f>
        <v>0</v>
      </c>
      <c r="F16" s="228">
        <f>SUM(F10:F15)</f>
        <v>0</v>
      </c>
      <c r="G16" s="229">
        <f t="shared" si="0"/>
        <v>0</v>
      </c>
    </row>
    <row r="17" spans="1:7" s="130" customFormat="1" x14ac:dyDescent="0.2">
      <c r="A17" s="166"/>
      <c r="B17" s="166"/>
      <c r="C17" s="166"/>
      <c r="D17" s="166"/>
      <c r="E17" s="166"/>
      <c r="F17" s="166"/>
      <c r="G17" s="166"/>
    </row>
    <row r="18" spans="1:7" s="130" customFormat="1" x14ac:dyDescent="0.2">
      <c r="A18" s="166"/>
      <c r="B18" s="166"/>
      <c r="C18" s="166"/>
      <c r="D18" s="166"/>
      <c r="E18" s="166"/>
      <c r="F18" s="166"/>
      <c r="G18" s="166"/>
    </row>
    <row r="19" spans="1:7" s="130" customFormat="1" x14ac:dyDescent="0.2">
      <c r="A19" s="166"/>
      <c r="B19" s="166"/>
      <c r="C19" s="166"/>
      <c r="D19" s="166"/>
      <c r="E19" s="166"/>
      <c r="F19" s="166"/>
      <c r="G19" s="166"/>
    </row>
    <row r="20" spans="1:7" s="130" customFormat="1" ht="15.75" x14ac:dyDescent="0.25">
      <c r="A20" s="129" t="s">
        <v>368</v>
      </c>
      <c r="B20" s="166"/>
      <c r="C20" s="166"/>
      <c r="D20" s="166"/>
      <c r="E20" s="166"/>
      <c r="F20" s="166"/>
      <c r="G20" s="166"/>
    </row>
    <row r="21" spans="1:7" s="130" customFormat="1" x14ac:dyDescent="0.2">
      <c r="A21" s="166"/>
      <c r="B21" s="166"/>
      <c r="C21" s="166"/>
      <c r="D21" s="166"/>
      <c r="E21" s="166"/>
      <c r="F21" s="166"/>
      <c r="G21" s="166"/>
    </row>
    <row r="22" spans="1:7" x14ac:dyDescent="0.2">
      <c r="A22" s="166"/>
      <c r="B22" s="166"/>
      <c r="C22" s="166"/>
      <c r="D22" s="166"/>
      <c r="E22" s="166"/>
      <c r="F22" s="166"/>
      <c r="G22" s="166"/>
    </row>
    <row r="23" spans="1:7" x14ac:dyDescent="0.2">
      <c r="A23" s="166"/>
      <c r="B23" s="166"/>
      <c r="C23" s="130"/>
      <c r="D23" s="130"/>
      <c r="E23" s="130"/>
      <c r="F23" s="130"/>
      <c r="G23" s="166"/>
    </row>
    <row r="24" spans="1:7" ht="13.5" x14ac:dyDescent="0.25">
      <c r="A24" s="166"/>
      <c r="B24" s="166"/>
      <c r="C24" s="230"/>
      <c r="D24" s="231" t="s">
        <v>204</v>
      </c>
      <c r="E24" s="231"/>
      <c r="F24" s="230"/>
      <c r="G24" s="166"/>
    </row>
    <row r="25" spans="1:7" ht="13.5" x14ac:dyDescent="0.25">
      <c r="C25" s="136"/>
      <c r="D25" s="137"/>
      <c r="E25" s="137"/>
      <c r="F25" s="136"/>
    </row>
    <row r="26" spans="1:7" ht="13.5" x14ac:dyDescent="0.25">
      <c r="C26" s="136"/>
      <c r="D26" s="137"/>
      <c r="E26" s="137"/>
      <c r="F26" s="136"/>
    </row>
  </sheetData>
  <sheetProtection sheet="1"/>
  <mergeCells count="3">
    <mergeCell ref="C3:G3"/>
    <mergeCell ref="C5:F5"/>
    <mergeCell ref="A1:G1"/>
  </mergeCells>
  <phoneticPr fontId="29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359" bestFit="1" customWidth="1"/>
    <col min="2" max="2" width="63" style="359" customWidth="1"/>
    <col min="3" max="3" width="6.33203125" style="358" hidden="1" customWidth="1"/>
    <col min="4" max="4" width="9.83203125" style="417" bestFit="1" customWidth="1"/>
    <col min="5" max="5" width="18.1640625" style="417" customWidth="1"/>
    <col min="6" max="6" width="15.1640625" style="417" customWidth="1"/>
    <col min="7" max="7" width="15.5" style="417" customWidth="1"/>
    <col min="8" max="8" width="11.33203125" style="417" bestFit="1" customWidth="1"/>
    <col min="9" max="9" width="9.83203125" style="417" bestFit="1" customWidth="1"/>
    <col min="10" max="10" width="13.1640625" style="418" bestFit="1" customWidth="1"/>
    <col min="11" max="11" width="17.33203125" style="358" customWidth="1"/>
    <col min="12" max="12" width="9.1640625" style="358" hidden="1" customWidth="1"/>
    <col min="13" max="13" width="16.83203125" style="358" customWidth="1"/>
    <col min="14" max="14" width="0" style="358" hidden="1" customWidth="1"/>
    <col min="15" max="15" width="18.5" style="358" customWidth="1"/>
    <col min="16" max="16" width="9.83203125" style="358" customWidth="1"/>
    <col min="17" max="17" width="16.1640625" style="402" customWidth="1"/>
    <col min="18" max="18" width="9.33203125" style="359"/>
    <col min="19" max="19" width="9.33203125" style="360"/>
    <col min="20" max="16384" width="9.33203125" style="359"/>
  </cols>
  <sheetData>
    <row r="1" spans="1:19" x14ac:dyDescent="0.25">
      <c r="A1" s="1748" t="s">
        <v>658</v>
      </c>
      <c r="B1" s="1748"/>
      <c r="C1" s="1748"/>
      <c r="D1" s="1748"/>
      <c r="E1" s="1748"/>
      <c r="F1" s="1748"/>
      <c r="G1" s="1748"/>
      <c r="H1" s="1748"/>
      <c r="I1" s="1748"/>
      <c r="J1" s="1748"/>
      <c r="K1" s="1748"/>
      <c r="L1" s="1748"/>
      <c r="M1" s="1748"/>
      <c r="N1" s="1748"/>
      <c r="O1" s="1748"/>
      <c r="P1" s="1748"/>
      <c r="Q1" s="1748"/>
    </row>
    <row r="2" spans="1:19" x14ac:dyDescent="0.25">
      <c r="A2" s="1749" t="s">
        <v>439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  <c r="O2" s="1749"/>
      <c r="P2" s="1749"/>
      <c r="Q2" s="1749"/>
    </row>
    <row r="3" spans="1:19" x14ac:dyDescent="0.25">
      <c r="A3" s="361"/>
      <c r="B3" s="361"/>
      <c r="C3" s="361"/>
      <c r="D3" s="361"/>
      <c r="E3" s="361"/>
      <c r="F3" s="361"/>
      <c r="G3" s="361"/>
      <c r="H3" s="361"/>
      <c r="I3" s="361"/>
      <c r="J3" s="361"/>
      <c r="Q3" s="358"/>
    </row>
    <row r="4" spans="1:19" s="365" customFormat="1" x14ac:dyDescent="0.2">
      <c r="A4" s="362"/>
      <c r="B4" s="363" t="s">
        <v>12</v>
      </c>
      <c r="C4" s="364">
        <v>2011</v>
      </c>
      <c r="D4" s="1750" t="s">
        <v>440</v>
      </c>
      <c r="E4" s="1751"/>
      <c r="F4" s="1751"/>
      <c r="G4" s="1751"/>
      <c r="H4" s="1751"/>
      <c r="I4" s="1751"/>
      <c r="J4" s="1752"/>
      <c r="K4" s="1750" t="s">
        <v>441</v>
      </c>
      <c r="L4" s="1751"/>
      <c r="M4" s="1751"/>
      <c r="N4" s="1751"/>
      <c r="O4" s="1751"/>
      <c r="P4" s="1751"/>
      <c r="Q4" s="1752"/>
      <c r="S4" s="366"/>
    </row>
    <row r="5" spans="1:19" s="365" customFormat="1" ht="75" x14ac:dyDescent="0.2">
      <c r="A5" s="367"/>
      <c r="B5" s="368"/>
      <c r="C5" s="369" t="s">
        <v>442</v>
      </c>
      <c r="D5" s="370" t="s">
        <v>418</v>
      </c>
      <c r="E5" s="370" t="s">
        <v>443</v>
      </c>
      <c r="F5" s="370" t="s">
        <v>444</v>
      </c>
      <c r="G5" s="370" t="s">
        <v>445</v>
      </c>
      <c r="H5" s="370" t="s">
        <v>416</v>
      </c>
      <c r="I5" s="370" t="s">
        <v>417</v>
      </c>
      <c r="J5" s="371" t="s">
        <v>888</v>
      </c>
      <c r="K5" s="370" t="s">
        <v>443</v>
      </c>
      <c r="L5" s="370" t="s">
        <v>444</v>
      </c>
      <c r="M5" s="370" t="s">
        <v>445</v>
      </c>
      <c r="N5" s="370" t="s">
        <v>416</v>
      </c>
      <c r="O5" s="370" t="s">
        <v>659</v>
      </c>
      <c r="P5" s="370" t="s">
        <v>417</v>
      </c>
      <c r="Q5" s="371" t="s">
        <v>888</v>
      </c>
      <c r="S5" s="366"/>
    </row>
    <row r="6" spans="1:19" x14ac:dyDescent="0.25">
      <c r="A6" s="373">
        <v>1</v>
      </c>
      <c r="B6" s="374" t="s">
        <v>446</v>
      </c>
      <c r="C6" s="375"/>
      <c r="D6" s="376">
        <v>27.562999999999999</v>
      </c>
      <c r="E6" s="376">
        <v>0</v>
      </c>
      <c r="F6" s="376">
        <v>0</v>
      </c>
      <c r="G6" s="376">
        <v>0</v>
      </c>
      <c r="H6" s="376">
        <v>392.04300000000001</v>
      </c>
      <c r="I6" s="376">
        <v>0</v>
      </c>
      <c r="J6" s="377">
        <v>419.60599999999999</v>
      </c>
      <c r="K6" s="378">
        <v>0</v>
      </c>
      <c r="L6" s="378">
        <v>0</v>
      </c>
      <c r="M6" s="378">
        <v>0</v>
      </c>
      <c r="N6" s="378">
        <v>0</v>
      </c>
      <c r="O6" s="378">
        <v>0</v>
      </c>
      <c r="P6" s="378">
        <v>0</v>
      </c>
      <c r="Q6" s="379">
        <v>0</v>
      </c>
    </row>
    <row r="7" spans="1:19" x14ac:dyDescent="0.25">
      <c r="A7" s="373">
        <v>2</v>
      </c>
      <c r="B7" s="374" t="s">
        <v>447</v>
      </c>
      <c r="C7" s="375"/>
      <c r="D7" s="376">
        <v>0</v>
      </c>
      <c r="E7" s="376">
        <v>0</v>
      </c>
      <c r="F7" s="376">
        <v>0</v>
      </c>
      <c r="G7" s="376">
        <v>0</v>
      </c>
      <c r="H7" s="376">
        <v>20548.030999999999</v>
      </c>
      <c r="I7" s="376">
        <v>0</v>
      </c>
      <c r="J7" s="377">
        <v>20548.030999999999</v>
      </c>
      <c r="K7" s="378">
        <v>0</v>
      </c>
      <c r="L7" s="378">
        <v>0</v>
      </c>
      <c r="M7" s="378">
        <v>0</v>
      </c>
      <c r="N7" s="378">
        <v>9998.68</v>
      </c>
      <c r="O7" s="378">
        <v>9998.68</v>
      </c>
      <c r="P7" s="378">
        <v>0</v>
      </c>
      <c r="Q7" s="379">
        <v>9998.68</v>
      </c>
    </row>
    <row r="8" spans="1:19" x14ac:dyDescent="0.25">
      <c r="A8" s="373">
        <v>3</v>
      </c>
      <c r="B8" s="374" t="s">
        <v>448</v>
      </c>
      <c r="C8" s="375">
        <v>0</v>
      </c>
      <c r="D8" s="376">
        <v>0</v>
      </c>
      <c r="E8" s="376">
        <v>0</v>
      </c>
      <c r="F8" s="376">
        <v>0</v>
      </c>
      <c r="G8" s="376">
        <v>0</v>
      </c>
      <c r="H8" s="376">
        <v>81690.829999999987</v>
      </c>
      <c r="I8" s="376">
        <v>0</v>
      </c>
      <c r="J8" s="377">
        <v>81690.829999999987</v>
      </c>
      <c r="K8" s="378">
        <v>0</v>
      </c>
      <c r="L8" s="378">
        <v>0</v>
      </c>
      <c r="M8" s="378">
        <v>0</v>
      </c>
      <c r="N8" s="378">
        <v>100697.92</v>
      </c>
      <c r="O8" s="378">
        <v>100697.92</v>
      </c>
      <c r="P8" s="378">
        <v>0</v>
      </c>
      <c r="Q8" s="379">
        <v>100697.92</v>
      </c>
    </row>
    <row r="9" spans="1:19" x14ac:dyDescent="0.25">
      <c r="A9" s="373">
        <v>4</v>
      </c>
      <c r="B9" s="374" t="s">
        <v>449</v>
      </c>
      <c r="C9" s="375"/>
      <c r="D9" s="376">
        <v>0</v>
      </c>
      <c r="E9" s="376">
        <v>0</v>
      </c>
      <c r="F9" s="376">
        <v>0</v>
      </c>
      <c r="G9" s="376">
        <v>0</v>
      </c>
      <c r="H9" s="376">
        <v>33829.214999999997</v>
      </c>
      <c r="I9" s="376">
        <v>0</v>
      </c>
      <c r="J9" s="377">
        <v>33829.214999999997</v>
      </c>
      <c r="K9" s="378">
        <v>0</v>
      </c>
      <c r="L9" s="378">
        <v>0</v>
      </c>
      <c r="M9" s="378">
        <v>0</v>
      </c>
      <c r="N9" s="378">
        <v>42924.409999999996</v>
      </c>
      <c r="O9" s="378">
        <v>42924.409999999996</v>
      </c>
      <c r="P9" s="378">
        <v>0</v>
      </c>
      <c r="Q9" s="379">
        <v>42924.409999999996</v>
      </c>
    </row>
    <row r="10" spans="1:19" x14ac:dyDescent="0.25">
      <c r="A10" s="373">
        <v>5</v>
      </c>
      <c r="B10" s="374" t="s">
        <v>450</v>
      </c>
      <c r="C10" s="375"/>
      <c r="D10" s="376">
        <v>0</v>
      </c>
      <c r="E10" s="376">
        <v>0</v>
      </c>
      <c r="F10" s="376">
        <v>0</v>
      </c>
      <c r="G10" s="376">
        <v>0</v>
      </c>
      <c r="H10" s="376">
        <v>18379.445</v>
      </c>
      <c r="I10" s="376">
        <v>0</v>
      </c>
      <c r="J10" s="377">
        <v>18379.445</v>
      </c>
      <c r="K10" s="378">
        <v>0</v>
      </c>
      <c r="L10" s="378">
        <v>0</v>
      </c>
      <c r="M10" s="378">
        <v>0</v>
      </c>
      <c r="N10" s="378">
        <v>21189.848000000002</v>
      </c>
      <c r="O10" s="378">
        <v>21189.848000000002</v>
      </c>
      <c r="P10" s="378">
        <v>0</v>
      </c>
      <c r="Q10" s="379">
        <v>21189.848000000002</v>
      </c>
    </row>
    <row r="11" spans="1:19" x14ac:dyDescent="0.25">
      <c r="A11" s="373">
        <v>6</v>
      </c>
      <c r="B11" s="374" t="s">
        <v>97</v>
      </c>
      <c r="C11" s="375"/>
      <c r="D11" s="376">
        <v>0</v>
      </c>
      <c r="E11" s="376">
        <v>0</v>
      </c>
      <c r="F11" s="376">
        <v>0</v>
      </c>
      <c r="G11" s="376">
        <v>0</v>
      </c>
      <c r="H11" s="376">
        <v>0</v>
      </c>
      <c r="I11" s="376">
        <v>0</v>
      </c>
      <c r="J11" s="377">
        <v>0</v>
      </c>
      <c r="K11" s="378">
        <v>0</v>
      </c>
      <c r="L11" s="378">
        <v>0</v>
      </c>
      <c r="M11" s="378">
        <v>0</v>
      </c>
      <c r="N11" s="378">
        <v>0</v>
      </c>
      <c r="O11" s="378">
        <v>0</v>
      </c>
      <c r="P11" s="378">
        <v>0</v>
      </c>
      <c r="Q11" s="379">
        <v>0</v>
      </c>
    </row>
    <row r="12" spans="1:19" x14ac:dyDescent="0.25">
      <c r="A12" s="373">
        <v>7</v>
      </c>
      <c r="B12" s="374" t="s">
        <v>451</v>
      </c>
      <c r="C12" s="375"/>
      <c r="D12" s="376">
        <v>0</v>
      </c>
      <c r="E12" s="376">
        <v>0</v>
      </c>
      <c r="F12" s="376">
        <v>0</v>
      </c>
      <c r="G12" s="376">
        <v>0</v>
      </c>
      <c r="H12" s="376">
        <v>29482.17</v>
      </c>
      <c r="I12" s="376">
        <v>0</v>
      </c>
      <c r="J12" s="377">
        <v>29482.17</v>
      </c>
      <c r="K12" s="378">
        <v>0</v>
      </c>
      <c r="L12" s="378">
        <v>0</v>
      </c>
      <c r="M12" s="378">
        <v>0</v>
      </c>
      <c r="N12" s="378">
        <v>36583.661999999997</v>
      </c>
      <c r="O12" s="378">
        <v>36583.661999999997</v>
      </c>
      <c r="P12" s="378">
        <v>0</v>
      </c>
      <c r="Q12" s="379">
        <v>36583.661999999997</v>
      </c>
    </row>
    <row r="13" spans="1:19" x14ac:dyDescent="0.25">
      <c r="A13" s="373">
        <v>8</v>
      </c>
      <c r="B13" s="374" t="s">
        <v>452</v>
      </c>
      <c r="C13" s="375"/>
      <c r="D13" s="376">
        <v>0</v>
      </c>
      <c r="E13" s="376">
        <v>0</v>
      </c>
      <c r="F13" s="376">
        <v>0</v>
      </c>
      <c r="G13" s="376">
        <v>0</v>
      </c>
      <c r="H13" s="376">
        <v>0</v>
      </c>
      <c r="I13" s="376">
        <v>0</v>
      </c>
      <c r="J13" s="377">
        <v>0</v>
      </c>
      <c r="K13" s="378">
        <v>0</v>
      </c>
      <c r="L13" s="378">
        <v>0</v>
      </c>
      <c r="M13" s="378">
        <v>0</v>
      </c>
      <c r="N13" s="378">
        <v>0</v>
      </c>
      <c r="O13" s="378">
        <v>0</v>
      </c>
      <c r="P13" s="378">
        <v>0</v>
      </c>
      <c r="Q13" s="379">
        <v>0</v>
      </c>
    </row>
    <row r="14" spans="1:19" x14ac:dyDescent="0.25">
      <c r="A14" s="373">
        <v>9</v>
      </c>
      <c r="B14" s="374" t="s">
        <v>453</v>
      </c>
      <c r="C14" s="375">
        <v>0</v>
      </c>
      <c r="D14" s="376">
        <v>0</v>
      </c>
      <c r="E14" s="376">
        <v>0</v>
      </c>
      <c r="F14" s="376">
        <v>0</v>
      </c>
      <c r="G14" s="376">
        <v>0</v>
      </c>
      <c r="H14" s="376">
        <v>91588.676000000007</v>
      </c>
      <c r="I14" s="376">
        <v>0</v>
      </c>
      <c r="J14" s="377">
        <v>91588.676000000007</v>
      </c>
      <c r="K14" s="378">
        <v>0</v>
      </c>
      <c r="L14" s="378">
        <v>0</v>
      </c>
      <c r="M14" s="378">
        <v>0</v>
      </c>
      <c r="N14" s="378">
        <v>0</v>
      </c>
      <c r="O14" s="378">
        <v>0</v>
      </c>
      <c r="P14" s="378">
        <v>0</v>
      </c>
      <c r="Q14" s="379">
        <v>0</v>
      </c>
    </row>
    <row r="15" spans="1:19" x14ac:dyDescent="0.25">
      <c r="A15" s="373"/>
      <c r="B15" s="374" t="s">
        <v>454</v>
      </c>
      <c r="C15" s="375"/>
      <c r="D15" s="376">
        <v>0</v>
      </c>
      <c r="E15" s="376">
        <v>0</v>
      </c>
      <c r="F15" s="376">
        <v>0</v>
      </c>
      <c r="G15" s="376">
        <v>0</v>
      </c>
      <c r="H15" s="376">
        <v>0</v>
      </c>
      <c r="I15" s="376">
        <v>0</v>
      </c>
      <c r="J15" s="377">
        <v>0</v>
      </c>
      <c r="K15" s="378">
        <v>0</v>
      </c>
      <c r="L15" s="378">
        <v>0</v>
      </c>
      <c r="M15" s="378">
        <v>0</v>
      </c>
      <c r="N15" s="378">
        <v>0</v>
      </c>
      <c r="O15" s="378">
        <v>0</v>
      </c>
      <c r="P15" s="378">
        <v>0</v>
      </c>
      <c r="Q15" s="379">
        <v>0</v>
      </c>
    </row>
    <row r="16" spans="1:19" ht="30" x14ac:dyDescent="0.25">
      <c r="A16" s="373">
        <v>10</v>
      </c>
      <c r="B16" s="374" t="s">
        <v>455</v>
      </c>
      <c r="C16" s="375"/>
      <c r="D16" s="376">
        <v>0</v>
      </c>
      <c r="E16" s="376">
        <v>0</v>
      </c>
      <c r="F16" s="376">
        <v>0</v>
      </c>
      <c r="G16" s="376">
        <v>0</v>
      </c>
      <c r="H16" s="376">
        <v>63892.480000000003</v>
      </c>
      <c r="I16" s="376">
        <v>0</v>
      </c>
      <c r="J16" s="377">
        <v>63892.480000000003</v>
      </c>
      <c r="K16" s="378">
        <v>0</v>
      </c>
      <c r="L16" s="378">
        <v>0</v>
      </c>
      <c r="M16" s="378">
        <v>0</v>
      </c>
      <c r="N16" s="378">
        <v>0</v>
      </c>
      <c r="O16" s="378">
        <v>0</v>
      </c>
      <c r="P16" s="378">
        <v>0</v>
      </c>
      <c r="Q16" s="379">
        <v>0</v>
      </c>
    </row>
    <row r="17" spans="1:19" x14ac:dyDescent="0.25">
      <c r="A17" s="373">
        <v>11</v>
      </c>
      <c r="B17" s="374" t="s">
        <v>456</v>
      </c>
      <c r="C17" s="375"/>
      <c r="D17" s="376">
        <v>0</v>
      </c>
      <c r="E17" s="376">
        <v>0</v>
      </c>
      <c r="F17" s="376">
        <v>0</v>
      </c>
      <c r="G17" s="376">
        <v>0</v>
      </c>
      <c r="H17" s="376">
        <v>27696.196</v>
      </c>
      <c r="I17" s="376">
        <v>0</v>
      </c>
      <c r="J17" s="377">
        <v>27696.196</v>
      </c>
      <c r="K17" s="378">
        <v>0</v>
      </c>
      <c r="L17" s="378">
        <v>0</v>
      </c>
      <c r="M17" s="378">
        <v>0</v>
      </c>
      <c r="N17" s="378">
        <v>0</v>
      </c>
      <c r="O17" s="378">
        <v>0</v>
      </c>
      <c r="P17" s="378">
        <v>0</v>
      </c>
      <c r="Q17" s="379">
        <v>0</v>
      </c>
    </row>
    <row r="18" spans="1:19" x14ac:dyDescent="0.25">
      <c r="A18" s="373">
        <v>12</v>
      </c>
      <c r="B18" s="374" t="s">
        <v>457</v>
      </c>
      <c r="C18" s="375"/>
      <c r="D18" s="376">
        <v>0</v>
      </c>
      <c r="E18" s="376">
        <v>0</v>
      </c>
      <c r="F18" s="376">
        <v>0</v>
      </c>
      <c r="G18" s="376">
        <v>0</v>
      </c>
      <c r="H18" s="376">
        <v>0</v>
      </c>
      <c r="I18" s="376">
        <v>0</v>
      </c>
      <c r="J18" s="377">
        <v>0</v>
      </c>
      <c r="K18" s="378">
        <v>0</v>
      </c>
      <c r="L18" s="378">
        <v>0</v>
      </c>
      <c r="M18" s="378">
        <v>0</v>
      </c>
      <c r="N18" s="378">
        <v>0</v>
      </c>
      <c r="O18" s="378">
        <v>0</v>
      </c>
      <c r="P18" s="378">
        <v>0</v>
      </c>
      <c r="Q18" s="379">
        <v>0</v>
      </c>
    </row>
    <row r="19" spans="1:19" x14ac:dyDescent="0.25">
      <c r="A19" s="373">
        <v>13</v>
      </c>
      <c r="B19" s="374" t="s">
        <v>458</v>
      </c>
      <c r="C19" s="375"/>
      <c r="D19" s="376">
        <v>0</v>
      </c>
      <c r="E19" s="376">
        <v>0</v>
      </c>
      <c r="F19" s="376">
        <v>0</v>
      </c>
      <c r="G19" s="376">
        <v>0</v>
      </c>
      <c r="H19" s="376">
        <v>0</v>
      </c>
      <c r="I19" s="376">
        <v>0</v>
      </c>
      <c r="J19" s="377">
        <v>0</v>
      </c>
      <c r="K19" s="378">
        <v>0</v>
      </c>
      <c r="L19" s="378">
        <v>0</v>
      </c>
      <c r="M19" s="378">
        <v>0</v>
      </c>
      <c r="N19" s="378">
        <v>0</v>
      </c>
      <c r="O19" s="378">
        <v>0</v>
      </c>
      <c r="P19" s="378">
        <v>0</v>
      </c>
      <c r="Q19" s="379">
        <v>0</v>
      </c>
    </row>
    <row r="20" spans="1:19" x14ac:dyDescent="0.25">
      <c r="A20" s="373">
        <v>14</v>
      </c>
      <c r="B20" s="374" t="s">
        <v>459</v>
      </c>
      <c r="C20" s="375"/>
      <c r="D20" s="376">
        <v>0</v>
      </c>
      <c r="E20" s="376">
        <v>0</v>
      </c>
      <c r="F20" s="376">
        <v>0</v>
      </c>
      <c r="G20" s="376">
        <v>0</v>
      </c>
      <c r="H20" s="376">
        <v>177.84299999999999</v>
      </c>
      <c r="I20" s="376">
        <v>0</v>
      </c>
      <c r="J20" s="377">
        <v>177.84299999999999</v>
      </c>
      <c r="K20" s="378">
        <v>0</v>
      </c>
      <c r="L20" s="378">
        <v>0</v>
      </c>
      <c r="M20" s="378">
        <v>0</v>
      </c>
      <c r="N20" s="378">
        <v>234.5</v>
      </c>
      <c r="O20" s="378">
        <v>234.5</v>
      </c>
      <c r="P20" s="378">
        <v>0</v>
      </c>
      <c r="Q20" s="379">
        <v>234.5</v>
      </c>
    </row>
    <row r="21" spans="1:19" ht="45" x14ac:dyDescent="0.25">
      <c r="A21" s="373">
        <v>15</v>
      </c>
      <c r="B21" s="374" t="s">
        <v>460</v>
      </c>
      <c r="C21" s="375"/>
      <c r="D21" s="376">
        <v>0</v>
      </c>
      <c r="E21" s="376">
        <v>0</v>
      </c>
      <c r="F21" s="376">
        <v>0</v>
      </c>
      <c r="G21" s="376">
        <v>0</v>
      </c>
      <c r="H21" s="376">
        <v>2732.6729999999998</v>
      </c>
      <c r="I21" s="376">
        <v>0</v>
      </c>
      <c r="J21" s="377">
        <v>2732.6729999999998</v>
      </c>
      <c r="K21" s="378">
        <v>0</v>
      </c>
      <c r="L21" s="378">
        <v>0</v>
      </c>
      <c r="M21" s="378">
        <v>0</v>
      </c>
      <c r="N21" s="378">
        <v>3411.7649999999999</v>
      </c>
      <c r="O21" s="378">
        <v>3411.7649999999999</v>
      </c>
      <c r="P21" s="378">
        <v>0</v>
      </c>
      <c r="Q21" s="379">
        <v>3411.7649999999999</v>
      </c>
    </row>
    <row r="22" spans="1:19" s="387" customFormat="1" ht="30" x14ac:dyDescent="0.25">
      <c r="A22" s="390">
        <v>16</v>
      </c>
      <c r="B22" s="391" t="s">
        <v>461</v>
      </c>
      <c r="C22" s="392">
        <v>0</v>
      </c>
      <c r="D22" s="392">
        <v>27.562999999999999</v>
      </c>
      <c r="E22" s="392">
        <v>0</v>
      </c>
      <c r="F22" s="392">
        <v>0</v>
      </c>
      <c r="G22" s="392">
        <v>0</v>
      </c>
      <c r="H22" s="392">
        <v>197130.09599999999</v>
      </c>
      <c r="I22" s="392">
        <v>0</v>
      </c>
      <c r="J22" s="392">
        <v>197157.65899999999</v>
      </c>
      <c r="K22" s="392">
        <v>0</v>
      </c>
      <c r="L22" s="392">
        <v>0</v>
      </c>
      <c r="M22" s="392">
        <v>0</v>
      </c>
      <c r="N22" s="392">
        <v>114342.86500000001</v>
      </c>
      <c r="O22" s="392">
        <v>114342.86500000001</v>
      </c>
      <c r="P22" s="392">
        <v>0</v>
      </c>
      <c r="Q22" s="392">
        <v>114342.86500000001</v>
      </c>
    </row>
    <row r="23" spans="1:19" s="393" customFormat="1" x14ac:dyDescent="0.25">
      <c r="A23" s="380">
        <v>17</v>
      </c>
      <c r="B23" s="381" t="s">
        <v>462</v>
      </c>
      <c r="C23" s="382">
        <v>0</v>
      </c>
      <c r="D23" s="382">
        <v>4243.21</v>
      </c>
      <c r="E23" s="382">
        <v>1897.9190000000001</v>
      </c>
      <c r="F23" s="382">
        <v>97.016999999999996</v>
      </c>
      <c r="G23" s="382">
        <v>68.47</v>
      </c>
      <c r="H23" s="382">
        <v>10089.620000000001</v>
      </c>
      <c r="I23" s="382">
        <v>0</v>
      </c>
      <c r="J23" s="382">
        <v>16396.236000000001</v>
      </c>
      <c r="K23" s="382">
        <v>5104.866</v>
      </c>
      <c r="L23" s="382">
        <v>546.55100000000004</v>
      </c>
      <c r="M23" s="382">
        <v>250</v>
      </c>
      <c r="N23" s="382">
        <v>6559.9620000000014</v>
      </c>
      <c r="O23" s="382">
        <v>7106.5130000000017</v>
      </c>
      <c r="P23" s="382">
        <v>0</v>
      </c>
      <c r="Q23" s="460">
        <v>12461.379000000001</v>
      </c>
      <c r="S23" s="394"/>
    </row>
    <row r="24" spans="1:19" s="395" customFormat="1" x14ac:dyDescent="0.25">
      <c r="A24" s="373"/>
      <c r="B24" s="385" t="s">
        <v>463</v>
      </c>
      <c r="C24" s="386"/>
      <c r="D24" s="376">
        <v>0</v>
      </c>
      <c r="E24" s="376">
        <v>0</v>
      </c>
      <c r="F24" s="376">
        <v>0</v>
      </c>
      <c r="G24" s="376">
        <v>0</v>
      </c>
      <c r="H24" s="376">
        <v>0</v>
      </c>
      <c r="I24" s="376">
        <v>0</v>
      </c>
      <c r="J24" s="377">
        <v>0</v>
      </c>
      <c r="K24" s="378">
        <v>0</v>
      </c>
      <c r="L24" s="378">
        <v>0</v>
      </c>
      <c r="M24" s="378">
        <v>0</v>
      </c>
      <c r="N24" s="378">
        <v>0</v>
      </c>
      <c r="O24" s="378">
        <v>0</v>
      </c>
      <c r="P24" s="378">
        <v>0</v>
      </c>
      <c r="Q24" s="379">
        <v>0</v>
      </c>
      <c r="S24" s="387"/>
    </row>
    <row r="25" spans="1:19" s="395" customFormat="1" x14ac:dyDescent="0.25">
      <c r="A25" s="384">
        <v>18</v>
      </c>
      <c r="B25" s="388" t="s">
        <v>464</v>
      </c>
      <c r="C25" s="386"/>
      <c r="D25" s="376">
        <v>0</v>
      </c>
      <c r="E25" s="376">
        <v>0</v>
      </c>
      <c r="F25" s="376">
        <v>0</v>
      </c>
      <c r="G25" s="376">
        <v>0</v>
      </c>
      <c r="H25" s="376">
        <v>0</v>
      </c>
      <c r="I25" s="376">
        <v>0</v>
      </c>
      <c r="J25" s="377">
        <v>0</v>
      </c>
      <c r="K25" s="378">
        <v>0</v>
      </c>
      <c r="L25" s="378">
        <v>0</v>
      </c>
      <c r="M25" s="378">
        <v>0</v>
      </c>
      <c r="N25" s="378">
        <v>0</v>
      </c>
      <c r="O25" s="378">
        <v>0</v>
      </c>
      <c r="P25" s="378">
        <v>0</v>
      </c>
      <c r="Q25" s="379">
        <v>0</v>
      </c>
      <c r="S25" s="387"/>
    </row>
    <row r="26" spans="1:19" s="395" customFormat="1" x14ac:dyDescent="0.25">
      <c r="A26" s="384">
        <v>19</v>
      </c>
      <c r="B26" s="388" t="s">
        <v>465</v>
      </c>
      <c r="C26" s="386"/>
      <c r="D26" s="376">
        <v>0</v>
      </c>
      <c r="E26" s="376">
        <v>0</v>
      </c>
      <c r="F26" s="376">
        <v>0</v>
      </c>
      <c r="G26" s="376">
        <v>0</v>
      </c>
      <c r="H26" s="376">
        <v>-379.15300000000002</v>
      </c>
      <c r="I26" s="376">
        <v>0</v>
      </c>
      <c r="J26" s="377">
        <v>-379.15300000000002</v>
      </c>
      <c r="K26" s="378">
        <v>0</v>
      </c>
      <c r="L26" s="378">
        <v>0</v>
      </c>
      <c r="M26" s="378">
        <v>0</v>
      </c>
      <c r="N26" s="378">
        <v>0</v>
      </c>
      <c r="O26" s="378">
        <v>0</v>
      </c>
      <c r="P26" s="378">
        <v>0</v>
      </c>
      <c r="Q26" s="379">
        <v>0</v>
      </c>
      <c r="S26" s="387"/>
    </row>
    <row r="27" spans="1:19" s="397" customFormat="1" x14ac:dyDescent="0.25">
      <c r="A27" s="384">
        <v>20</v>
      </c>
      <c r="B27" s="388" t="s">
        <v>466</v>
      </c>
      <c r="C27" s="396"/>
      <c r="D27" s="376">
        <v>60.6</v>
      </c>
      <c r="E27" s="376">
        <v>0</v>
      </c>
      <c r="F27" s="376">
        <v>50.9</v>
      </c>
      <c r="G27" s="376">
        <v>0</v>
      </c>
      <c r="H27" s="376">
        <v>0</v>
      </c>
      <c r="I27" s="376">
        <v>0</v>
      </c>
      <c r="J27" s="377">
        <v>111.5</v>
      </c>
      <c r="K27" s="378">
        <v>0</v>
      </c>
      <c r="L27" s="378">
        <v>0</v>
      </c>
      <c r="M27" s="378">
        <v>0</v>
      </c>
      <c r="N27" s="378">
        <v>0</v>
      </c>
      <c r="O27" s="378">
        <v>0</v>
      </c>
      <c r="P27" s="378">
        <v>0</v>
      </c>
      <c r="Q27" s="379">
        <v>0</v>
      </c>
      <c r="S27" s="387"/>
    </row>
    <row r="28" spans="1:19" s="395" customFormat="1" x14ac:dyDescent="0.25">
      <c r="A28" s="384">
        <v>21</v>
      </c>
      <c r="B28" s="388" t="s">
        <v>467</v>
      </c>
      <c r="C28" s="386"/>
      <c r="D28" s="376">
        <v>0</v>
      </c>
      <c r="E28" s="376">
        <v>0</v>
      </c>
      <c r="F28" s="376">
        <v>0</v>
      </c>
      <c r="G28" s="376">
        <v>0</v>
      </c>
      <c r="H28" s="376">
        <v>1749.952</v>
      </c>
      <c r="I28" s="376">
        <v>0</v>
      </c>
      <c r="J28" s="377">
        <v>1749.952</v>
      </c>
      <c r="K28" s="378">
        <v>0</v>
      </c>
      <c r="L28" s="378">
        <v>0</v>
      </c>
      <c r="M28" s="378">
        <v>0</v>
      </c>
      <c r="N28" s="378">
        <v>0</v>
      </c>
      <c r="O28" s="378">
        <v>0</v>
      </c>
      <c r="P28" s="378">
        <v>0</v>
      </c>
      <c r="Q28" s="379">
        <v>0</v>
      </c>
      <c r="S28" s="387"/>
    </row>
    <row r="29" spans="1:19" s="395" customFormat="1" ht="30" x14ac:dyDescent="0.25">
      <c r="A29" s="384">
        <v>22</v>
      </c>
      <c r="B29" s="388" t="s">
        <v>468</v>
      </c>
      <c r="C29" s="386"/>
      <c r="D29" s="376">
        <v>0</v>
      </c>
      <c r="E29" s="376">
        <v>0</v>
      </c>
      <c r="F29" s="376">
        <v>0</v>
      </c>
      <c r="G29" s="376">
        <v>0</v>
      </c>
      <c r="H29" s="376">
        <v>940.2</v>
      </c>
      <c r="I29" s="376">
        <v>0</v>
      </c>
      <c r="J29" s="377">
        <v>940.2</v>
      </c>
      <c r="K29" s="378">
        <v>0</v>
      </c>
      <c r="L29" s="378">
        <v>0</v>
      </c>
      <c r="M29" s="378">
        <v>0</v>
      </c>
      <c r="N29" s="378">
        <v>0</v>
      </c>
      <c r="O29" s="378">
        <v>0</v>
      </c>
      <c r="P29" s="378">
        <v>0</v>
      </c>
      <c r="Q29" s="379">
        <v>0</v>
      </c>
      <c r="S29" s="387"/>
    </row>
    <row r="30" spans="1:19" s="395" customFormat="1" x14ac:dyDescent="0.25">
      <c r="A30" s="384">
        <v>23</v>
      </c>
      <c r="B30" s="388" t="s">
        <v>469</v>
      </c>
      <c r="C30" s="386">
        <v>0</v>
      </c>
      <c r="D30" s="376">
        <v>29.12</v>
      </c>
      <c r="E30" s="376">
        <v>0</v>
      </c>
      <c r="F30" s="376">
        <v>0</v>
      </c>
      <c r="G30" s="376">
        <v>68.47</v>
      </c>
      <c r="H30" s="376">
        <v>7778.621000000001</v>
      </c>
      <c r="I30" s="376">
        <v>0</v>
      </c>
      <c r="J30" s="377">
        <v>7876.2110000000002</v>
      </c>
      <c r="K30" s="378">
        <v>0</v>
      </c>
      <c r="L30" s="378">
        <v>0</v>
      </c>
      <c r="M30" s="378">
        <v>250</v>
      </c>
      <c r="N30" s="378">
        <v>6559.9620000000014</v>
      </c>
      <c r="O30" s="378">
        <v>6559.9620000000014</v>
      </c>
      <c r="P30" s="378">
        <v>0</v>
      </c>
      <c r="Q30" s="379">
        <v>6809.9620000000014</v>
      </c>
      <c r="S30" s="387"/>
    </row>
    <row r="31" spans="1:19" s="395" customFormat="1" x14ac:dyDescent="0.25">
      <c r="A31" s="384">
        <v>24</v>
      </c>
      <c r="B31" s="398" t="s">
        <v>470</v>
      </c>
      <c r="C31" s="386"/>
      <c r="D31" s="376">
        <v>0</v>
      </c>
      <c r="E31" s="376">
        <v>0</v>
      </c>
      <c r="F31" s="376">
        <v>0</v>
      </c>
      <c r="G31" s="376">
        <v>0</v>
      </c>
      <c r="H31" s="376">
        <v>2307.4070000000002</v>
      </c>
      <c r="I31" s="376">
        <v>0</v>
      </c>
      <c r="J31" s="377">
        <v>2307.4070000000002</v>
      </c>
      <c r="K31" s="378">
        <v>0</v>
      </c>
      <c r="L31" s="378">
        <v>0</v>
      </c>
      <c r="M31" s="378">
        <v>0</v>
      </c>
      <c r="N31" s="378">
        <v>2307.4070000000002</v>
      </c>
      <c r="O31" s="378">
        <v>2307.4070000000002</v>
      </c>
      <c r="P31" s="378">
        <v>0</v>
      </c>
      <c r="Q31" s="379">
        <v>2307.4070000000002</v>
      </c>
      <c r="S31" s="387"/>
    </row>
    <row r="32" spans="1:19" s="395" customFormat="1" x14ac:dyDescent="0.25">
      <c r="A32" s="384">
        <v>25</v>
      </c>
      <c r="B32" s="398" t="s">
        <v>471</v>
      </c>
      <c r="C32" s="386"/>
      <c r="D32" s="376">
        <v>0</v>
      </c>
      <c r="E32" s="376">
        <v>0</v>
      </c>
      <c r="F32" s="376">
        <v>0</v>
      </c>
      <c r="G32" s="376">
        <v>0</v>
      </c>
      <c r="H32" s="376">
        <v>289.65800000000002</v>
      </c>
      <c r="I32" s="376">
        <v>0</v>
      </c>
      <c r="J32" s="377">
        <v>289.65800000000002</v>
      </c>
      <c r="K32" s="378">
        <v>0</v>
      </c>
      <c r="L32" s="378">
        <v>0</v>
      </c>
      <c r="M32" s="378">
        <v>0</v>
      </c>
      <c r="N32" s="378">
        <v>700.48800000000006</v>
      </c>
      <c r="O32" s="378">
        <v>700.48800000000006</v>
      </c>
      <c r="P32" s="378">
        <v>0</v>
      </c>
      <c r="Q32" s="379">
        <v>700.48800000000006</v>
      </c>
      <c r="S32" s="387"/>
    </row>
    <row r="33" spans="1:20" s="395" customFormat="1" x14ac:dyDescent="0.25">
      <c r="A33" s="384">
        <v>26</v>
      </c>
      <c r="B33" s="398" t="s">
        <v>472</v>
      </c>
      <c r="C33" s="386"/>
      <c r="D33" s="376">
        <v>29.12</v>
      </c>
      <c r="E33" s="376">
        <v>0</v>
      </c>
      <c r="F33" s="376">
        <v>0</v>
      </c>
      <c r="G33" s="376">
        <v>68.47</v>
      </c>
      <c r="H33" s="376">
        <v>1668.768</v>
      </c>
      <c r="I33" s="376">
        <v>0</v>
      </c>
      <c r="J33" s="377">
        <v>1766.3579999999999</v>
      </c>
      <c r="K33" s="378">
        <v>0</v>
      </c>
      <c r="L33" s="378">
        <v>0</v>
      </c>
      <c r="M33" s="378">
        <v>250</v>
      </c>
      <c r="N33" s="378">
        <v>1536.19</v>
      </c>
      <c r="O33" s="378">
        <v>1536.19</v>
      </c>
      <c r="P33" s="378">
        <v>0</v>
      </c>
      <c r="Q33" s="379">
        <v>1786.19</v>
      </c>
      <c r="S33" s="387"/>
    </row>
    <row r="34" spans="1:20" s="395" customFormat="1" x14ac:dyDescent="0.25">
      <c r="A34" s="384">
        <v>27</v>
      </c>
      <c r="B34" s="398" t="s">
        <v>473</v>
      </c>
      <c r="C34" s="386"/>
      <c r="D34" s="376">
        <v>0</v>
      </c>
      <c r="E34" s="376">
        <v>0</v>
      </c>
      <c r="F34" s="376">
        <v>0</v>
      </c>
      <c r="G34" s="376">
        <v>0</v>
      </c>
      <c r="H34" s="376">
        <v>38.97</v>
      </c>
      <c r="I34" s="376">
        <v>0</v>
      </c>
      <c r="J34" s="377">
        <v>38.97</v>
      </c>
      <c r="K34" s="378">
        <v>0</v>
      </c>
      <c r="L34" s="378">
        <v>0</v>
      </c>
      <c r="M34" s="378">
        <v>0</v>
      </c>
      <c r="N34" s="378">
        <v>40</v>
      </c>
      <c r="O34" s="378">
        <v>40</v>
      </c>
      <c r="P34" s="378">
        <v>0</v>
      </c>
      <c r="Q34" s="379">
        <v>40</v>
      </c>
      <c r="S34" s="387"/>
    </row>
    <row r="35" spans="1:20" s="395" customFormat="1" x14ac:dyDescent="0.25">
      <c r="A35" s="384">
        <v>28</v>
      </c>
      <c r="B35" s="398" t="s">
        <v>474</v>
      </c>
      <c r="C35" s="386"/>
      <c r="D35" s="376">
        <v>0</v>
      </c>
      <c r="E35" s="376">
        <v>0</v>
      </c>
      <c r="F35" s="376">
        <v>0</v>
      </c>
      <c r="G35" s="376">
        <v>0</v>
      </c>
      <c r="H35" s="376">
        <v>3168.8980000000001</v>
      </c>
      <c r="I35" s="376">
        <v>0</v>
      </c>
      <c r="J35" s="377">
        <v>3168.8980000000001</v>
      </c>
      <c r="K35" s="461">
        <v>0</v>
      </c>
      <c r="L35" s="461">
        <v>0</v>
      </c>
      <c r="M35" s="461">
        <v>0</v>
      </c>
      <c r="N35" s="461">
        <v>0</v>
      </c>
      <c r="O35" s="461">
        <v>0</v>
      </c>
      <c r="P35" s="461">
        <v>0</v>
      </c>
      <c r="Q35" s="462">
        <v>0</v>
      </c>
      <c r="S35" s="397"/>
    </row>
    <row r="36" spans="1:20" s="395" customFormat="1" x14ac:dyDescent="0.25">
      <c r="A36" s="384">
        <v>29</v>
      </c>
      <c r="B36" s="398" t="s">
        <v>475</v>
      </c>
      <c r="C36" s="386"/>
      <c r="D36" s="376">
        <v>0</v>
      </c>
      <c r="E36" s="376">
        <v>0</v>
      </c>
      <c r="F36" s="376">
        <v>0</v>
      </c>
      <c r="G36" s="376">
        <v>0</v>
      </c>
      <c r="H36" s="376">
        <v>304.92</v>
      </c>
      <c r="I36" s="376">
        <v>0</v>
      </c>
      <c r="J36" s="377">
        <v>304.92</v>
      </c>
      <c r="K36" s="378">
        <v>0</v>
      </c>
      <c r="L36" s="378">
        <v>0</v>
      </c>
      <c r="M36" s="378">
        <v>0</v>
      </c>
      <c r="N36" s="378">
        <v>1975.877</v>
      </c>
      <c r="O36" s="378">
        <v>1975.877</v>
      </c>
      <c r="P36" s="378">
        <v>0</v>
      </c>
      <c r="Q36" s="379">
        <v>1975.877</v>
      </c>
      <c r="S36" s="387"/>
    </row>
    <row r="37" spans="1:20" s="395" customFormat="1" x14ac:dyDescent="0.25">
      <c r="A37" s="384">
        <v>30</v>
      </c>
      <c r="B37" s="388" t="s">
        <v>476</v>
      </c>
      <c r="C37" s="386"/>
      <c r="D37" s="376">
        <v>4153.027</v>
      </c>
      <c r="E37" s="376">
        <v>1049.8510000000001</v>
      </c>
      <c r="F37" s="376">
        <v>37.506999999999998</v>
      </c>
      <c r="G37" s="376">
        <v>0</v>
      </c>
      <c r="H37" s="376">
        <v>0</v>
      </c>
      <c r="I37" s="376">
        <v>0</v>
      </c>
      <c r="J37" s="377">
        <v>5240.3850000000002</v>
      </c>
      <c r="K37" s="378">
        <v>5104.866</v>
      </c>
      <c r="L37" s="378">
        <v>546.55100000000004</v>
      </c>
      <c r="M37" s="378">
        <v>0</v>
      </c>
      <c r="N37" s="378">
        <v>0</v>
      </c>
      <c r="O37" s="378">
        <v>546.55100000000004</v>
      </c>
      <c r="P37" s="378">
        <v>0</v>
      </c>
      <c r="Q37" s="379">
        <v>5651.4170000000004</v>
      </c>
      <c r="S37" s="387"/>
    </row>
    <row r="38" spans="1:20" s="395" customFormat="1" x14ac:dyDescent="0.25">
      <c r="A38" s="384">
        <v>31</v>
      </c>
      <c r="B38" s="388" t="s">
        <v>477</v>
      </c>
      <c r="C38" s="386"/>
      <c r="D38" s="376">
        <v>0</v>
      </c>
      <c r="E38" s="376">
        <v>848.06799999999998</v>
      </c>
      <c r="F38" s="376">
        <v>0</v>
      </c>
      <c r="G38" s="376">
        <v>0</v>
      </c>
      <c r="H38" s="376">
        <v>0</v>
      </c>
      <c r="I38" s="376">
        <v>0</v>
      </c>
      <c r="J38" s="377">
        <v>848.06799999999998</v>
      </c>
      <c r="K38" s="378">
        <v>0</v>
      </c>
      <c r="L38" s="378">
        <v>0</v>
      </c>
      <c r="M38" s="378">
        <v>0</v>
      </c>
      <c r="N38" s="378">
        <v>0</v>
      </c>
      <c r="O38" s="378">
        <v>0</v>
      </c>
      <c r="P38" s="378">
        <v>0</v>
      </c>
      <c r="Q38" s="379">
        <v>0</v>
      </c>
      <c r="S38" s="387"/>
    </row>
    <row r="39" spans="1:20" s="395" customFormat="1" x14ac:dyDescent="0.25">
      <c r="A39" s="384">
        <v>32</v>
      </c>
      <c r="B39" s="388" t="s">
        <v>478</v>
      </c>
      <c r="C39" s="386"/>
      <c r="D39" s="376">
        <v>0</v>
      </c>
      <c r="E39" s="376">
        <v>0</v>
      </c>
      <c r="F39" s="376">
        <v>0</v>
      </c>
      <c r="G39" s="376">
        <v>0</v>
      </c>
      <c r="H39" s="376">
        <v>0</v>
      </c>
      <c r="I39" s="376">
        <v>0</v>
      </c>
      <c r="J39" s="377">
        <v>0</v>
      </c>
      <c r="K39" s="378">
        <v>0</v>
      </c>
      <c r="L39" s="378">
        <v>0</v>
      </c>
      <c r="M39" s="378">
        <v>0</v>
      </c>
      <c r="N39" s="378">
        <v>0</v>
      </c>
      <c r="O39" s="378">
        <v>0</v>
      </c>
      <c r="P39" s="378">
        <v>0</v>
      </c>
      <c r="Q39" s="379">
        <v>0</v>
      </c>
      <c r="S39" s="387"/>
    </row>
    <row r="40" spans="1:20" s="395" customFormat="1" ht="30" x14ac:dyDescent="0.25">
      <c r="A40" s="384">
        <v>33</v>
      </c>
      <c r="B40" s="388" t="s">
        <v>479</v>
      </c>
      <c r="C40" s="386"/>
      <c r="D40" s="376">
        <v>0.46300000000000002</v>
      </c>
      <c r="E40" s="376">
        <v>0</v>
      </c>
      <c r="F40" s="376">
        <v>8.61</v>
      </c>
      <c r="G40" s="376">
        <v>0</v>
      </c>
      <c r="H40" s="376">
        <v>0</v>
      </c>
      <c r="I40" s="376">
        <v>0</v>
      </c>
      <c r="J40" s="377">
        <v>9.0729999999999986</v>
      </c>
      <c r="K40" s="378">
        <v>0</v>
      </c>
      <c r="L40" s="378">
        <v>0</v>
      </c>
      <c r="M40" s="378">
        <v>0</v>
      </c>
      <c r="N40" s="378">
        <v>0</v>
      </c>
      <c r="O40" s="378">
        <v>0</v>
      </c>
      <c r="P40" s="378">
        <v>0</v>
      </c>
      <c r="Q40" s="379">
        <v>0</v>
      </c>
      <c r="S40" s="387"/>
    </row>
    <row r="41" spans="1:20" x14ac:dyDescent="0.25">
      <c r="A41" s="373">
        <v>34</v>
      </c>
      <c r="B41" s="374" t="s">
        <v>480</v>
      </c>
      <c r="C41" s="375"/>
      <c r="D41" s="376">
        <v>0</v>
      </c>
      <c r="E41" s="376">
        <v>512.44100000000003</v>
      </c>
      <c r="F41" s="376">
        <v>7.4980000000000002</v>
      </c>
      <c r="G41" s="376">
        <v>0</v>
      </c>
      <c r="H41" s="376">
        <v>25938.665000000001</v>
      </c>
      <c r="I41" s="376">
        <v>0</v>
      </c>
      <c r="J41" s="377">
        <v>26458.603999999999</v>
      </c>
      <c r="K41" s="378">
        <v>1378.3138200000001</v>
      </c>
      <c r="L41" s="378">
        <v>147.56877000000003</v>
      </c>
      <c r="M41" s="378">
        <v>0</v>
      </c>
      <c r="N41" s="378">
        <v>0</v>
      </c>
      <c r="O41" s="378">
        <v>147.56877000000003</v>
      </c>
      <c r="P41" s="378">
        <v>0</v>
      </c>
      <c r="Q41" s="379">
        <v>1525.8825900000002</v>
      </c>
    </row>
    <row r="42" spans="1:20" x14ac:dyDescent="0.25">
      <c r="A42" s="373">
        <v>35</v>
      </c>
      <c r="B42" s="374" t="s">
        <v>481</v>
      </c>
      <c r="C42" s="375"/>
      <c r="D42" s="376">
        <v>0</v>
      </c>
      <c r="E42" s="376">
        <v>1.218</v>
      </c>
      <c r="F42" s="376">
        <v>8.2000000000000003E-2</v>
      </c>
      <c r="G42" s="376">
        <v>1E-3</v>
      </c>
      <c r="H42" s="376">
        <v>227.964</v>
      </c>
      <c r="I42" s="376">
        <v>1.409</v>
      </c>
      <c r="J42" s="377">
        <v>230.67399999999998</v>
      </c>
      <c r="K42" s="378">
        <v>0</v>
      </c>
      <c r="L42" s="378">
        <v>0</v>
      </c>
      <c r="M42" s="378">
        <v>0</v>
      </c>
      <c r="N42" s="378">
        <v>0</v>
      </c>
      <c r="O42" s="378">
        <v>0</v>
      </c>
      <c r="P42" s="378">
        <v>0</v>
      </c>
      <c r="Q42" s="379">
        <v>0</v>
      </c>
    </row>
    <row r="43" spans="1:20" s="403" customFormat="1" ht="30" x14ac:dyDescent="0.25">
      <c r="A43" s="390">
        <v>36</v>
      </c>
      <c r="B43" s="391" t="s">
        <v>482</v>
      </c>
      <c r="C43" s="392">
        <v>0</v>
      </c>
      <c r="D43" s="392">
        <v>4243.21</v>
      </c>
      <c r="E43" s="392">
        <v>2411.578</v>
      </c>
      <c r="F43" s="392">
        <v>104.59699999999999</v>
      </c>
      <c r="G43" s="392">
        <v>68.471000000000004</v>
      </c>
      <c r="H43" s="392">
        <v>36256.249000000003</v>
      </c>
      <c r="I43" s="392">
        <v>1.409</v>
      </c>
      <c r="J43" s="392">
        <v>43085.513999999996</v>
      </c>
      <c r="K43" s="392">
        <v>6483.1798200000003</v>
      </c>
      <c r="L43" s="392">
        <v>694.11977000000002</v>
      </c>
      <c r="M43" s="392">
        <v>250</v>
      </c>
      <c r="N43" s="392">
        <v>6559.9620000000014</v>
      </c>
      <c r="O43" s="392">
        <v>7254.0817700000016</v>
      </c>
      <c r="P43" s="392">
        <v>0</v>
      </c>
      <c r="Q43" s="392">
        <v>13987.261590000002</v>
      </c>
      <c r="R43" s="402"/>
      <c r="S43" s="360"/>
    </row>
    <row r="44" spans="1:20" x14ac:dyDescent="0.25">
      <c r="A44" s="404">
        <v>37</v>
      </c>
      <c r="B44" s="405" t="s">
        <v>483</v>
      </c>
      <c r="C44" s="375"/>
      <c r="D44" s="376">
        <v>0</v>
      </c>
      <c r="E44" s="376">
        <v>0</v>
      </c>
      <c r="F44" s="376">
        <v>0</v>
      </c>
      <c r="G44" s="376">
        <v>0</v>
      </c>
      <c r="H44" s="376">
        <v>0</v>
      </c>
      <c r="I44" s="376">
        <v>0</v>
      </c>
      <c r="J44" s="377">
        <v>0</v>
      </c>
      <c r="K44" s="378">
        <v>0</v>
      </c>
      <c r="L44" s="378">
        <v>0</v>
      </c>
      <c r="M44" s="378">
        <v>0</v>
      </c>
      <c r="N44" s="378">
        <v>0</v>
      </c>
      <c r="O44" s="378">
        <v>0</v>
      </c>
      <c r="P44" s="378">
        <v>0</v>
      </c>
      <c r="Q44" s="379">
        <v>0</v>
      </c>
      <c r="T44"/>
    </row>
    <row r="45" spans="1:20" ht="30" x14ac:dyDescent="0.25">
      <c r="A45" s="373">
        <v>38</v>
      </c>
      <c r="B45" s="374" t="s">
        <v>484</v>
      </c>
      <c r="C45" s="375"/>
      <c r="D45" s="376">
        <v>313</v>
      </c>
      <c r="E45" s="376">
        <v>0</v>
      </c>
      <c r="F45" s="376">
        <v>0</v>
      </c>
      <c r="G45" s="376">
        <v>0</v>
      </c>
      <c r="H45" s="376">
        <v>0</v>
      </c>
      <c r="I45" s="376">
        <v>0</v>
      </c>
      <c r="J45" s="377">
        <v>313</v>
      </c>
      <c r="K45" s="378">
        <v>0</v>
      </c>
      <c r="L45" s="378">
        <v>0</v>
      </c>
      <c r="M45" s="378">
        <v>0</v>
      </c>
      <c r="N45" s="378">
        <v>12500</v>
      </c>
      <c r="O45" s="378">
        <v>12500</v>
      </c>
      <c r="P45" s="378">
        <v>0</v>
      </c>
      <c r="Q45" s="379">
        <v>12500</v>
      </c>
    </row>
    <row r="46" spans="1:20" ht="30" x14ac:dyDescent="0.25">
      <c r="A46" s="373">
        <v>39</v>
      </c>
      <c r="B46" s="374" t="s">
        <v>485</v>
      </c>
      <c r="C46" s="375">
        <v>0</v>
      </c>
      <c r="D46" s="376">
        <v>0</v>
      </c>
      <c r="E46" s="376">
        <v>0</v>
      </c>
      <c r="F46" s="376">
        <v>0</v>
      </c>
      <c r="G46" s="376">
        <v>0</v>
      </c>
      <c r="H46" s="376">
        <v>11442.049000000001</v>
      </c>
      <c r="I46" s="376">
        <v>0</v>
      </c>
      <c r="J46" s="377">
        <v>11442.049000000001</v>
      </c>
      <c r="K46" s="378">
        <v>0</v>
      </c>
      <c r="L46" s="378">
        <v>0</v>
      </c>
      <c r="M46" s="378">
        <v>0</v>
      </c>
      <c r="N46" s="378">
        <v>11561.272000000001</v>
      </c>
      <c r="O46" s="378">
        <v>11561.272000000001</v>
      </c>
      <c r="P46" s="378">
        <v>0</v>
      </c>
      <c r="Q46" s="379">
        <v>11561.272000000001</v>
      </c>
    </row>
    <row r="47" spans="1:20" s="395" customFormat="1" x14ac:dyDescent="0.25">
      <c r="A47" s="384">
        <v>40</v>
      </c>
      <c r="B47" s="388" t="s">
        <v>486</v>
      </c>
      <c r="C47" s="386"/>
      <c r="D47" s="376">
        <v>0</v>
      </c>
      <c r="E47" s="376">
        <v>0</v>
      </c>
      <c r="F47" s="376">
        <v>0</v>
      </c>
      <c r="G47" s="376">
        <v>0</v>
      </c>
      <c r="H47" s="376">
        <v>3645.9</v>
      </c>
      <c r="I47" s="376">
        <v>0</v>
      </c>
      <c r="J47" s="377">
        <v>3645.9</v>
      </c>
      <c r="K47" s="378">
        <v>0</v>
      </c>
      <c r="L47" s="378">
        <v>0</v>
      </c>
      <c r="M47" s="378">
        <v>0</v>
      </c>
      <c r="N47" s="378">
        <v>4018.8</v>
      </c>
      <c r="O47" s="378">
        <v>4018.8</v>
      </c>
      <c r="P47" s="378">
        <v>0</v>
      </c>
      <c r="Q47" s="379">
        <v>4018.8</v>
      </c>
      <c r="S47" s="387"/>
    </row>
    <row r="48" spans="1:20" s="395" customFormat="1" x14ac:dyDescent="0.25">
      <c r="A48" s="384">
        <v>41</v>
      </c>
      <c r="B48" s="406" t="s">
        <v>487</v>
      </c>
      <c r="C48" s="386"/>
      <c r="D48" s="376">
        <v>0</v>
      </c>
      <c r="E48" s="376">
        <v>0</v>
      </c>
      <c r="F48" s="376">
        <v>0</v>
      </c>
      <c r="G48" s="376">
        <v>0</v>
      </c>
      <c r="H48" s="376">
        <v>7796.1490000000003</v>
      </c>
      <c r="I48" s="376">
        <v>0</v>
      </c>
      <c r="J48" s="377">
        <v>7796.1490000000003</v>
      </c>
      <c r="K48" s="378">
        <v>0</v>
      </c>
      <c r="L48" s="378">
        <v>0</v>
      </c>
      <c r="M48" s="378">
        <v>0</v>
      </c>
      <c r="N48" s="378">
        <v>7542.4719999999998</v>
      </c>
      <c r="O48" s="378">
        <f>7542.472-2668</f>
        <v>4874.4719999999998</v>
      </c>
      <c r="P48" s="378">
        <v>0</v>
      </c>
      <c r="Q48" s="379">
        <v>4874</v>
      </c>
      <c r="S48" s="387"/>
    </row>
    <row r="49" spans="1:19" s="395" customFormat="1" x14ac:dyDescent="0.25">
      <c r="A49" s="384">
        <v>42</v>
      </c>
      <c r="B49" s="406" t="s">
        <v>660</v>
      </c>
      <c r="C49" s="386"/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7">
        <v>0</v>
      </c>
      <c r="K49" s="378">
        <v>0</v>
      </c>
      <c r="L49" s="378">
        <v>0</v>
      </c>
      <c r="M49" s="378">
        <v>0</v>
      </c>
      <c r="N49" s="378">
        <v>0</v>
      </c>
      <c r="O49" s="378">
        <v>2668</v>
      </c>
      <c r="P49" s="378">
        <v>0</v>
      </c>
      <c r="Q49" s="379">
        <v>2668</v>
      </c>
      <c r="S49" s="387"/>
    </row>
    <row r="50" spans="1:19" x14ac:dyDescent="0.25">
      <c r="A50" s="390">
        <v>43</v>
      </c>
      <c r="B50" s="391" t="s">
        <v>488</v>
      </c>
      <c r="C50" s="392">
        <v>0</v>
      </c>
      <c r="D50" s="392">
        <v>4583.7730000000001</v>
      </c>
      <c r="E50" s="392">
        <v>2411.578</v>
      </c>
      <c r="F50" s="392">
        <v>104.59699999999999</v>
      </c>
      <c r="G50" s="392">
        <v>68.471000000000004</v>
      </c>
      <c r="H50" s="392">
        <v>244828.394</v>
      </c>
      <c r="I50" s="392">
        <v>1.409</v>
      </c>
      <c r="J50" s="392">
        <v>251998.22199999998</v>
      </c>
      <c r="K50" s="392">
        <v>6483.1798200000003</v>
      </c>
      <c r="L50" s="392">
        <v>694.11977000000002</v>
      </c>
      <c r="M50" s="392">
        <v>250</v>
      </c>
      <c r="N50" s="392">
        <v>144964.09900000002</v>
      </c>
      <c r="O50" s="392">
        <v>145658.21877000001</v>
      </c>
      <c r="P50" s="392">
        <v>0</v>
      </c>
      <c r="Q50" s="392">
        <v>152391.39859000003</v>
      </c>
    </row>
    <row r="51" spans="1:19" x14ac:dyDescent="0.25">
      <c r="A51" s="373">
        <v>44</v>
      </c>
      <c r="B51" s="374" t="s">
        <v>489</v>
      </c>
      <c r="C51" s="375"/>
      <c r="D51" s="376">
        <v>0</v>
      </c>
      <c r="E51" s="376">
        <v>0</v>
      </c>
      <c r="F51" s="376">
        <v>0</v>
      </c>
      <c r="G51" s="376">
        <v>0</v>
      </c>
      <c r="H51" s="376">
        <v>0</v>
      </c>
      <c r="I51" s="376">
        <v>0</v>
      </c>
      <c r="J51" s="377">
        <v>0</v>
      </c>
      <c r="K51" s="378">
        <v>0</v>
      </c>
      <c r="L51" s="378">
        <v>0</v>
      </c>
      <c r="M51" s="378">
        <v>0</v>
      </c>
      <c r="N51" s="378">
        <v>0</v>
      </c>
      <c r="O51" s="378">
        <v>0</v>
      </c>
      <c r="P51" s="378">
        <v>0</v>
      </c>
      <c r="Q51" s="379">
        <v>0</v>
      </c>
    </row>
    <row r="52" spans="1:19" x14ac:dyDescent="0.25">
      <c r="A52" s="373">
        <v>45</v>
      </c>
      <c r="B52" s="374" t="s">
        <v>490</v>
      </c>
      <c r="C52" s="375"/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7">
        <v>0</v>
      </c>
      <c r="K52" s="378">
        <v>0</v>
      </c>
      <c r="L52" s="378">
        <v>0</v>
      </c>
      <c r="M52" s="378">
        <v>0</v>
      </c>
      <c r="N52" s="378">
        <v>0</v>
      </c>
      <c r="O52" s="378">
        <v>0</v>
      </c>
      <c r="P52" s="378">
        <v>0</v>
      </c>
      <c r="Q52" s="379">
        <v>0</v>
      </c>
    </row>
    <row r="53" spans="1:19" x14ac:dyDescent="0.25">
      <c r="A53" s="373">
        <v>46</v>
      </c>
      <c r="B53" s="374" t="s">
        <v>491</v>
      </c>
      <c r="C53" s="375"/>
      <c r="D53" s="376">
        <v>0</v>
      </c>
      <c r="E53" s="376">
        <v>0</v>
      </c>
      <c r="F53" s="376">
        <v>0</v>
      </c>
      <c r="G53" s="376">
        <v>0</v>
      </c>
      <c r="H53" s="376">
        <v>0</v>
      </c>
      <c r="I53" s="376">
        <v>0</v>
      </c>
      <c r="J53" s="377">
        <v>0</v>
      </c>
      <c r="K53" s="378">
        <v>0</v>
      </c>
      <c r="L53" s="378">
        <v>0</v>
      </c>
      <c r="M53" s="378">
        <v>0</v>
      </c>
      <c r="N53" s="378">
        <v>0</v>
      </c>
      <c r="O53" s="378">
        <v>0</v>
      </c>
      <c r="P53" s="378">
        <v>0</v>
      </c>
      <c r="Q53" s="379">
        <v>0</v>
      </c>
    </row>
    <row r="54" spans="1:19" x14ac:dyDescent="0.25">
      <c r="A54" s="373">
        <v>47</v>
      </c>
      <c r="B54" s="374" t="s">
        <v>492</v>
      </c>
      <c r="C54" s="375"/>
      <c r="D54" s="376">
        <v>0</v>
      </c>
      <c r="E54" s="376">
        <v>0</v>
      </c>
      <c r="F54" s="376">
        <v>0</v>
      </c>
      <c r="G54" s="376">
        <v>0</v>
      </c>
      <c r="H54" s="376">
        <v>0</v>
      </c>
      <c r="I54" s="376">
        <v>0</v>
      </c>
      <c r="J54" s="377">
        <v>0</v>
      </c>
      <c r="K54" s="378">
        <v>0</v>
      </c>
      <c r="L54" s="378">
        <v>0</v>
      </c>
      <c r="M54" s="378">
        <v>0</v>
      </c>
      <c r="N54" s="378">
        <v>0</v>
      </c>
      <c r="O54" s="378">
        <v>0</v>
      </c>
      <c r="P54" s="378">
        <v>0</v>
      </c>
      <c r="Q54" s="379">
        <v>0</v>
      </c>
    </row>
    <row r="55" spans="1:19" x14ac:dyDescent="0.25">
      <c r="A55" s="373">
        <v>48</v>
      </c>
      <c r="B55" s="374" t="s">
        <v>493</v>
      </c>
      <c r="C55" s="375">
        <v>0</v>
      </c>
      <c r="D55" s="376">
        <v>0</v>
      </c>
      <c r="E55" s="376">
        <v>0</v>
      </c>
      <c r="F55" s="376">
        <v>0</v>
      </c>
      <c r="G55" s="376">
        <v>0</v>
      </c>
      <c r="H55" s="376">
        <v>332.12199999999996</v>
      </c>
      <c r="I55" s="376">
        <v>0</v>
      </c>
      <c r="J55" s="377">
        <v>332.12199999999996</v>
      </c>
      <c r="K55" s="378">
        <v>0</v>
      </c>
      <c r="L55" s="378">
        <v>0</v>
      </c>
      <c r="M55" s="378">
        <v>0</v>
      </c>
      <c r="N55" s="378">
        <v>400</v>
      </c>
      <c r="O55" s="378">
        <v>400</v>
      </c>
      <c r="P55" s="378">
        <v>0</v>
      </c>
      <c r="Q55" s="379">
        <v>400</v>
      </c>
    </row>
    <row r="56" spans="1:19" s="395" customFormat="1" x14ac:dyDescent="0.25">
      <c r="A56" s="384">
        <v>49</v>
      </c>
      <c r="B56" s="388" t="s">
        <v>494</v>
      </c>
      <c r="C56" s="386"/>
      <c r="D56" s="376">
        <v>0</v>
      </c>
      <c r="E56" s="376">
        <v>0</v>
      </c>
      <c r="F56" s="376">
        <v>0</v>
      </c>
      <c r="G56" s="376">
        <v>0</v>
      </c>
      <c r="H56" s="376">
        <v>128.249</v>
      </c>
      <c r="I56" s="376">
        <v>0</v>
      </c>
      <c r="J56" s="377">
        <v>128.249</v>
      </c>
      <c r="K56" s="378">
        <v>0</v>
      </c>
      <c r="L56" s="378">
        <v>0</v>
      </c>
      <c r="M56" s="378">
        <v>0</v>
      </c>
      <c r="N56" s="378">
        <v>150</v>
      </c>
      <c r="O56" s="378">
        <v>150</v>
      </c>
      <c r="P56" s="378">
        <v>0</v>
      </c>
      <c r="Q56" s="379">
        <v>150</v>
      </c>
      <c r="S56" s="387"/>
    </row>
    <row r="57" spans="1:19" s="395" customFormat="1" x14ac:dyDescent="0.25">
      <c r="A57" s="384">
        <v>50</v>
      </c>
      <c r="B57" s="388" t="s">
        <v>495</v>
      </c>
      <c r="C57" s="386"/>
      <c r="D57" s="376">
        <v>0</v>
      </c>
      <c r="E57" s="376">
        <v>0</v>
      </c>
      <c r="F57" s="376">
        <v>0</v>
      </c>
      <c r="G57" s="376">
        <v>0</v>
      </c>
      <c r="H57" s="376">
        <v>203.87299999999999</v>
      </c>
      <c r="I57" s="376">
        <v>0</v>
      </c>
      <c r="J57" s="377">
        <v>203.87299999999999</v>
      </c>
      <c r="K57" s="378">
        <v>0</v>
      </c>
      <c r="L57" s="378">
        <v>0</v>
      </c>
      <c r="M57" s="378">
        <v>0</v>
      </c>
      <c r="N57" s="378">
        <v>250</v>
      </c>
      <c r="O57" s="378">
        <v>250</v>
      </c>
      <c r="P57" s="378">
        <v>0</v>
      </c>
      <c r="Q57" s="379">
        <v>250</v>
      </c>
      <c r="S57" s="387"/>
    </row>
    <row r="58" spans="1:19" s="395" customFormat="1" x14ac:dyDescent="0.25">
      <c r="A58" s="384">
        <v>51</v>
      </c>
      <c r="B58" s="388" t="s">
        <v>496</v>
      </c>
      <c r="C58" s="407"/>
      <c r="D58" s="376">
        <v>0</v>
      </c>
      <c r="E58" s="376">
        <v>0</v>
      </c>
      <c r="F58" s="376">
        <v>0</v>
      </c>
      <c r="G58" s="376">
        <v>0</v>
      </c>
      <c r="H58" s="376">
        <v>0</v>
      </c>
      <c r="I58" s="376">
        <v>0</v>
      </c>
      <c r="J58" s="377">
        <v>0</v>
      </c>
      <c r="K58" s="378">
        <v>0</v>
      </c>
      <c r="L58" s="378">
        <v>0</v>
      </c>
      <c r="M58" s="378">
        <v>0</v>
      </c>
      <c r="N58" s="378">
        <v>0</v>
      </c>
      <c r="O58" s="378">
        <v>0</v>
      </c>
      <c r="P58" s="378">
        <v>0</v>
      </c>
      <c r="Q58" s="379">
        <v>0</v>
      </c>
      <c r="S58" s="387"/>
    </row>
    <row r="59" spans="1:19" ht="30" x14ac:dyDescent="0.25">
      <c r="A59" s="373">
        <v>52</v>
      </c>
      <c r="B59" s="374" t="s">
        <v>497</v>
      </c>
      <c r="C59" s="375"/>
      <c r="D59" s="376">
        <v>0</v>
      </c>
      <c r="E59" s="376">
        <v>0</v>
      </c>
      <c r="F59" s="376">
        <v>0</v>
      </c>
      <c r="G59" s="376">
        <v>0</v>
      </c>
      <c r="H59" s="376">
        <v>0</v>
      </c>
      <c r="I59" s="376">
        <v>0</v>
      </c>
      <c r="J59" s="377">
        <v>0</v>
      </c>
      <c r="K59" s="378">
        <v>0</v>
      </c>
      <c r="L59" s="378">
        <v>0</v>
      </c>
      <c r="M59" s="378">
        <v>0</v>
      </c>
      <c r="N59" s="378">
        <v>0</v>
      </c>
      <c r="O59" s="378">
        <v>0</v>
      </c>
      <c r="P59" s="378">
        <v>0</v>
      </c>
      <c r="Q59" s="379">
        <v>0</v>
      </c>
    </row>
    <row r="60" spans="1:19" s="403" customFormat="1" ht="30" x14ac:dyDescent="0.25">
      <c r="A60" s="390">
        <v>53</v>
      </c>
      <c r="B60" s="391" t="s">
        <v>498</v>
      </c>
      <c r="C60" s="392">
        <v>0</v>
      </c>
      <c r="D60" s="392">
        <v>0</v>
      </c>
      <c r="E60" s="392">
        <v>0</v>
      </c>
      <c r="F60" s="392">
        <v>0</v>
      </c>
      <c r="G60" s="392">
        <v>0</v>
      </c>
      <c r="H60" s="392">
        <v>332.12199999999996</v>
      </c>
      <c r="I60" s="392">
        <v>0</v>
      </c>
      <c r="J60" s="392">
        <v>332.12199999999996</v>
      </c>
      <c r="K60" s="392">
        <v>0</v>
      </c>
      <c r="L60" s="392">
        <v>0</v>
      </c>
      <c r="M60" s="392">
        <v>0</v>
      </c>
      <c r="N60" s="392">
        <v>400</v>
      </c>
      <c r="O60" s="392">
        <v>400</v>
      </c>
      <c r="P60" s="392">
        <v>0</v>
      </c>
      <c r="Q60" s="392">
        <v>400</v>
      </c>
      <c r="S60" s="360"/>
    </row>
    <row r="61" spans="1:19" s="403" customFormat="1" x14ac:dyDescent="0.25">
      <c r="A61" s="404">
        <v>54</v>
      </c>
      <c r="B61" s="405" t="s">
        <v>499</v>
      </c>
      <c r="C61" s="408"/>
      <c r="D61" s="376">
        <v>0</v>
      </c>
      <c r="E61" s="376">
        <v>0</v>
      </c>
      <c r="F61" s="376">
        <v>0</v>
      </c>
      <c r="G61" s="376">
        <v>0</v>
      </c>
      <c r="H61" s="376">
        <v>0</v>
      </c>
      <c r="I61" s="376">
        <v>0</v>
      </c>
      <c r="J61" s="377">
        <v>0</v>
      </c>
      <c r="K61" s="378">
        <v>0</v>
      </c>
      <c r="L61" s="378">
        <v>0</v>
      </c>
      <c r="M61" s="378">
        <v>0</v>
      </c>
      <c r="N61" s="378">
        <v>0</v>
      </c>
      <c r="O61" s="378">
        <v>0</v>
      </c>
      <c r="P61" s="378">
        <v>0</v>
      </c>
      <c r="Q61" s="379">
        <v>0</v>
      </c>
      <c r="S61" s="360"/>
    </row>
    <row r="62" spans="1:19" ht="30" x14ac:dyDescent="0.25">
      <c r="A62" s="373">
        <v>55</v>
      </c>
      <c r="B62" s="374" t="s">
        <v>500</v>
      </c>
      <c r="C62" s="375"/>
      <c r="D62" s="376">
        <v>280.10700000000003</v>
      </c>
      <c r="E62" s="376">
        <v>0</v>
      </c>
      <c r="F62" s="376">
        <v>0</v>
      </c>
      <c r="G62" s="376">
        <v>0</v>
      </c>
      <c r="H62" s="376">
        <v>2407.5880000000002</v>
      </c>
      <c r="I62" s="376">
        <v>0</v>
      </c>
      <c r="J62" s="377">
        <v>2687.6950000000002</v>
      </c>
      <c r="K62" s="378">
        <v>0</v>
      </c>
      <c r="L62" s="378">
        <v>0</v>
      </c>
      <c r="M62" s="378">
        <v>0</v>
      </c>
      <c r="N62" s="378">
        <v>0</v>
      </c>
      <c r="O62" s="378">
        <v>0</v>
      </c>
      <c r="P62" s="378">
        <v>0</v>
      </c>
      <c r="Q62" s="379">
        <v>0</v>
      </c>
    </row>
    <row r="63" spans="1:19" ht="30" x14ac:dyDescent="0.25">
      <c r="A63" s="373">
        <v>56</v>
      </c>
      <c r="B63" s="374" t="s">
        <v>501</v>
      </c>
      <c r="C63" s="375">
        <v>0</v>
      </c>
      <c r="D63" s="376">
        <v>0</v>
      </c>
      <c r="E63" s="376">
        <v>0</v>
      </c>
      <c r="F63" s="376">
        <v>0</v>
      </c>
      <c r="G63" s="376">
        <v>0</v>
      </c>
      <c r="H63" s="376">
        <v>185517.524</v>
      </c>
      <c r="I63" s="376">
        <v>0</v>
      </c>
      <c r="J63" s="377">
        <v>185517.524</v>
      </c>
      <c r="K63" s="378">
        <v>0</v>
      </c>
      <c r="L63" s="378">
        <v>0</v>
      </c>
      <c r="M63" s="378">
        <v>0</v>
      </c>
      <c r="N63" s="378">
        <v>1453.2360000000001</v>
      </c>
      <c r="O63" s="378">
        <v>1453.2360000000001</v>
      </c>
      <c r="P63" s="378">
        <v>0</v>
      </c>
      <c r="Q63" s="379">
        <v>1453.2360000000001</v>
      </c>
    </row>
    <row r="64" spans="1:19" s="395" customFormat="1" ht="30" x14ac:dyDescent="0.25">
      <c r="A64" s="384">
        <v>57</v>
      </c>
      <c r="B64" s="388" t="s">
        <v>502</v>
      </c>
      <c r="C64" s="386"/>
      <c r="D64" s="376">
        <v>0</v>
      </c>
      <c r="E64" s="376">
        <v>0</v>
      </c>
      <c r="F64" s="376">
        <v>0</v>
      </c>
      <c r="G64" s="376">
        <v>0</v>
      </c>
      <c r="H64" s="376">
        <v>8801.6620000000003</v>
      </c>
      <c r="I64" s="376">
        <v>0</v>
      </c>
      <c r="J64" s="377">
        <v>8801.6620000000003</v>
      </c>
      <c r="K64" s="378">
        <v>0</v>
      </c>
      <c r="L64" s="378">
        <v>0</v>
      </c>
      <c r="M64" s="378">
        <v>0</v>
      </c>
      <c r="N64" s="378">
        <v>0</v>
      </c>
      <c r="O64" s="378">
        <v>0</v>
      </c>
      <c r="P64" s="378">
        <v>0</v>
      </c>
      <c r="Q64" s="379">
        <v>0</v>
      </c>
      <c r="S64" s="387"/>
    </row>
    <row r="65" spans="1:19" s="393" customFormat="1" ht="30" x14ac:dyDescent="0.25">
      <c r="A65" s="399">
        <v>58</v>
      </c>
      <c r="B65" s="409" t="s">
        <v>503</v>
      </c>
      <c r="C65" s="400"/>
      <c r="D65" s="376">
        <v>0</v>
      </c>
      <c r="E65" s="376">
        <v>0</v>
      </c>
      <c r="F65" s="376">
        <v>0</v>
      </c>
      <c r="G65" s="376">
        <v>0</v>
      </c>
      <c r="H65" s="376">
        <v>176715.86199999999</v>
      </c>
      <c r="I65" s="376">
        <v>0</v>
      </c>
      <c r="J65" s="377">
        <v>176715.86199999999</v>
      </c>
      <c r="K65" s="378">
        <v>0</v>
      </c>
      <c r="L65" s="378">
        <v>0</v>
      </c>
      <c r="M65" s="378">
        <v>0</v>
      </c>
      <c r="N65" s="378">
        <v>1453.2360000000001</v>
      </c>
      <c r="O65" s="378">
        <v>1453.2360000000001</v>
      </c>
      <c r="P65" s="378">
        <v>0</v>
      </c>
      <c r="Q65" s="379">
        <v>1453.2360000000001</v>
      </c>
      <c r="S65" s="401"/>
    </row>
    <row r="66" spans="1:19" x14ac:dyDescent="0.25">
      <c r="A66" s="390">
        <v>59</v>
      </c>
      <c r="B66" s="410" t="s">
        <v>504</v>
      </c>
      <c r="C66" s="411">
        <v>0</v>
      </c>
      <c r="D66" s="411">
        <v>280.10700000000003</v>
      </c>
      <c r="E66" s="411">
        <v>0</v>
      </c>
      <c r="F66" s="411">
        <v>0</v>
      </c>
      <c r="G66" s="411">
        <v>0</v>
      </c>
      <c r="H66" s="411">
        <v>188257.234</v>
      </c>
      <c r="I66" s="411">
        <v>0</v>
      </c>
      <c r="J66" s="411">
        <v>188537.34100000001</v>
      </c>
      <c r="K66" s="411">
        <v>0</v>
      </c>
      <c r="L66" s="411">
        <v>0</v>
      </c>
      <c r="M66" s="411">
        <v>0</v>
      </c>
      <c r="N66" s="411">
        <v>1853.2360000000001</v>
      </c>
      <c r="O66" s="411">
        <v>1853.2360000000001</v>
      </c>
      <c r="P66" s="411">
        <v>0</v>
      </c>
      <c r="Q66" s="411">
        <v>1853.2360000000001</v>
      </c>
    </row>
    <row r="67" spans="1:19" s="403" customFormat="1" ht="30" x14ac:dyDescent="0.25">
      <c r="A67" s="390">
        <v>60</v>
      </c>
      <c r="B67" s="391" t="s">
        <v>505</v>
      </c>
      <c r="C67" s="411"/>
      <c r="D67" s="411">
        <v>0</v>
      </c>
      <c r="E67" s="411">
        <v>0</v>
      </c>
      <c r="F67" s="411">
        <v>0</v>
      </c>
      <c r="G67" s="411">
        <v>0</v>
      </c>
      <c r="H67" s="411">
        <v>0</v>
      </c>
      <c r="I67" s="411">
        <v>0</v>
      </c>
      <c r="J67" s="411"/>
      <c r="K67" s="411">
        <v>0</v>
      </c>
      <c r="L67" s="411">
        <v>0</v>
      </c>
      <c r="M67" s="411">
        <v>0</v>
      </c>
      <c r="N67" s="411">
        <v>0</v>
      </c>
      <c r="O67" s="411">
        <v>0</v>
      </c>
      <c r="P67" s="411">
        <v>0</v>
      </c>
      <c r="Q67" s="411">
        <v>0</v>
      </c>
      <c r="S67" s="360"/>
    </row>
    <row r="68" spans="1:19" x14ac:dyDescent="0.25">
      <c r="A68" s="390">
        <v>61</v>
      </c>
      <c r="B68" s="391" t="s">
        <v>506</v>
      </c>
      <c r="C68" s="411">
        <v>0</v>
      </c>
      <c r="D68" s="411">
        <v>4863.88</v>
      </c>
      <c r="E68" s="411">
        <v>2411.578</v>
      </c>
      <c r="F68" s="411">
        <v>104.59699999999999</v>
      </c>
      <c r="G68" s="411">
        <v>68.471000000000004</v>
      </c>
      <c r="H68" s="411">
        <v>433085.62800000003</v>
      </c>
      <c r="I68" s="411">
        <v>1.409</v>
      </c>
      <c r="J68" s="411">
        <v>440535.56299999997</v>
      </c>
      <c r="K68" s="411">
        <v>6483.1798200000003</v>
      </c>
      <c r="L68" s="411">
        <v>694.11977000000002</v>
      </c>
      <c r="M68" s="411">
        <v>250</v>
      </c>
      <c r="N68" s="411">
        <v>146817.33500000002</v>
      </c>
      <c r="O68" s="411">
        <v>147511.45477000001</v>
      </c>
      <c r="P68" s="411">
        <v>0</v>
      </c>
      <c r="Q68" s="411">
        <v>154244.63459000003</v>
      </c>
    </row>
    <row r="69" spans="1:19" x14ac:dyDescent="0.25">
      <c r="A69" s="373">
        <v>62</v>
      </c>
      <c r="B69" s="374" t="s">
        <v>507</v>
      </c>
      <c r="C69" s="375">
        <v>0</v>
      </c>
      <c r="D69" s="376">
        <v>0</v>
      </c>
      <c r="E69" s="376">
        <v>0</v>
      </c>
      <c r="F69" s="376">
        <v>0</v>
      </c>
      <c r="G69" s="376">
        <v>0</v>
      </c>
      <c r="H69" s="376">
        <v>251305.24900000001</v>
      </c>
      <c r="I69" s="376">
        <v>0</v>
      </c>
      <c r="J69" s="377">
        <v>251305.24900000001</v>
      </c>
      <c r="K69" s="378">
        <v>0</v>
      </c>
      <c r="L69" s="378">
        <v>0</v>
      </c>
      <c r="M69" s="378">
        <v>0</v>
      </c>
      <c r="N69" s="378">
        <v>118553.02799999999</v>
      </c>
      <c r="O69" s="378">
        <v>118553.02799999999</v>
      </c>
      <c r="P69" s="378">
        <v>0</v>
      </c>
      <c r="Q69" s="379">
        <v>118553.02799999999</v>
      </c>
    </row>
    <row r="70" spans="1:19" s="395" customFormat="1" x14ac:dyDescent="0.25">
      <c r="A70" s="384">
        <v>63</v>
      </c>
      <c r="B70" s="388" t="s">
        <v>508</v>
      </c>
      <c r="C70" s="386"/>
      <c r="D70" s="376">
        <v>0</v>
      </c>
      <c r="E70" s="376">
        <v>0</v>
      </c>
      <c r="F70" s="376">
        <v>0</v>
      </c>
      <c r="G70" s="376">
        <v>0</v>
      </c>
      <c r="H70" s="376">
        <v>0</v>
      </c>
      <c r="I70" s="376">
        <v>0</v>
      </c>
      <c r="J70" s="377">
        <v>0</v>
      </c>
      <c r="K70" s="378">
        <v>0</v>
      </c>
      <c r="L70" s="378">
        <v>0</v>
      </c>
      <c r="M70" s="378">
        <v>0</v>
      </c>
      <c r="N70" s="378">
        <v>0</v>
      </c>
      <c r="O70" s="378">
        <v>0</v>
      </c>
      <c r="P70" s="378">
        <v>0</v>
      </c>
      <c r="Q70" s="379">
        <v>0</v>
      </c>
      <c r="S70" s="387"/>
    </row>
    <row r="71" spans="1:19" s="395" customFormat="1" x14ac:dyDescent="0.25">
      <c r="A71" s="384">
        <v>64</v>
      </c>
      <c r="B71" s="412" t="s">
        <v>509</v>
      </c>
      <c r="C71" s="386"/>
      <c r="D71" s="376">
        <v>0</v>
      </c>
      <c r="E71" s="376">
        <v>0</v>
      </c>
      <c r="F71" s="376">
        <v>0</v>
      </c>
      <c r="G71" s="376">
        <v>0</v>
      </c>
      <c r="H71" s="376">
        <v>13012.044</v>
      </c>
      <c r="I71" s="376">
        <v>0</v>
      </c>
      <c r="J71" s="377">
        <v>13012.044</v>
      </c>
      <c r="K71" s="378">
        <v>0</v>
      </c>
      <c r="L71" s="378">
        <v>0</v>
      </c>
      <c r="M71" s="378">
        <v>0</v>
      </c>
      <c r="N71" s="378">
        <v>0</v>
      </c>
      <c r="O71" s="378">
        <v>0</v>
      </c>
      <c r="P71" s="378">
        <v>0</v>
      </c>
      <c r="Q71" s="379">
        <v>0</v>
      </c>
      <c r="S71" s="387"/>
    </row>
    <row r="72" spans="1:19" s="395" customFormat="1" x14ac:dyDescent="0.25">
      <c r="A72" s="384">
        <v>65</v>
      </c>
      <c r="B72" s="413" t="s">
        <v>510</v>
      </c>
      <c r="C72" s="386"/>
      <c r="D72" s="376">
        <v>0</v>
      </c>
      <c r="E72" s="376">
        <v>0</v>
      </c>
      <c r="F72" s="376">
        <v>0</v>
      </c>
      <c r="G72" s="376">
        <v>0</v>
      </c>
      <c r="H72" s="376">
        <v>41621.620999999999</v>
      </c>
      <c r="I72" s="376">
        <v>0</v>
      </c>
      <c r="J72" s="377">
        <v>41621.620999999999</v>
      </c>
      <c r="K72" s="378">
        <v>0</v>
      </c>
      <c r="L72" s="378">
        <v>0</v>
      </c>
      <c r="M72" s="378">
        <v>0</v>
      </c>
      <c r="N72" s="378">
        <v>0</v>
      </c>
      <c r="O72" s="378">
        <v>0</v>
      </c>
      <c r="P72" s="378">
        <v>0</v>
      </c>
      <c r="Q72" s="379">
        <v>0</v>
      </c>
      <c r="S72" s="387"/>
    </row>
    <row r="73" spans="1:19" s="395" customFormat="1" x14ac:dyDescent="0.25">
      <c r="A73" s="384">
        <v>66</v>
      </c>
      <c r="B73" s="388" t="s">
        <v>129</v>
      </c>
      <c r="C73" s="386"/>
      <c r="D73" s="376">
        <v>0</v>
      </c>
      <c r="E73" s="376">
        <v>0</v>
      </c>
      <c r="F73" s="376">
        <v>0</v>
      </c>
      <c r="G73" s="376">
        <v>0</v>
      </c>
      <c r="H73" s="376">
        <v>0</v>
      </c>
      <c r="I73" s="376">
        <v>0</v>
      </c>
      <c r="J73" s="377">
        <v>0</v>
      </c>
      <c r="K73" s="378">
        <v>0</v>
      </c>
      <c r="L73" s="378">
        <v>0</v>
      </c>
      <c r="M73" s="378">
        <v>0</v>
      </c>
      <c r="N73" s="378">
        <v>0</v>
      </c>
      <c r="O73" s="378">
        <v>0</v>
      </c>
      <c r="P73" s="378">
        <v>0</v>
      </c>
      <c r="Q73" s="379">
        <v>0</v>
      </c>
      <c r="S73" s="387"/>
    </row>
    <row r="74" spans="1:19" s="395" customFormat="1" x14ac:dyDescent="0.25">
      <c r="A74" s="384">
        <v>67</v>
      </c>
      <c r="B74" s="398" t="s">
        <v>511</v>
      </c>
      <c r="C74" s="386"/>
      <c r="D74" s="376">
        <v>0</v>
      </c>
      <c r="E74" s="376">
        <v>0</v>
      </c>
      <c r="F74" s="376">
        <v>0</v>
      </c>
      <c r="G74" s="376">
        <v>0</v>
      </c>
      <c r="H74" s="376">
        <v>0</v>
      </c>
      <c r="I74" s="376">
        <v>0</v>
      </c>
      <c r="J74" s="377">
        <v>0</v>
      </c>
      <c r="K74" s="378">
        <v>0</v>
      </c>
      <c r="L74" s="378">
        <v>0</v>
      </c>
      <c r="M74" s="378">
        <v>0</v>
      </c>
      <c r="N74" s="378">
        <v>0</v>
      </c>
      <c r="O74" s="378">
        <v>0</v>
      </c>
      <c r="P74" s="378">
        <v>0</v>
      </c>
      <c r="Q74" s="379">
        <v>0</v>
      </c>
      <c r="S74" s="387"/>
    </row>
    <row r="75" spans="1:19" s="395" customFormat="1" x14ac:dyDescent="0.25">
      <c r="A75" s="384">
        <v>68</v>
      </c>
      <c r="B75" s="398" t="s">
        <v>512</v>
      </c>
      <c r="C75" s="386"/>
      <c r="D75" s="376">
        <v>0</v>
      </c>
      <c r="E75" s="376">
        <v>0</v>
      </c>
      <c r="F75" s="376">
        <v>0</v>
      </c>
      <c r="G75" s="376">
        <v>0</v>
      </c>
      <c r="H75" s="376">
        <v>0</v>
      </c>
      <c r="I75" s="376">
        <v>0</v>
      </c>
      <c r="J75" s="377">
        <v>0</v>
      </c>
      <c r="K75" s="378">
        <v>0</v>
      </c>
      <c r="L75" s="378">
        <v>0</v>
      </c>
      <c r="M75" s="378">
        <v>0</v>
      </c>
      <c r="N75" s="378">
        <v>0</v>
      </c>
      <c r="O75" s="378">
        <v>0</v>
      </c>
      <c r="P75" s="378">
        <v>0</v>
      </c>
      <c r="Q75" s="379">
        <v>0</v>
      </c>
      <c r="S75" s="387"/>
    </row>
    <row r="76" spans="1:19" s="395" customFormat="1" ht="30" x14ac:dyDescent="0.25">
      <c r="A76" s="384">
        <v>69</v>
      </c>
      <c r="B76" s="388" t="s">
        <v>513</v>
      </c>
      <c r="C76" s="386"/>
      <c r="D76" s="376">
        <v>0</v>
      </c>
      <c r="E76" s="376">
        <v>0</v>
      </c>
      <c r="F76" s="376">
        <v>0</v>
      </c>
      <c r="G76" s="376">
        <v>0</v>
      </c>
      <c r="H76" s="376">
        <v>0</v>
      </c>
      <c r="I76" s="376">
        <v>0</v>
      </c>
      <c r="J76" s="377">
        <v>0</v>
      </c>
      <c r="K76" s="378">
        <v>0</v>
      </c>
      <c r="L76" s="378">
        <v>0</v>
      </c>
      <c r="M76" s="378">
        <v>0</v>
      </c>
      <c r="N76" s="378">
        <v>0</v>
      </c>
      <c r="O76" s="378">
        <v>0</v>
      </c>
      <c r="P76" s="378">
        <v>0</v>
      </c>
      <c r="Q76" s="379">
        <v>0</v>
      </c>
      <c r="S76" s="387"/>
    </row>
    <row r="77" spans="1:19" s="395" customFormat="1" ht="60" x14ac:dyDescent="0.25">
      <c r="A77" s="384">
        <v>70</v>
      </c>
      <c r="B77" s="388" t="s">
        <v>514</v>
      </c>
      <c r="C77" s="386"/>
      <c r="D77" s="376">
        <v>0</v>
      </c>
      <c r="E77" s="376">
        <v>0</v>
      </c>
      <c r="F77" s="376">
        <v>0</v>
      </c>
      <c r="G77" s="376">
        <v>0</v>
      </c>
      <c r="H77" s="376">
        <v>0</v>
      </c>
      <c r="I77" s="376">
        <v>0</v>
      </c>
      <c r="J77" s="377">
        <v>0</v>
      </c>
      <c r="K77" s="378">
        <v>0</v>
      </c>
      <c r="L77" s="378">
        <v>0</v>
      </c>
      <c r="M77" s="378">
        <v>0</v>
      </c>
      <c r="N77" s="378">
        <v>0</v>
      </c>
      <c r="O77" s="378">
        <v>0</v>
      </c>
      <c r="P77" s="378">
        <v>0</v>
      </c>
      <c r="Q77" s="379">
        <v>0</v>
      </c>
      <c r="S77" s="387"/>
    </row>
    <row r="78" spans="1:19" s="395" customFormat="1" ht="30" x14ac:dyDescent="0.25">
      <c r="A78" s="384">
        <v>71</v>
      </c>
      <c r="B78" s="388" t="s">
        <v>515</v>
      </c>
      <c r="C78" s="386"/>
      <c r="D78" s="376">
        <v>0</v>
      </c>
      <c r="E78" s="376">
        <v>0</v>
      </c>
      <c r="F78" s="376">
        <v>0</v>
      </c>
      <c r="G78" s="376">
        <v>0</v>
      </c>
      <c r="H78" s="376">
        <v>0</v>
      </c>
      <c r="I78" s="376">
        <v>0</v>
      </c>
      <c r="J78" s="377">
        <v>0</v>
      </c>
      <c r="K78" s="378">
        <v>0</v>
      </c>
      <c r="L78" s="378">
        <v>0</v>
      </c>
      <c r="M78" s="378">
        <v>0</v>
      </c>
      <c r="N78" s="378">
        <v>0</v>
      </c>
      <c r="O78" s="378">
        <v>0</v>
      </c>
      <c r="P78" s="378">
        <v>0</v>
      </c>
      <c r="Q78" s="379">
        <v>0</v>
      </c>
      <c r="S78" s="387"/>
    </row>
    <row r="79" spans="1:19" s="395" customFormat="1" x14ac:dyDescent="0.25">
      <c r="A79" s="384">
        <v>72</v>
      </c>
      <c r="B79" s="414" t="s">
        <v>516</v>
      </c>
      <c r="C79" s="386"/>
      <c r="D79" s="376">
        <v>0</v>
      </c>
      <c r="E79" s="376">
        <v>0</v>
      </c>
      <c r="F79" s="376">
        <v>0</v>
      </c>
      <c r="G79" s="376">
        <v>0</v>
      </c>
      <c r="H79" s="376">
        <v>14095.507</v>
      </c>
      <c r="I79" s="376">
        <v>0</v>
      </c>
      <c r="J79" s="377">
        <v>14095.507</v>
      </c>
      <c r="K79" s="378">
        <v>0</v>
      </c>
      <c r="L79" s="378">
        <v>0</v>
      </c>
      <c r="M79" s="378">
        <v>0</v>
      </c>
      <c r="N79" s="378">
        <v>16651.099000000002</v>
      </c>
      <c r="O79" s="378">
        <v>16651.099000000002</v>
      </c>
      <c r="P79" s="378">
        <v>0</v>
      </c>
      <c r="Q79" s="379">
        <v>16651.099000000002</v>
      </c>
      <c r="S79" s="387"/>
    </row>
    <row r="80" spans="1:19" s="395" customFormat="1" x14ac:dyDescent="0.25">
      <c r="A80" s="384">
        <v>73</v>
      </c>
      <c r="B80" s="388" t="s">
        <v>517</v>
      </c>
      <c r="C80" s="386"/>
      <c r="D80" s="376">
        <v>0</v>
      </c>
      <c r="E80" s="376">
        <v>0</v>
      </c>
      <c r="F80" s="376">
        <v>0</v>
      </c>
      <c r="G80" s="376">
        <v>0</v>
      </c>
      <c r="H80" s="376">
        <v>0</v>
      </c>
      <c r="I80" s="376">
        <v>0</v>
      </c>
      <c r="J80" s="377">
        <v>0</v>
      </c>
      <c r="K80" s="378">
        <v>0</v>
      </c>
      <c r="L80" s="378">
        <v>0</v>
      </c>
      <c r="M80" s="378">
        <v>0</v>
      </c>
      <c r="N80" s="378">
        <v>0</v>
      </c>
      <c r="O80" s="378">
        <v>0</v>
      </c>
      <c r="P80" s="378">
        <v>0</v>
      </c>
      <c r="Q80" s="379">
        <v>0</v>
      </c>
      <c r="S80" s="387"/>
    </row>
    <row r="81" spans="1:19" s="395" customFormat="1" x14ac:dyDescent="0.25">
      <c r="A81" s="384">
        <v>74</v>
      </c>
      <c r="B81" s="388" t="s">
        <v>518</v>
      </c>
      <c r="C81" s="386"/>
      <c r="D81" s="376">
        <v>0</v>
      </c>
      <c r="E81" s="376">
        <v>0</v>
      </c>
      <c r="F81" s="376">
        <v>0</v>
      </c>
      <c r="G81" s="376">
        <v>0</v>
      </c>
      <c r="H81" s="376">
        <v>0</v>
      </c>
      <c r="I81" s="376">
        <v>0</v>
      </c>
      <c r="J81" s="377">
        <v>0</v>
      </c>
      <c r="K81" s="378">
        <v>0</v>
      </c>
      <c r="L81" s="378">
        <v>0</v>
      </c>
      <c r="M81" s="378">
        <v>0</v>
      </c>
      <c r="N81" s="378">
        <v>0</v>
      </c>
      <c r="O81" s="378">
        <v>0</v>
      </c>
      <c r="P81" s="378">
        <v>0</v>
      </c>
      <c r="Q81" s="379">
        <v>0</v>
      </c>
      <c r="S81" s="387"/>
    </row>
    <row r="82" spans="1:19" s="395" customFormat="1" x14ac:dyDescent="0.25">
      <c r="A82" s="384">
        <v>75</v>
      </c>
      <c r="B82" s="388" t="s">
        <v>212</v>
      </c>
      <c r="C82" s="386"/>
      <c r="D82" s="376">
        <v>0</v>
      </c>
      <c r="E82" s="376">
        <v>0</v>
      </c>
      <c r="F82" s="376">
        <v>0</v>
      </c>
      <c r="G82" s="376">
        <v>0</v>
      </c>
      <c r="H82" s="376">
        <v>0</v>
      </c>
      <c r="I82" s="376">
        <v>0</v>
      </c>
      <c r="J82" s="377">
        <v>0</v>
      </c>
      <c r="K82" s="378">
        <v>0</v>
      </c>
      <c r="L82" s="378">
        <v>0</v>
      </c>
      <c r="M82" s="378">
        <v>0</v>
      </c>
      <c r="N82" s="378">
        <v>0</v>
      </c>
      <c r="O82" s="378">
        <v>0</v>
      </c>
      <c r="P82" s="378">
        <v>0</v>
      </c>
      <c r="Q82" s="379">
        <v>0</v>
      </c>
      <c r="S82" s="387"/>
    </row>
    <row r="83" spans="1:19" s="395" customFormat="1" ht="30" x14ac:dyDescent="0.25">
      <c r="A83" s="384">
        <v>76</v>
      </c>
      <c r="B83" s="388" t="s">
        <v>519</v>
      </c>
      <c r="C83" s="386"/>
      <c r="D83" s="376">
        <v>0</v>
      </c>
      <c r="E83" s="376">
        <v>0</v>
      </c>
      <c r="F83" s="376">
        <v>0</v>
      </c>
      <c r="G83" s="376">
        <v>0</v>
      </c>
      <c r="H83" s="376">
        <v>175850.42499999999</v>
      </c>
      <c r="I83" s="376">
        <v>0</v>
      </c>
      <c r="J83" s="377">
        <v>175850.42499999999</v>
      </c>
      <c r="K83" s="378">
        <v>0</v>
      </c>
      <c r="L83" s="378">
        <v>0</v>
      </c>
      <c r="M83" s="378">
        <v>0</v>
      </c>
      <c r="N83" s="378">
        <v>7.7649999999999997</v>
      </c>
      <c r="O83" s="378">
        <v>7.7649999999999997</v>
      </c>
      <c r="P83" s="378">
        <v>0</v>
      </c>
      <c r="Q83" s="379">
        <v>7.7649999999999997</v>
      </c>
      <c r="S83" s="387"/>
    </row>
    <row r="84" spans="1:19" s="395" customFormat="1" ht="30" x14ac:dyDescent="0.25">
      <c r="A84" s="384">
        <v>77</v>
      </c>
      <c r="B84" s="388" t="s">
        <v>429</v>
      </c>
      <c r="C84" s="386"/>
      <c r="D84" s="376">
        <v>0</v>
      </c>
      <c r="E84" s="376">
        <v>0</v>
      </c>
      <c r="F84" s="376">
        <v>0</v>
      </c>
      <c r="G84" s="376">
        <v>0</v>
      </c>
      <c r="H84" s="376">
        <v>150.25200000000001</v>
      </c>
      <c r="I84" s="376">
        <v>0</v>
      </c>
      <c r="J84" s="377">
        <v>150.25200000000001</v>
      </c>
      <c r="K84" s="378">
        <v>0</v>
      </c>
      <c r="L84" s="378">
        <v>0</v>
      </c>
      <c r="M84" s="378">
        <v>0</v>
      </c>
      <c r="N84" s="378">
        <v>51035.883999999998</v>
      </c>
      <c r="O84" s="378">
        <v>51035.883999999998</v>
      </c>
      <c r="P84" s="378">
        <v>0</v>
      </c>
      <c r="Q84" s="379">
        <v>51035.883999999998</v>
      </c>
      <c r="S84" s="387"/>
    </row>
    <row r="85" spans="1:19" s="395" customFormat="1" x14ac:dyDescent="0.25">
      <c r="A85" s="384">
        <v>78</v>
      </c>
      <c r="B85" s="388" t="s">
        <v>430</v>
      </c>
      <c r="C85" s="386"/>
      <c r="D85" s="376">
        <v>0</v>
      </c>
      <c r="E85" s="376">
        <v>0</v>
      </c>
      <c r="F85" s="376">
        <v>0</v>
      </c>
      <c r="G85" s="376">
        <v>0</v>
      </c>
      <c r="H85" s="376">
        <v>0</v>
      </c>
      <c r="I85" s="376">
        <v>0</v>
      </c>
      <c r="J85" s="377">
        <v>0</v>
      </c>
      <c r="K85" s="378">
        <v>0</v>
      </c>
      <c r="L85" s="378">
        <v>0</v>
      </c>
      <c r="M85" s="378">
        <v>0</v>
      </c>
      <c r="N85" s="378">
        <v>33648</v>
      </c>
      <c r="O85" s="378">
        <v>33648</v>
      </c>
      <c r="P85" s="378">
        <v>0</v>
      </c>
      <c r="Q85" s="379">
        <v>33648</v>
      </c>
      <c r="S85" s="387"/>
    </row>
    <row r="86" spans="1:19" s="395" customFormat="1" x14ac:dyDescent="0.25">
      <c r="A86" s="384">
        <v>79</v>
      </c>
      <c r="B86" s="388" t="s">
        <v>431</v>
      </c>
      <c r="C86" s="386"/>
      <c r="D86" s="376">
        <v>0</v>
      </c>
      <c r="E86" s="376">
        <v>0</v>
      </c>
      <c r="F86" s="376">
        <v>0</v>
      </c>
      <c r="G86" s="376">
        <v>0</v>
      </c>
      <c r="H86" s="376">
        <v>0</v>
      </c>
      <c r="I86" s="376">
        <v>0</v>
      </c>
      <c r="J86" s="377">
        <v>0</v>
      </c>
      <c r="K86" s="378">
        <v>0</v>
      </c>
      <c r="L86" s="378">
        <v>0</v>
      </c>
      <c r="M86" s="378">
        <v>0</v>
      </c>
      <c r="N86" s="378">
        <v>5400</v>
      </c>
      <c r="O86" s="378">
        <v>5400</v>
      </c>
      <c r="P86" s="378">
        <v>0</v>
      </c>
      <c r="Q86" s="379">
        <v>5400</v>
      </c>
      <c r="S86" s="387"/>
    </row>
    <row r="87" spans="1:19" s="395" customFormat="1" x14ac:dyDescent="0.25">
      <c r="A87" s="384">
        <v>80</v>
      </c>
      <c r="B87" s="388" t="s">
        <v>432</v>
      </c>
      <c r="C87" s="386"/>
      <c r="D87" s="376">
        <v>0</v>
      </c>
      <c r="E87" s="376">
        <v>0</v>
      </c>
      <c r="F87" s="376">
        <v>0</v>
      </c>
      <c r="G87" s="376">
        <v>0</v>
      </c>
      <c r="H87" s="376">
        <v>0</v>
      </c>
      <c r="I87" s="376">
        <v>0</v>
      </c>
      <c r="J87" s="377">
        <v>0</v>
      </c>
      <c r="K87" s="378">
        <v>0</v>
      </c>
      <c r="L87" s="378">
        <v>0</v>
      </c>
      <c r="M87" s="378">
        <v>0</v>
      </c>
      <c r="N87" s="378">
        <v>8160</v>
      </c>
      <c r="O87" s="378">
        <v>8160</v>
      </c>
      <c r="P87" s="378">
        <v>0</v>
      </c>
      <c r="Q87" s="379">
        <v>8160</v>
      </c>
      <c r="S87" s="387"/>
    </row>
    <row r="88" spans="1:19" s="395" customFormat="1" x14ac:dyDescent="0.25">
      <c r="A88" s="384">
        <v>81</v>
      </c>
      <c r="B88" s="388" t="s">
        <v>434</v>
      </c>
      <c r="C88" s="386"/>
      <c r="D88" s="376">
        <v>0</v>
      </c>
      <c r="E88" s="376">
        <v>0</v>
      </c>
      <c r="F88" s="376">
        <v>0</v>
      </c>
      <c r="G88" s="376">
        <v>0</v>
      </c>
      <c r="H88" s="376">
        <v>123.9</v>
      </c>
      <c r="I88" s="376">
        <v>0</v>
      </c>
      <c r="J88" s="377">
        <v>123.9</v>
      </c>
      <c r="K88" s="378">
        <v>0</v>
      </c>
      <c r="L88" s="378">
        <v>0</v>
      </c>
      <c r="M88" s="378">
        <v>0</v>
      </c>
      <c r="N88" s="378">
        <v>0</v>
      </c>
      <c r="O88" s="378">
        <v>0</v>
      </c>
      <c r="P88" s="378">
        <v>0</v>
      </c>
      <c r="Q88" s="379">
        <v>0</v>
      </c>
      <c r="S88" s="387"/>
    </row>
    <row r="89" spans="1:19" s="395" customFormat="1" x14ac:dyDescent="0.25">
      <c r="A89" s="384">
        <v>82</v>
      </c>
      <c r="B89" s="388" t="s">
        <v>435</v>
      </c>
      <c r="C89" s="386"/>
      <c r="D89" s="376">
        <v>0</v>
      </c>
      <c r="E89" s="376">
        <v>0</v>
      </c>
      <c r="F89" s="376">
        <v>0</v>
      </c>
      <c r="G89" s="376">
        <v>0</v>
      </c>
      <c r="H89" s="376">
        <v>104</v>
      </c>
      <c r="I89" s="376">
        <v>0</v>
      </c>
      <c r="J89" s="377">
        <v>104</v>
      </c>
      <c r="K89" s="378">
        <v>0</v>
      </c>
      <c r="L89" s="378">
        <v>0</v>
      </c>
      <c r="M89" s="378">
        <v>0</v>
      </c>
      <c r="N89" s="378">
        <v>0</v>
      </c>
      <c r="O89" s="378">
        <v>0</v>
      </c>
      <c r="P89" s="378">
        <v>0</v>
      </c>
      <c r="Q89" s="379">
        <v>0</v>
      </c>
      <c r="S89" s="387"/>
    </row>
    <row r="90" spans="1:19" s="395" customFormat="1" x14ac:dyDescent="0.25">
      <c r="A90" s="384">
        <v>83</v>
      </c>
      <c r="B90" s="388" t="s">
        <v>436</v>
      </c>
      <c r="C90" s="386"/>
      <c r="D90" s="376">
        <v>0</v>
      </c>
      <c r="E90" s="376">
        <v>0</v>
      </c>
      <c r="F90" s="376">
        <v>0</v>
      </c>
      <c r="G90" s="376">
        <v>0</v>
      </c>
      <c r="H90" s="376">
        <v>6260</v>
      </c>
      <c r="I90" s="376">
        <v>0</v>
      </c>
      <c r="J90" s="377">
        <v>6260</v>
      </c>
      <c r="K90" s="378">
        <v>0</v>
      </c>
      <c r="L90" s="378">
        <v>0</v>
      </c>
      <c r="M90" s="378">
        <v>0</v>
      </c>
      <c r="N90" s="378">
        <v>0</v>
      </c>
      <c r="O90" s="378">
        <v>0</v>
      </c>
      <c r="P90" s="378">
        <v>0</v>
      </c>
      <c r="Q90" s="379">
        <v>0</v>
      </c>
      <c r="S90" s="387"/>
    </row>
    <row r="91" spans="1:19" s="395" customFormat="1" x14ac:dyDescent="0.25">
      <c r="A91" s="384">
        <v>84</v>
      </c>
      <c r="B91" s="388" t="s">
        <v>437</v>
      </c>
      <c r="C91" s="386"/>
      <c r="D91" s="376">
        <v>0</v>
      </c>
      <c r="E91" s="376">
        <v>0</v>
      </c>
      <c r="F91" s="376">
        <v>0</v>
      </c>
      <c r="G91" s="376">
        <v>0</v>
      </c>
      <c r="H91" s="376">
        <v>87.5</v>
      </c>
      <c r="I91" s="376">
        <v>0</v>
      </c>
      <c r="J91" s="377">
        <v>87.5</v>
      </c>
      <c r="K91" s="378">
        <v>0</v>
      </c>
      <c r="L91" s="378">
        <v>0</v>
      </c>
      <c r="M91" s="378">
        <v>0</v>
      </c>
      <c r="N91" s="378">
        <v>0</v>
      </c>
      <c r="O91" s="378">
        <v>0</v>
      </c>
      <c r="P91" s="378">
        <v>0</v>
      </c>
      <c r="Q91" s="379">
        <v>0</v>
      </c>
      <c r="S91" s="387"/>
    </row>
    <row r="92" spans="1:19" s="395" customFormat="1" x14ac:dyDescent="0.25">
      <c r="A92" s="384">
        <v>85</v>
      </c>
      <c r="B92" s="388" t="s">
        <v>438</v>
      </c>
      <c r="C92" s="386"/>
      <c r="D92" s="376">
        <v>0</v>
      </c>
      <c r="E92" s="376">
        <v>0</v>
      </c>
      <c r="F92" s="376">
        <v>0</v>
      </c>
      <c r="G92" s="376">
        <v>0</v>
      </c>
      <c r="H92" s="376">
        <v>0</v>
      </c>
      <c r="I92" s="376">
        <v>0</v>
      </c>
      <c r="J92" s="377">
        <v>0</v>
      </c>
      <c r="K92" s="378">
        <v>0</v>
      </c>
      <c r="L92" s="378">
        <v>0</v>
      </c>
      <c r="M92" s="378">
        <v>0</v>
      </c>
      <c r="N92" s="378">
        <v>3650.28</v>
      </c>
      <c r="O92" s="378">
        <v>3650.28</v>
      </c>
      <c r="P92" s="378">
        <v>0</v>
      </c>
      <c r="Q92" s="379">
        <v>3650.28</v>
      </c>
      <c r="S92" s="387"/>
    </row>
    <row r="93" spans="1:19" ht="30" x14ac:dyDescent="0.25">
      <c r="A93" s="373">
        <v>86</v>
      </c>
      <c r="B93" s="374" t="s">
        <v>520</v>
      </c>
      <c r="C93" s="375"/>
      <c r="D93" s="376">
        <v>79112.615000000005</v>
      </c>
      <c r="E93" s="376">
        <v>20759.187000000002</v>
      </c>
      <c r="F93" s="376">
        <v>16606.030999999999</v>
      </c>
      <c r="G93" s="376">
        <v>4741.4070000000002</v>
      </c>
      <c r="H93" s="376">
        <v>0</v>
      </c>
      <c r="I93" s="376">
        <v>66163.808000000005</v>
      </c>
      <c r="J93" s="377">
        <v>187383.04800000001</v>
      </c>
      <c r="K93" s="378">
        <v>0</v>
      </c>
      <c r="L93" s="378">
        <v>0</v>
      </c>
      <c r="M93" s="378">
        <v>0</v>
      </c>
      <c r="N93" s="378">
        <v>0</v>
      </c>
      <c r="O93" s="378">
        <v>0</v>
      </c>
      <c r="P93" s="378">
        <v>0</v>
      </c>
      <c r="Q93" s="379">
        <v>0</v>
      </c>
    </row>
    <row r="94" spans="1:19" ht="30" x14ac:dyDescent="0.25">
      <c r="A94" s="373">
        <v>87</v>
      </c>
      <c r="B94" s="374" t="s">
        <v>521</v>
      </c>
      <c r="C94" s="375"/>
      <c r="D94" s="376">
        <v>0</v>
      </c>
      <c r="E94" s="376">
        <v>0</v>
      </c>
      <c r="F94" s="376">
        <v>0</v>
      </c>
      <c r="G94" s="376">
        <v>0</v>
      </c>
      <c r="H94" s="376">
        <v>0</v>
      </c>
      <c r="I94" s="376">
        <v>0</v>
      </c>
      <c r="J94" s="377">
        <v>0</v>
      </c>
      <c r="K94" s="378">
        <v>0</v>
      </c>
      <c r="L94" s="378">
        <v>0</v>
      </c>
      <c r="M94" s="378">
        <v>0</v>
      </c>
      <c r="N94" s="378">
        <v>0</v>
      </c>
      <c r="O94" s="378">
        <v>0</v>
      </c>
      <c r="P94" s="378">
        <v>0</v>
      </c>
      <c r="Q94" s="379">
        <v>0</v>
      </c>
    </row>
    <row r="95" spans="1:19" s="403" customFormat="1" x14ac:dyDescent="0.25">
      <c r="A95" s="390">
        <v>88</v>
      </c>
      <c r="B95" s="391" t="s">
        <v>522</v>
      </c>
      <c r="C95" s="411">
        <v>0</v>
      </c>
      <c r="D95" s="411">
        <v>79112.615000000005</v>
      </c>
      <c r="E95" s="411">
        <v>20759.187000000002</v>
      </c>
      <c r="F95" s="411">
        <v>16606.030999999999</v>
      </c>
      <c r="G95" s="411">
        <v>4741.4070000000002</v>
      </c>
      <c r="H95" s="411">
        <v>251305.24900000001</v>
      </c>
      <c r="I95" s="411">
        <v>66163.808000000005</v>
      </c>
      <c r="J95" s="411">
        <v>438688.29700000002</v>
      </c>
      <c r="K95" s="411">
        <v>0</v>
      </c>
      <c r="L95" s="411">
        <v>0</v>
      </c>
      <c r="M95" s="411">
        <v>0</v>
      </c>
      <c r="N95" s="411">
        <v>118553.02799999999</v>
      </c>
      <c r="O95" s="411">
        <v>118553.02799999999</v>
      </c>
      <c r="P95" s="411">
        <v>0</v>
      </c>
      <c r="Q95" s="411">
        <v>118553.02799999999</v>
      </c>
      <c r="S95" s="360"/>
    </row>
    <row r="96" spans="1:19" s="403" customFormat="1" x14ac:dyDescent="0.25">
      <c r="A96" s="390">
        <v>89</v>
      </c>
      <c r="B96" s="391" t="s">
        <v>523</v>
      </c>
      <c r="C96" s="411">
        <v>0</v>
      </c>
      <c r="D96" s="411">
        <v>83976.49500000001</v>
      </c>
      <c r="E96" s="411">
        <v>23170.765000000003</v>
      </c>
      <c r="F96" s="411">
        <v>16710.628000000001</v>
      </c>
      <c r="G96" s="411">
        <v>4809.8780000000006</v>
      </c>
      <c r="H96" s="411">
        <v>684390.87700000009</v>
      </c>
      <c r="I96" s="411">
        <v>66165.217000000004</v>
      </c>
      <c r="J96" s="411">
        <v>879223.86</v>
      </c>
      <c r="K96" s="411">
        <v>6483.1798200000003</v>
      </c>
      <c r="L96" s="411">
        <v>694.11977000000002</v>
      </c>
      <c r="M96" s="411">
        <v>250</v>
      </c>
      <c r="N96" s="411">
        <v>265370.36300000001</v>
      </c>
      <c r="O96" s="411">
        <v>266064.48277</v>
      </c>
      <c r="P96" s="411">
        <v>0</v>
      </c>
      <c r="Q96" s="411">
        <v>272797.66258999996</v>
      </c>
      <c r="S96" s="360"/>
    </row>
    <row r="97" spans="1:19" s="403" customFormat="1" x14ac:dyDescent="0.25">
      <c r="A97" s="390">
        <v>90</v>
      </c>
      <c r="B97" s="391" t="s">
        <v>524</v>
      </c>
      <c r="C97" s="411"/>
      <c r="D97" s="411">
        <v>0</v>
      </c>
      <c r="E97" s="411">
        <v>0</v>
      </c>
      <c r="F97" s="411">
        <v>0</v>
      </c>
      <c r="G97" s="411">
        <v>0</v>
      </c>
      <c r="H97" s="411">
        <v>0</v>
      </c>
      <c r="I97" s="411">
        <v>0</v>
      </c>
      <c r="J97" s="411"/>
      <c r="K97" s="411">
        <v>0</v>
      </c>
      <c r="L97" s="411">
        <v>0</v>
      </c>
      <c r="M97" s="411">
        <v>0</v>
      </c>
      <c r="N97" s="411">
        <v>0</v>
      </c>
      <c r="O97" s="411">
        <v>0</v>
      </c>
      <c r="P97" s="411">
        <v>0</v>
      </c>
      <c r="Q97" s="411">
        <v>0</v>
      </c>
      <c r="S97" s="360"/>
    </row>
    <row r="98" spans="1:19" x14ac:dyDescent="0.25">
      <c r="A98" s="373">
        <v>91</v>
      </c>
      <c r="B98" s="374" t="s">
        <v>525</v>
      </c>
      <c r="C98" s="375"/>
      <c r="D98" s="376">
        <v>0</v>
      </c>
      <c r="E98" s="376">
        <v>0</v>
      </c>
      <c r="F98" s="376">
        <v>0</v>
      </c>
      <c r="G98" s="376">
        <v>0</v>
      </c>
      <c r="H98" s="376">
        <v>77127.762000000002</v>
      </c>
      <c r="I98" s="376">
        <v>0</v>
      </c>
      <c r="J98" s="377">
        <v>77127.762000000002</v>
      </c>
      <c r="K98" s="378">
        <v>0</v>
      </c>
      <c r="L98" s="378">
        <v>0</v>
      </c>
      <c r="M98" s="378">
        <v>0</v>
      </c>
      <c r="N98" s="378">
        <v>0</v>
      </c>
      <c r="O98" s="378">
        <v>0</v>
      </c>
      <c r="P98" s="378">
        <v>0</v>
      </c>
      <c r="Q98" s="379">
        <v>0</v>
      </c>
    </row>
    <row r="99" spans="1:19" x14ac:dyDescent="0.25">
      <c r="A99" s="373">
        <v>92</v>
      </c>
      <c r="B99" s="374" t="s">
        <v>526</v>
      </c>
      <c r="C99" s="375"/>
      <c r="D99" s="376">
        <v>0</v>
      </c>
      <c r="E99" s="376">
        <v>0</v>
      </c>
      <c r="F99" s="376">
        <v>0</v>
      </c>
      <c r="G99" s="376">
        <v>0</v>
      </c>
      <c r="H99" s="376">
        <v>0</v>
      </c>
      <c r="I99" s="376">
        <v>0</v>
      </c>
      <c r="J99" s="377">
        <v>0</v>
      </c>
      <c r="K99" s="378">
        <v>0</v>
      </c>
      <c r="L99" s="378">
        <v>0</v>
      </c>
      <c r="M99" s="378">
        <v>0</v>
      </c>
      <c r="N99" s="378">
        <v>0</v>
      </c>
      <c r="O99" s="378">
        <v>0</v>
      </c>
      <c r="P99" s="378">
        <v>0</v>
      </c>
      <c r="Q99" s="379">
        <v>0</v>
      </c>
    </row>
    <row r="100" spans="1:19" x14ac:dyDescent="0.25">
      <c r="A100" s="373">
        <v>93</v>
      </c>
      <c r="B100" s="415" t="s">
        <v>527</v>
      </c>
      <c r="C100" s="375"/>
      <c r="D100" s="376">
        <v>0</v>
      </c>
      <c r="E100" s="376">
        <v>0</v>
      </c>
      <c r="F100" s="376">
        <v>0</v>
      </c>
      <c r="G100" s="376">
        <v>0</v>
      </c>
      <c r="H100" s="376">
        <v>58201.942000000003</v>
      </c>
      <c r="I100" s="376">
        <v>0</v>
      </c>
      <c r="J100" s="377">
        <v>58201.942000000003</v>
      </c>
      <c r="K100" s="378">
        <v>0</v>
      </c>
      <c r="L100" s="378">
        <v>0</v>
      </c>
      <c r="M100" s="378">
        <v>0</v>
      </c>
      <c r="N100" s="378">
        <v>0</v>
      </c>
      <c r="O100" s="378">
        <v>0</v>
      </c>
      <c r="P100" s="378">
        <v>0</v>
      </c>
      <c r="Q100" s="379">
        <v>0</v>
      </c>
    </row>
    <row r="101" spans="1:19" x14ac:dyDescent="0.25">
      <c r="A101" s="373">
        <v>94</v>
      </c>
      <c r="B101" s="374" t="s">
        <v>528</v>
      </c>
      <c r="C101" s="375"/>
      <c r="D101" s="376">
        <v>0</v>
      </c>
      <c r="E101" s="376">
        <v>0</v>
      </c>
      <c r="F101" s="376">
        <v>0</v>
      </c>
      <c r="G101" s="376">
        <v>0</v>
      </c>
      <c r="H101" s="376">
        <v>0</v>
      </c>
      <c r="I101" s="376">
        <v>0</v>
      </c>
      <c r="J101" s="377">
        <v>0</v>
      </c>
      <c r="K101" s="378">
        <v>0</v>
      </c>
      <c r="L101" s="378">
        <v>0</v>
      </c>
      <c r="M101" s="378">
        <v>0</v>
      </c>
      <c r="N101" s="378">
        <v>0</v>
      </c>
      <c r="O101" s="378">
        <v>0</v>
      </c>
      <c r="P101" s="378">
        <v>0</v>
      </c>
      <c r="Q101" s="379">
        <v>0</v>
      </c>
    </row>
    <row r="102" spans="1:19" x14ac:dyDescent="0.25">
      <c r="A102" s="373">
        <v>95</v>
      </c>
      <c r="B102" s="374" t="s">
        <v>529</v>
      </c>
      <c r="C102" s="375"/>
      <c r="D102" s="376">
        <v>0</v>
      </c>
      <c r="E102" s="376">
        <v>0</v>
      </c>
      <c r="F102" s="376">
        <v>0</v>
      </c>
      <c r="G102" s="376">
        <v>0</v>
      </c>
      <c r="H102" s="376">
        <v>0</v>
      </c>
      <c r="I102" s="376">
        <v>0</v>
      </c>
      <c r="J102" s="377">
        <v>0</v>
      </c>
      <c r="K102" s="378">
        <v>0</v>
      </c>
      <c r="L102" s="378">
        <v>0</v>
      </c>
      <c r="M102" s="378">
        <v>0</v>
      </c>
      <c r="N102" s="378">
        <v>0</v>
      </c>
      <c r="O102" s="378">
        <v>0</v>
      </c>
      <c r="P102" s="378">
        <v>0</v>
      </c>
      <c r="Q102" s="379">
        <v>0</v>
      </c>
    </row>
    <row r="103" spans="1:19" x14ac:dyDescent="0.25">
      <c r="A103" s="373">
        <v>96</v>
      </c>
      <c r="B103" s="374" t="s">
        <v>530</v>
      </c>
      <c r="C103" s="375"/>
      <c r="D103" s="376">
        <v>0</v>
      </c>
      <c r="E103" s="376">
        <v>0</v>
      </c>
      <c r="F103" s="376">
        <v>0</v>
      </c>
      <c r="G103" s="376">
        <v>0</v>
      </c>
      <c r="H103" s="376">
        <v>0</v>
      </c>
      <c r="I103" s="376">
        <v>0</v>
      </c>
      <c r="J103" s="377">
        <v>0</v>
      </c>
      <c r="K103" s="378">
        <v>0</v>
      </c>
      <c r="L103" s="378">
        <v>0</v>
      </c>
      <c r="M103" s="378">
        <v>0</v>
      </c>
      <c r="N103" s="378">
        <v>0</v>
      </c>
      <c r="O103" s="378">
        <v>0</v>
      </c>
      <c r="P103" s="378">
        <v>0</v>
      </c>
      <c r="Q103" s="379">
        <v>0</v>
      </c>
    </row>
    <row r="104" spans="1:19" x14ac:dyDescent="0.25">
      <c r="A104" s="373">
        <v>97</v>
      </c>
      <c r="B104" s="374" t="s">
        <v>531</v>
      </c>
      <c r="C104" s="375"/>
      <c r="D104" s="376">
        <v>0</v>
      </c>
      <c r="E104" s="376">
        <v>0</v>
      </c>
      <c r="F104" s="376">
        <v>0</v>
      </c>
      <c r="G104" s="376">
        <v>0</v>
      </c>
      <c r="H104" s="376">
        <v>0</v>
      </c>
      <c r="I104" s="376">
        <v>0</v>
      </c>
      <c r="J104" s="377">
        <v>0</v>
      </c>
      <c r="K104" s="378">
        <v>0</v>
      </c>
      <c r="L104" s="378">
        <v>0</v>
      </c>
      <c r="M104" s="378">
        <v>0</v>
      </c>
      <c r="N104" s="378">
        <v>0</v>
      </c>
      <c r="O104" s="378">
        <v>0</v>
      </c>
      <c r="P104" s="378">
        <v>0</v>
      </c>
      <c r="Q104" s="379">
        <v>0</v>
      </c>
    </row>
    <row r="105" spans="1:19" x14ac:dyDescent="0.25">
      <c r="A105" s="373">
        <v>98</v>
      </c>
      <c r="B105" s="374" t="s">
        <v>532</v>
      </c>
      <c r="C105" s="375"/>
      <c r="D105" s="376">
        <v>0</v>
      </c>
      <c r="E105" s="376">
        <v>0</v>
      </c>
      <c r="F105" s="376">
        <v>0</v>
      </c>
      <c r="G105" s="376">
        <v>0</v>
      </c>
      <c r="H105" s="376">
        <v>0</v>
      </c>
      <c r="I105" s="376">
        <v>0</v>
      </c>
      <c r="J105" s="377">
        <v>0</v>
      </c>
      <c r="K105" s="378">
        <v>0</v>
      </c>
      <c r="L105" s="378">
        <v>0</v>
      </c>
      <c r="M105" s="378">
        <v>0</v>
      </c>
      <c r="N105" s="378">
        <v>0</v>
      </c>
      <c r="O105" s="378">
        <v>0</v>
      </c>
      <c r="P105" s="378">
        <v>0</v>
      </c>
      <c r="Q105" s="379">
        <v>0</v>
      </c>
    </row>
    <row r="106" spans="1:19" x14ac:dyDescent="0.25">
      <c r="A106" s="373">
        <v>99</v>
      </c>
      <c r="B106" s="374" t="s">
        <v>533</v>
      </c>
      <c r="C106" s="375"/>
      <c r="D106" s="376">
        <v>0</v>
      </c>
      <c r="E106" s="376">
        <v>0</v>
      </c>
      <c r="F106" s="376">
        <v>0</v>
      </c>
      <c r="G106" s="376">
        <v>0</v>
      </c>
      <c r="H106" s="376">
        <v>0</v>
      </c>
      <c r="I106" s="376">
        <v>0</v>
      </c>
      <c r="J106" s="377">
        <v>0</v>
      </c>
      <c r="K106" s="378">
        <v>0</v>
      </c>
      <c r="L106" s="378">
        <v>0</v>
      </c>
      <c r="M106" s="378">
        <v>0</v>
      </c>
      <c r="N106" s="378">
        <v>0</v>
      </c>
      <c r="O106" s="378">
        <v>0</v>
      </c>
      <c r="P106" s="378">
        <v>0</v>
      </c>
      <c r="Q106" s="379">
        <v>0</v>
      </c>
    </row>
    <row r="107" spans="1:19" x14ac:dyDescent="0.25">
      <c r="A107" s="373">
        <v>100</v>
      </c>
      <c r="B107" s="374" t="s">
        <v>534</v>
      </c>
      <c r="C107" s="375"/>
      <c r="D107" s="376">
        <v>0</v>
      </c>
      <c r="E107" s="376">
        <v>0</v>
      </c>
      <c r="F107" s="376">
        <v>0</v>
      </c>
      <c r="G107" s="376">
        <v>0</v>
      </c>
      <c r="H107" s="376">
        <v>633.00199999999984</v>
      </c>
      <c r="I107" s="376">
        <v>0</v>
      </c>
      <c r="J107" s="377">
        <v>633.00199999999984</v>
      </c>
      <c r="K107" s="378">
        <v>0</v>
      </c>
      <c r="L107" s="378">
        <v>0</v>
      </c>
      <c r="M107" s="378">
        <v>0</v>
      </c>
      <c r="N107" s="378">
        <v>0</v>
      </c>
      <c r="O107" s="378">
        <v>0</v>
      </c>
      <c r="P107" s="378">
        <v>0</v>
      </c>
      <c r="Q107" s="379">
        <v>0</v>
      </c>
    </row>
    <row r="108" spans="1:19" s="403" customFormat="1" x14ac:dyDescent="0.25">
      <c r="A108" s="390">
        <v>101</v>
      </c>
      <c r="B108" s="391" t="s">
        <v>535</v>
      </c>
      <c r="C108" s="411">
        <v>0</v>
      </c>
      <c r="D108" s="411">
        <v>0</v>
      </c>
      <c r="E108" s="411">
        <v>0</v>
      </c>
      <c r="F108" s="411">
        <v>0</v>
      </c>
      <c r="G108" s="411">
        <v>0</v>
      </c>
      <c r="H108" s="411">
        <v>135962.70600000001</v>
      </c>
      <c r="I108" s="411">
        <v>0</v>
      </c>
      <c r="J108" s="411">
        <v>135962.70600000001</v>
      </c>
      <c r="K108" s="411">
        <v>0</v>
      </c>
      <c r="L108" s="411">
        <v>0</v>
      </c>
      <c r="M108" s="411">
        <v>0</v>
      </c>
      <c r="N108" s="411">
        <v>0</v>
      </c>
      <c r="O108" s="411">
        <v>0</v>
      </c>
      <c r="P108" s="411">
        <v>0</v>
      </c>
      <c r="Q108" s="411">
        <v>0</v>
      </c>
      <c r="S108" s="360"/>
    </row>
    <row r="109" spans="1:19" s="403" customFormat="1" x14ac:dyDescent="0.25">
      <c r="A109" s="390">
        <v>102</v>
      </c>
      <c r="B109" s="391" t="s">
        <v>536</v>
      </c>
      <c r="C109" s="411">
        <v>0</v>
      </c>
      <c r="D109" s="411">
        <v>83976.49500000001</v>
      </c>
      <c r="E109" s="411">
        <v>23170.765000000003</v>
      </c>
      <c r="F109" s="411">
        <v>16710.628000000001</v>
      </c>
      <c r="G109" s="411">
        <v>4809.8780000000006</v>
      </c>
      <c r="H109" s="411">
        <v>820353.5830000001</v>
      </c>
      <c r="I109" s="411">
        <v>66165.217000000004</v>
      </c>
      <c r="J109" s="411">
        <v>1015186.566</v>
      </c>
      <c r="K109" s="411">
        <v>6483.1798200000003</v>
      </c>
      <c r="L109" s="411">
        <v>694.11977000000002</v>
      </c>
      <c r="M109" s="411">
        <v>250</v>
      </c>
      <c r="N109" s="411">
        <v>265370.36300000001</v>
      </c>
      <c r="O109" s="411">
        <v>266064.48277</v>
      </c>
      <c r="P109" s="411">
        <v>0</v>
      </c>
      <c r="Q109" s="411">
        <v>272797.66258999996</v>
      </c>
      <c r="R109" s="402"/>
      <c r="S109" s="360"/>
    </row>
    <row r="110" spans="1:19" x14ac:dyDescent="0.25">
      <c r="A110" s="416"/>
      <c r="S110" s="359"/>
    </row>
    <row r="111" spans="1:19" x14ac:dyDescent="0.25">
      <c r="B111"/>
      <c r="S111" s="359"/>
    </row>
    <row r="112" spans="1:19" x14ac:dyDescent="0.25">
      <c r="B112"/>
      <c r="D112" s="417">
        <v>83976.49500000001</v>
      </c>
      <c r="E112" s="417">
        <v>23170.765000000003</v>
      </c>
      <c r="F112" s="417">
        <v>16710.628000000001</v>
      </c>
      <c r="G112" s="417">
        <v>4809.8780000000006</v>
      </c>
      <c r="H112" s="417">
        <v>820353.58299999998</v>
      </c>
      <c r="I112" s="417">
        <v>66165.217000000004</v>
      </c>
      <c r="J112" s="418">
        <v>1015186.5659999999</v>
      </c>
      <c r="K112" s="358">
        <v>6483.1798200000003</v>
      </c>
      <c r="L112" s="419">
        <v>694.11977000000002</v>
      </c>
      <c r="M112" s="419">
        <v>250</v>
      </c>
      <c r="N112" s="419">
        <v>265370.36300000001</v>
      </c>
      <c r="O112" s="419"/>
      <c r="P112" s="358">
        <v>0</v>
      </c>
      <c r="Q112" s="402">
        <v>272797.66258999996</v>
      </c>
      <c r="S112" s="359"/>
    </row>
    <row r="113" spans="2:19" x14ac:dyDescent="0.25">
      <c r="B113" t="s">
        <v>537</v>
      </c>
      <c r="D113" s="417">
        <v>0</v>
      </c>
      <c r="E113" s="417">
        <v>0</v>
      </c>
      <c r="F113" s="417">
        <v>0</v>
      </c>
      <c r="G113" s="417">
        <v>0</v>
      </c>
      <c r="H113" s="417">
        <v>0</v>
      </c>
      <c r="I113" s="417">
        <v>0</v>
      </c>
      <c r="J113" s="417">
        <v>0</v>
      </c>
      <c r="K113" s="417">
        <v>0</v>
      </c>
      <c r="L113" s="417">
        <v>0</v>
      </c>
      <c r="M113" s="417">
        <v>0</v>
      </c>
      <c r="N113" s="417">
        <v>0</v>
      </c>
      <c r="O113" s="417"/>
      <c r="P113" s="417">
        <v>0</v>
      </c>
      <c r="Q113" s="417">
        <v>0</v>
      </c>
      <c r="S113" s="359"/>
    </row>
    <row r="114" spans="2:19" x14ac:dyDescent="0.25">
      <c r="S114" s="359"/>
    </row>
    <row r="115" spans="2:19" x14ac:dyDescent="0.25">
      <c r="S115" s="359"/>
    </row>
    <row r="116" spans="2:19" x14ac:dyDescent="0.25">
      <c r="S116" s="359"/>
    </row>
    <row r="117" spans="2:19" x14ac:dyDescent="0.25">
      <c r="S117" s="359"/>
    </row>
    <row r="118" spans="2:19" x14ac:dyDescent="0.25">
      <c r="S118" s="359"/>
    </row>
    <row r="119" spans="2:19" x14ac:dyDescent="0.25">
      <c r="S119" s="359"/>
    </row>
    <row r="120" spans="2:19" x14ac:dyDescent="0.25">
      <c r="S120" s="359"/>
    </row>
    <row r="121" spans="2:19" x14ac:dyDescent="0.25">
      <c r="S121" s="359"/>
    </row>
    <row r="122" spans="2:19" x14ac:dyDescent="0.25">
      <c r="S122" s="359"/>
    </row>
    <row r="123" spans="2:19" x14ac:dyDescent="0.25">
      <c r="S123" s="359"/>
    </row>
    <row r="124" spans="2:19" x14ac:dyDescent="0.25">
      <c r="S124" s="359"/>
    </row>
    <row r="125" spans="2:19" x14ac:dyDescent="0.25">
      <c r="S125" s="359"/>
    </row>
    <row r="126" spans="2:19" x14ac:dyDescent="0.25">
      <c r="S126" s="359"/>
    </row>
    <row r="127" spans="2:19" x14ac:dyDescent="0.25">
      <c r="S127" s="359"/>
    </row>
    <row r="128" spans="2:19" x14ac:dyDescent="0.25">
      <c r="S128" s="359"/>
    </row>
    <row r="129" spans="19:19" x14ac:dyDescent="0.25">
      <c r="S129" s="359"/>
    </row>
    <row r="130" spans="19:19" x14ac:dyDescent="0.25">
      <c r="S130" s="359"/>
    </row>
    <row r="131" spans="19:19" x14ac:dyDescent="0.25">
      <c r="S131" s="359"/>
    </row>
    <row r="132" spans="19:19" x14ac:dyDescent="0.25">
      <c r="S132" s="359"/>
    </row>
    <row r="133" spans="19:19" x14ac:dyDescent="0.25">
      <c r="S133" s="359"/>
    </row>
    <row r="134" spans="19:19" x14ac:dyDescent="0.25">
      <c r="S134" s="359"/>
    </row>
    <row r="135" spans="19:19" x14ac:dyDescent="0.25">
      <c r="S135" s="359"/>
    </row>
    <row r="136" spans="19:19" x14ac:dyDescent="0.25">
      <c r="S136" s="359"/>
    </row>
    <row r="137" spans="19:19" x14ac:dyDescent="0.25">
      <c r="S137" s="359"/>
    </row>
    <row r="138" spans="19:19" x14ac:dyDescent="0.25">
      <c r="S138" s="359"/>
    </row>
    <row r="139" spans="19:19" x14ac:dyDescent="0.25">
      <c r="S139" s="359"/>
    </row>
    <row r="140" spans="19:19" x14ac:dyDescent="0.25">
      <c r="S140" s="359"/>
    </row>
    <row r="141" spans="19:19" x14ac:dyDescent="0.25">
      <c r="S141" s="359"/>
    </row>
    <row r="142" spans="19:19" x14ac:dyDescent="0.25">
      <c r="S142" s="359"/>
    </row>
    <row r="143" spans="19:19" x14ac:dyDescent="0.25">
      <c r="S143" s="359"/>
    </row>
    <row r="144" spans="19:19" x14ac:dyDescent="0.25">
      <c r="S144" s="359"/>
    </row>
    <row r="145" spans="19:19" x14ac:dyDescent="0.25">
      <c r="S145" s="359"/>
    </row>
    <row r="146" spans="19:19" x14ac:dyDescent="0.25">
      <c r="S146" s="359"/>
    </row>
    <row r="147" spans="19:19" x14ac:dyDescent="0.25">
      <c r="S147" s="359"/>
    </row>
    <row r="148" spans="19:19" x14ac:dyDescent="0.25">
      <c r="S148" s="359"/>
    </row>
    <row r="149" spans="19:19" x14ac:dyDescent="0.25">
      <c r="S149" s="359"/>
    </row>
    <row r="150" spans="19:19" x14ac:dyDescent="0.25">
      <c r="S150" s="359"/>
    </row>
    <row r="151" spans="19:19" x14ac:dyDescent="0.25">
      <c r="S151" s="359"/>
    </row>
    <row r="152" spans="19:19" x14ac:dyDescent="0.25">
      <c r="S152" s="359"/>
    </row>
    <row r="153" spans="19:19" x14ac:dyDescent="0.25">
      <c r="S153" s="359"/>
    </row>
    <row r="154" spans="19:19" x14ac:dyDescent="0.25">
      <c r="S154" s="359"/>
    </row>
    <row r="155" spans="19:19" x14ac:dyDescent="0.25">
      <c r="S155" s="359"/>
    </row>
    <row r="156" spans="19:19" x14ac:dyDescent="0.25">
      <c r="S156" s="359"/>
    </row>
    <row r="157" spans="19:19" x14ac:dyDescent="0.25">
      <c r="S157" s="359"/>
    </row>
    <row r="158" spans="19:19" x14ac:dyDescent="0.25">
      <c r="S158" s="359"/>
    </row>
    <row r="159" spans="19:19" x14ac:dyDescent="0.25">
      <c r="S159" s="359"/>
    </row>
    <row r="160" spans="19:19" x14ac:dyDescent="0.25">
      <c r="S160" s="359"/>
    </row>
    <row r="161" spans="19:19" x14ac:dyDescent="0.25">
      <c r="S161" s="359"/>
    </row>
    <row r="162" spans="19:19" x14ac:dyDescent="0.25">
      <c r="S162" s="359"/>
    </row>
    <row r="163" spans="19:19" x14ac:dyDescent="0.25">
      <c r="S163" s="359"/>
    </row>
    <row r="164" spans="19:19" x14ac:dyDescent="0.25">
      <c r="S164" s="359"/>
    </row>
    <row r="165" spans="19:19" x14ac:dyDescent="0.25">
      <c r="S165" s="359"/>
    </row>
    <row r="166" spans="19:19" x14ac:dyDescent="0.25">
      <c r="S166" s="359"/>
    </row>
    <row r="167" spans="19:19" x14ac:dyDescent="0.25">
      <c r="S167" s="359"/>
    </row>
    <row r="168" spans="19:19" x14ac:dyDescent="0.25">
      <c r="S168" s="359"/>
    </row>
    <row r="169" spans="19:19" x14ac:dyDescent="0.25">
      <c r="S169" s="359"/>
    </row>
    <row r="170" spans="19:19" x14ac:dyDescent="0.25">
      <c r="S170" s="359"/>
    </row>
    <row r="171" spans="19:19" x14ac:dyDescent="0.25">
      <c r="S171" s="359"/>
    </row>
    <row r="172" spans="19:19" x14ac:dyDescent="0.25">
      <c r="S172" s="359"/>
    </row>
    <row r="173" spans="19:19" x14ac:dyDescent="0.25">
      <c r="S173" s="359"/>
    </row>
    <row r="174" spans="19:19" x14ac:dyDescent="0.25">
      <c r="S174" s="359"/>
    </row>
    <row r="175" spans="19:19" x14ac:dyDescent="0.25">
      <c r="S175" s="359"/>
    </row>
    <row r="176" spans="19:19" x14ac:dyDescent="0.25">
      <c r="S176" s="359"/>
    </row>
    <row r="177" spans="19:19" x14ac:dyDescent="0.25">
      <c r="S177" s="359"/>
    </row>
    <row r="178" spans="19:19" x14ac:dyDescent="0.25">
      <c r="S178" s="359"/>
    </row>
    <row r="179" spans="19:19" x14ac:dyDescent="0.25">
      <c r="S179" s="359"/>
    </row>
    <row r="180" spans="19:19" x14ac:dyDescent="0.25">
      <c r="S180" s="359"/>
    </row>
    <row r="181" spans="19:19" x14ac:dyDescent="0.25">
      <c r="S181" s="359"/>
    </row>
    <row r="182" spans="19:19" x14ac:dyDescent="0.25">
      <c r="S182" s="359"/>
    </row>
    <row r="183" spans="19:19" x14ac:dyDescent="0.25">
      <c r="S183" s="359"/>
    </row>
    <row r="184" spans="19:19" x14ac:dyDescent="0.25">
      <c r="S184" s="359"/>
    </row>
    <row r="185" spans="19:19" x14ac:dyDescent="0.25">
      <c r="S185" s="359"/>
    </row>
    <row r="186" spans="19:19" x14ac:dyDescent="0.25">
      <c r="S186" s="359"/>
    </row>
    <row r="187" spans="19:19" x14ac:dyDescent="0.25">
      <c r="S187" s="359"/>
    </row>
    <row r="188" spans="19:19" x14ac:dyDescent="0.25">
      <c r="S188" s="359"/>
    </row>
    <row r="189" spans="19:19" x14ac:dyDescent="0.25">
      <c r="S189" s="359"/>
    </row>
    <row r="190" spans="19:19" x14ac:dyDescent="0.25">
      <c r="S190" s="359"/>
    </row>
    <row r="191" spans="19:19" x14ac:dyDescent="0.25">
      <c r="S191" s="359"/>
    </row>
    <row r="192" spans="19:19" x14ac:dyDescent="0.25">
      <c r="S192" s="359"/>
    </row>
    <row r="193" spans="19:19" x14ac:dyDescent="0.25">
      <c r="S193" s="359"/>
    </row>
    <row r="194" spans="19:19" x14ac:dyDescent="0.25">
      <c r="S194" s="359"/>
    </row>
    <row r="195" spans="19:19" x14ac:dyDescent="0.25">
      <c r="S195" s="359"/>
    </row>
    <row r="196" spans="19:19" x14ac:dyDescent="0.25">
      <c r="S196" s="359"/>
    </row>
    <row r="197" spans="19:19" x14ac:dyDescent="0.25">
      <c r="S197" s="359"/>
    </row>
    <row r="198" spans="19:19" x14ac:dyDescent="0.25">
      <c r="S198" s="359"/>
    </row>
    <row r="199" spans="19:19" x14ac:dyDescent="0.25">
      <c r="S199" s="359"/>
    </row>
    <row r="200" spans="19:19" x14ac:dyDescent="0.25">
      <c r="S200" s="359"/>
    </row>
    <row r="201" spans="19:19" x14ac:dyDescent="0.25">
      <c r="S201" s="359"/>
    </row>
    <row r="202" spans="19:19" x14ac:dyDescent="0.25">
      <c r="S202" s="359"/>
    </row>
    <row r="203" spans="19:19" x14ac:dyDescent="0.25">
      <c r="S203" s="359"/>
    </row>
    <row r="204" spans="19:19" x14ac:dyDescent="0.25">
      <c r="S204" s="359"/>
    </row>
  </sheetData>
  <mergeCells count="4">
    <mergeCell ref="A1:Q1"/>
    <mergeCell ref="A2:Q2"/>
    <mergeCell ref="D4:J4"/>
    <mergeCell ref="K4:Q4"/>
  </mergeCells>
  <phoneticPr fontId="29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464" bestFit="1" customWidth="1"/>
    <col min="2" max="2" width="60.1640625" style="420" customWidth="1"/>
    <col min="3" max="3" width="0" style="453" hidden="1" customWidth="1"/>
    <col min="4" max="4" width="11.5" style="453" customWidth="1"/>
    <col min="5" max="5" width="17.5" style="453" customWidth="1"/>
    <col min="6" max="6" width="14.33203125" style="453" customWidth="1"/>
    <col min="7" max="7" width="17.5" style="453" customWidth="1"/>
    <col min="8" max="8" width="11.33203125" style="453" bestFit="1" customWidth="1"/>
    <col min="9" max="9" width="9.83203125" style="453" bestFit="1" customWidth="1"/>
    <col min="10" max="10" width="13.1640625" style="453" customWidth="1"/>
    <col min="11" max="11" width="18.6640625" style="453" customWidth="1"/>
    <col min="12" max="12" width="9.5" style="453" hidden="1" customWidth="1"/>
    <col min="13" max="13" width="18.83203125" style="453" customWidth="1"/>
    <col min="14" max="14" width="0" style="453" hidden="1" customWidth="1"/>
    <col min="15" max="15" width="16.83203125" style="453" customWidth="1"/>
    <col min="16" max="16" width="9.83203125" style="453" bestFit="1" customWidth="1"/>
    <col min="17" max="17" width="13.6640625" style="465" customWidth="1"/>
    <col min="18" max="16384" width="9.33203125" style="420"/>
  </cols>
  <sheetData>
    <row r="1" spans="1:17" x14ac:dyDescent="0.25">
      <c r="A1" s="1748" t="s">
        <v>661</v>
      </c>
      <c r="B1" s="1748"/>
      <c r="C1" s="1748"/>
      <c r="D1" s="1748"/>
      <c r="E1" s="1748"/>
      <c r="F1" s="1748"/>
      <c r="G1" s="1748"/>
      <c r="H1" s="1748"/>
      <c r="I1" s="1748"/>
      <c r="J1" s="1748"/>
      <c r="K1" s="1748"/>
      <c r="L1" s="1748"/>
      <c r="M1" s="1748"/>
      <c r="N1" s="1748"/>
      <c r="O1" s="1748"/>
      <c r="P1" s="1748"/>
      <c r="Q1" s="1748"/>
    </row>
    <row r="2" spans="1:17" x14ac:dyDescent="0.25">
      <c r="A2" s="1749" t="s">
        <v>662</v>
      </c>
      <c r="B2" s="1749"/>
      <c r="C2" s="1749"/>
      <c r="D2" s="1749"/>
      <c r="E2" s="1749"/>
      <c r="F2" s="1749"/>
      <c r="G2" s="1749"/>
      <c r="H2" s="1749"/>
      <c r="I2" s="1749"/>
      <c r="J2" s="1749"/>
      <c r="K2" s="463"/>
      <c r="L2" s="420"/>
      <c r="M2" s="420"/>
      <c r="N2" s="420"/>
      <c r="O2" s="420"/>
      <c r="P2" s="420"/>
      <c r="Q2" s="420"/>
    </row>
    <row r="4" spans="1:17" s="469" customFormat="1" x14ac:dyDescent="0.2">
      <c r="A4" s="466"/>
      <c r="B4" s="467" t="s">
        <v>12</v>
      </c>
      <c r="C4" s="468">
        <v>2011</v>
      </c>
      <c r="D4" s="1753" t="s">
        <v>440</v>
      </c>
      <c r="E4" s="1754"/>
      <c r="F4" s="1754"/>
      <c r="G4" s="1754"/>
      <c r="H4" s="1754"/>
      <c r="I4" s="1754"/>
      <c r="J4" s="1755"/>
      <c r="K4" s="1751" t="s">
        <v>441</v>
      </c>
      <c r="L4" s="1751"/>
      <c r="M4" s="1751"/>
      <c r="N4" s="1751"/>
      <c r="O4" s="1751"/>
      <c r="P4" s="1751"/>
      <c r="Q4" s="1752"/>
    </row>
    <row r="5" spans="1:17" s="469" customFormat="1" ht="75" x14ac:dyDescent="0.2">
      <c r="A5" s="470"/>
      <c r="B5" s="471"/>
      <c r="C5" s="468" t="s">
        <v>663</v>
      </c>
      <c r="D5" s="468" t="s">
        <v>418</v>
      </c>
      <c r="E5" s="370" t="s">
        <v>443</v>
      </c>
      <c r="F5" s="370" t="s">
        <v>444</v>
      </c>
      <c r="G5" s="370" t="s">
        <v>445</v>
      </c>
      <c r="H5" s="468" t="s">
        <v>416</v>
      </c>
      <c r="I5" s="468" t="s">
        <v>417</v>
      </c>
      <c r="J5" s="468" t="s">
        <v>888</v>
      </c>
      <c r="K5" s="370" t="s">
        <v>443</v>
      </c>
      <c r="L5" s="370" t="s">
        <v>444</v>
      </c>
      <c r="M5" s="370" t="s">
        <v>445</v>
      </c>
      <c r="N5" s="468" t="s">
        <v>416</v>
      </c>
      <c r="O5" s="370" t="s">
        <v>659</v>
      </c>
      <c r="P5" s="468" t="s">
        <v>417</v>
      </c>
      <c r="Q5" s="372" t="s">
        <v>888</v>
      </c>
    </row>
    <row r="6" spans="1:17" x14ac:dyDescent="0.25">
      <c r="A6" s="472">
        <v>1</v>
      </c>
      <c r="B6" s="473" t="s">
        <v>664</v>
      </c>
      <c r="C6" s="389"/>
      <c r="D6" s="376">
        <v>37307.510999999999</v>
      </c>
      <c r="E6" s="376">
        <v>9658.8590000000004</v>
      </c>
      <c r="F6" s="376">
        <v>6776.4070000000002</v>
      </c>
      <c r="G6" s="376">
        <v>580.88199999999995</v>
      </c>
      <c r="H6" s="376">
        <v>10415.591</v>
      </c>
      <c r="I6" s="376">
        <v>33870.446999999993</v>
      </c>
      <c r="J6" s="376">
        <v>98609.696999999986</v>
      </c>
      <c r="K6" s="378">
        <v>30313.200000000001</v>
      </c>
      <c r="L6" s="378">
        <v>0</v>
      </c>
      <c r="M6" s="378">
        <v>2307.6</v>
      </c>
      <c r="N6" s="378">
        <v>14015.82</v>
      </c>
      <c r="O6" s="378">
        <v>14015.82</v>
      </c>
      <c r="P6" s="378">
        <v>32068.795000000002</v>
      </c>
      <c r="Q6" s="379">
        <v>78705.415000000008</v>
      </c>
    </row>
    <row r="7" spans="1:17" x14ac:dyDescent="0.25">
      <c r="A7" s="474">
        <v>2</v>
      </c>
      <c r="B7" s="475" t="s">
        <v>665</v>
      </c>
      <c r="C7" s="389"/>
      <c r="D7" s="376">
        <v>10871.213</v>
      </c>
      <c r="E7" s="376">
        <v>1885.702</v>
      </c>
      <c r="F7" s="376">
        <v>2102.7359999999999</v>
      </c>
      <c r="G7" s="376">
        <v>310.26400000000001</v>
      </c>
      <c r="H7" s="376">
        <v>4687.991</v>
      </c>
      <c r="I7" s="376">
        <v>9168.5529999999999</v>
      </c>
      <c r="J7" s="376">
        <v>29026.458999999995</v>
      </c>
      <c r="K7" s="378">
        <v>4347</v>
      </c>
      <c r="L7" s="378">
        <v>0</v>
      </c>
      <c r="M7" s="378">
        <v>480</v>
      </c>
      <c r="N7" s="378">
        <v>6303.9009999999998</v>
      </c>
      <c r="O7" s="378">
        <v>6303.9009999999998</v>
      </c>
      <c r="P7" s="378">
        <v>5704.558</v>
      </c>
      <c r="Q7" s="379">
        <v>16835.459000000003</v>
      </c>
    </row>
    <row r="8" spans="1:17" s="454" customFormat="1" x14ac:dyDescent="0.25">
      <c r="A8" s="474">
        <v>3</v>
      </c>
      <c r="B8" s="475" t="s">
        <v>666</v>
      </c>
      <c r="C8" s="389"/>
      <c r="D8" s="376">
        <v>321.15600000000001</v>
      </c>
      <c r="E8" s="376">
        <v>92</v>
      </c>
      <c r="F8" s="376">
        <v>818.31099999999992</v>
      </c>
      <c r="G8" s="376">
        <v>523.02099999999996</v>
      </c>
      <c r="H8" s="376">
        <v>3153.4</v>
      </c>
      <c r="I8" s="376">
        <v>1370.0910000000001</v>
      </c>
      <c r="J8" s="376">
        <v>6277.9790000000003</v>
      </c>
      <c r="K8" s="378">
        <v>276</v>
      </c>
      <c r="L8" s="378">
        <v>0</v>
      </c>
      <c r="M8" s="378">
        <v>926.4</v>
      </c>
      <c r="N8" s="378">
        <v>2087.1</v>
      </c>
      <c r="O8" s="378">
        <v>2087.1</v>
      </c>
      <c r="P8" s="378">
        <v>0</v>
      </c>
      <c r="Q8" s="379">
        <v>3289.5000000000005</v>
      </c>
    </row>
    <row r="9" spans="1:17" s="454" customFormat="1" x14ac:dyDescent="0.25">
      <c r="A9" s="390">
        <v>4</v>
      </c>
      <c r="B9" s="391" t="s">
        <v>667</v>
      </c>
      <c r="C9" s="476">
        <v>0</v>
      </c>
      <c r="D9" s="476">
        <v>48499.880000000005</v>
      </c>
      <c r="E9" s="476">
        <v>11636.561</v>
      </c>
      <c r="F9" s="476">
        <v>9697.4539999999997</v>
      </c>
      <c r="G9" s="476">
        <v>1414.1669999999999</v>
      </c>
      <c r="H9" s="476">
        <v>18256.982</v>
      </c>
      <c r="I9" s="476">
        <v>44409.090999999993</v>
      </c>
      <c r="J9" s="476">
        <v>133914.13500000001</v>
      </c>
      <c r="K9" s="476">
        <v>34936.199999999997</v>
      </c>
      <c r="L9" s="476">
        <v>0</v>
      </c>
      <c r="M9" s="476">
        <v>3714</v>
      </c>
      <c r="N9" s="476">
        <v>22406.820999999996</v>
      </c>
      <c r="O9" s="476">
        <v>22406.820999999996</v>
      </c>
      <c r="P9" s="476">
        <v>37773.353000000003</v>
      </c>
      <c r="Q9" s="476">
        <v>98830.373999999996</v>
      </c>
    </row>
    <row r="10" spans="1:17" s="454" customFormat="1" x14ac:dyDescent="0.25">
      <c r="A10" s="390">
        <v>5</v>
      </c>
      <c r="B10" s="391" t="s">
        <v>668</v>
      </c>
      <c r="C10" s="476"/>
      <c r="D10" s="476">
        <v>13945.891</v>
      </c>
      <c r="E10" s="476">
        <v>3062.3130000000001</v>
      </c>
      <c r="F10" s="476">
        <v>2452.9369999999999</v>
      </c>
      <c r="G10" s="476">
        <v>376.512</v>
      </c>
      <c r="H10" s="476">
        <v>4427.0889999999999</v>
      </c>
      <c r="I10" s="476">
        <v>11635.154999999999</v>
      </c>
      <c r="J10" s="476">
        <v>35899.896999999997</v>
      </c>
      <c r="K10" s="476">
        <v>10275.744000000001</v>
      </c>
      <c r="L10" s="476">
        <v>0</v>
      </c>
      <c r="M10" s="476">
        <v>1002.7800000000001</v>
      </c>
      <c r="N10" s="476">
        <v>6030.1790000000001</v>
      </c>
      <c r="O10" s="476">
        <v>6030.1790000000001</v>
      </c>
      <c r="P10" s="476">
        <v>9264.7510000000002</v>
      </c>
      <c r="Q10" s="476">
        <v>26573.454000000002</v>
      </c>
    </row>
    <row r="11" spans="1:17" s="477" customFormat="1" x14ac:dyDescent="0.2">
      <c r="A11" s="390">
        <v>6</v>
      </c>
      <c r="B11" s="391" t="s">
        <v>669</v>
      </c>
      <c r="C11" s="476">
        <v>0</v>
      </c>
      <c r="D11" s="476">
        <v>15676.251</v>
      </c>
      <c r="E11" s="476">
        <v>6338.8120000000008</v>
      </c>
      <c r="F11" s="476">
        <v>3552.2360000000003</v>
      </c>
      <c r="G11" s="476">
        <v>2335.3100000000004</v>
      </c>
      <c r="H11" s="476">
        <v>35830.889000000003</v>
      </c>
      <c r="I11" s="476">
        <v>7111.4290000000001</v>
      </c>
      <c r="J11" s="476">
        <v>70844.927000000011</v>
      </c>
      <c r="K11" s="476">
        <v>19973.105209599998</v>
      </c>
      <c r="L11" s="476">
        <v>10197.028188976377</v>
      </c>
      <c r="M11" s="476">
        <v>2497.6275000000001</v>
      </c>
      <c r="N11" s="476">
        <v>27951.150711220471</v>
      </c>
      <c r="O11" s="476">
        <v>38148.17890019685</v>
      </c>
      <c r="P11" s="476">
        <v>11774.928659000001</v>
      </c>
      <c r="Q11" s="476">
        <v>72393.840268796834</v>
      </c>
    </row>
    <row r="12" spans="1:17" x14ac:dyDescent="0.25">
      <c r="A12" s="478">
        <v>7</v>
      </c>
      <c r="B12" s="479" t="s">
        <v>670</v>
      </c>
      <c r="C12" s="389">
        <v>0</v>
      </c>
      <c r="D12" s="376">
        <v>275.70100000000002</v>
      </c>
      <c r="E12" s="376">
        <v>638.84199999999998</v>
      </c>
      <c r="F12" s="376">
        <v>470.01000000000005</v>
      </c>
      <c r="G12" s="376">
        <v>77.579000000000008</v>
      </c>
      <c r="H12" s="376">
        <v>2146.5930000000003</v>
      </c>
      <c r="I12" s="376">
        <v>1341.011</v>
      </c>
      <c r="J12" s="376">
        <v>4949.7360000000008</v>
      </c>
      <c r="K12" s="378">
        <v>745</v>
      </c>
      <c r="L12" s="378">
        <v>660</v>
      </c>
      <c r="M12" s="378">
        <v>200</v>
      </c>
      <c r="N12" s="378">
        <v>2282</v>
      </c>
      <c r="O12" s="378">
        <v>2942</v>
      </c>
      <c r="P12" s="378">
        <v>1969</v>
      </c>
      <c r="Q12" s="379">
        <v>5856</v>
      </c>
    </row>
    <row r="13" spans="1:17" x14ac:dyDescent="0.25">
      <c r="A13" s="480">
        <v>8</v>
      </c>
      <c r="B13" s="481" t="s">
        <v>671</v>
      </c>
      <c r="C13" s="389"/>
      <c r="D13" s="376">
        <v>0</v>
      </c>
      <c r="E13" s="376">
        <v>0</v>
      </c>
      <c r="F13" s="376">
        <v>0</v>
      </c>
      <c r="G13" s="376">
        <v>0</v>
      </c>
      <c r="H13" s="376">
        <v>0</v>
      </c>
      <c r="I13" s="376">
        <v>0</v>
      </c>
      <c r="J13" s="376">
        <v>0</v>
      </c>
      <c r="K13" s="378">
        <v>0</v>
      </c>
      <c r="L13" s="378">
        <v>0</v>
      </c>
      <c r="M13" s="378">
        <v>0</v>
      </c>
      <c r="N13" s="378">
        <v>0</v>
      </c>
      <c r="O13" s="378">
        <v>0</v>
      </c>
      <c r="P13" s="378">
        <v>0</v>
      </c>
      <c r="Q13" s="379">
        <v>0</v>
      </c>
    </row>
    <row r="14" spans="1:17" x14ac:dyDescent="0.25">
      <c r="A14" s="480">
        <v>9</v>
      </c>
      <c r="B14" s="481" t="s">
        <v>419</v>
      </c>
      <c r="C14" s="389"/>
      <c r="D14" s="376">
        <v>3.9</v>
      </c>
      <c r="E14" s="376">
        <v>0</v>
      </c>
      <c r="F14" s="376">
        <v>0</v>
      </c>
      <c r="G14" s="376">
        <v>0</v>
      </c>
      <c r="H14" s="376">
        <v>57.414999999999999</v>
      </c>
      <c r="I14" s="376">
        <v>0</v>
      </c>
      <c r="J14" s="376">
        <v>61.314999999999998</v>
      </c>
      <c r="K14" s="378">
        <v>5</v>
      </c>
      <c r="L14" s="378">
        <v>10</v>
      </c>
      <c r="M14" s="378">
        <v>0</v>
      </c>
      <c r="N14" s="378">
        <v>150</v>
      </c>
      <c r="O14" s="378">
        <v>160</v>
      </c>
      <c r="P14" s="378">
        <v>0</v>
      </c>
      <c r="Q14" s="379">
        <v>165</v>
      </c>
    </row>
    <row r="15" spans="1:17" x14ac:dyDescent="0.25">
      <c r="A15" s="480">
        <v>10</v>
      </c>
      <c r="B15" s="481" t="s">
        <v>420</v>
      </c>
      <c r="C15" s="389"/>
      <c r="D15" s="376">
        <v>0</v>
      </c>
      <c r="E15" s="376">
        <v>0</v>
      </c>
      <c r="F15" s="376">
        <v>0</v>
      </c>
      <c r="G15" s="376">
        <v>17.811</v>
      </c>
      <c r="H15" s="376">
        <v>3.3050000000000002</v>
      </c>
      <c r="I15" s="376">
        <v>0</v>
      </c>
      <c r="J15" s="376">
        <v>21.116</v>
      </c>
      <c r="K15" s="378">
        <v>0</v>
      </c>
      <c r="L15" s="378">
        <v>0</v>
      </c>
      <c r="M15" s="378">
        <v>0</v>
      </c>
      <c r="N15" s="378">
        <v>0</v>
      </c>
      <c r="O15" s="378">
        <v>0</v>
      </c>
      <c r="P15" s="378">
        <v>0</v>
      </c>
      <c r="Q15" s="379">
        <v>0</v>
      </c>
    </row>
    <row r="16" spans="1:17" s="383" customFormat="1" x14ac:dyDescent="0.25">
      <c r="A16" s="482">
        <v>11</v>
      </c>
      <c r="B16" s="483" t="s">
        <v>672</v>
      </c>
      <c r="C16" s="382"/>
      <c r="D16" s="376">
        <v>96.269000000000005</v>
      </c>
      <c r="E16" s="376">
        <v>22.527999999999999</v>
      </c>
      <c r="F16" s="376">
        <v>15.244</v>
      </c>
      <c r="G16" s="376">
        <v>24.071000000000002</v>
      </c>
      <c r="H16" s="376">
        <v>249.023</v>
      </c>
      <c r="I16" s="376">
        <v>585.18299999999999</v>
      </c>
      <c r="J16" s="376">
        <v>992.31799999999998</v>
      </c>
      <c r="K16" s="378">
        <v>45</v>
      </c>
      <c r="L16" s="378">
        <v>100</v>
      </c>
      <c r="M16" s="378">
        <v>50</v>
      </c>
      <c r="N16" s="378">
        <v>50</v>
      </c>
      <c r="O16" s="378">
        <v>150</v>
      </c>
      <c r="P16" s="378">
        <v>849</v>
      </c>
      <c r="Q16" s="379">
        <v>1094</v>
      </c>
    </row>
    <row r="17" spans="1:17" x14ac:dyDescent="0.25">
      <c r="A17" s="480">
        <v>12</v>
      </c>
      <c r="B17" s="481" t="s">
        <v>673</v>
      </c>
      <c r="C17" s="389"/>
      <c r="D17" s="376">
        <v>0</v>
      </c>
      <c r="E17" s="376">
        <v>0</v>
      </c>
      <c r="F17" s="376">
        <v>381.88099999999997</v>
      </c>
      <c r="G17" s="376">
        <v>0</v>
      </c>
      <c r="H17" s="376">
        <v>3.343</v>
      </c>
      <c r="I17" s="376">
        <v>0</v>
      </c>
      <c r="J17" s="376">
        <v>385.22399999999999</v>
      </c>
      <c r="K17" s="378">
        <v>0</v>
      </c>
      <c r="L17" s="378">
        <v>0</v>
      </c>
      <c r="M17" s="378">
        <v>0</v>
      </c>
      <c r="N17" s="378">
        <v>12</v>
      </c>
      <c r="O17" s="378">
        <v>12</v>
      </c>
      <c r="P17" s="378">
        <v>100</v>
      </c>
      <c r="Q17" s="379">
        <v>112</v>
      </c>
    </row>
    <row r="18" spans="1:17" x14ac:dyDescent="0.25">
      <c r="A18" s="480">
        <v>13</v>
      </c>
      <c r="B18" s="481" t="s">
        <v>674</v>
      </c>
      <c r="C18" s="389"/>
      <c r="D18" s="376">
        <v>0</v>
      </c>
      <c r="E18" s="376">
        <v>0</v>
      </c>
      <c r="F18" s="376">
        <v>35.5</v>
      </c>
      <c r="G18" s="376">
        <v>0</v>
      </c>
      <c r="H18" s="376">
        <v>0</v>
      </c>
      <c r="I18" s="376">
        <v>0</v>
      </c>
      <c r="J18" s="376">
        <v>35.5</v>
      </c>
      <c r="K18" s="378">
        <v>60</v>
      </c>
      <c r="L18" s="378">
        <v>0</v>
      </c>
      <c r="M18" s="378">
        <v>0</v>
      </c>
      <c r="N18" s="378">
        <v>0</v>
      </c>
      <c r="O18" s="378">
        <v>0</v>
      </c>
      <c r="P18" s="378">
        <v>0</v>
      </c>
      <c r="Q18" s="379">
        <v>60</v>
      </c>
    </row>
    <row r="19" spans="1:17" x14ac:dyDescent="0.25">
      <c r="A19" s="480">
        <v>14</v>
      </c>
      <c r="B19" s="481" t="s">
        <v>675</v>
      </c>
      <c r="C19" s="389"/>
      <c r="D19" s="376">
        <v>0</v>
      </c>
      <c r="E19" s="376">
        <v>0</v>
      </c>
      <c r="F19" s="376">
        <v>0</v>
      </c>
      <c r="G19" s="376">
        <v>0</v>
      </c>
      <c r="H19" s="376">
        <v>0</v>
      </c>
      <c r="I19" s="376">
        <v>206.1</v>
      </c>
      <c r="J19" s="376">
        <v>206.1</v>
      </c>
      <c r="K19" s="378">
        <v>0</v>
      </c>
      <c r="L19" s="378">
        <v>0</v>
      </c>
      <c r="M19" s="378">
        <v>0</v>
      </c>
      <c r="N19" s="378">
        <v>0</v>
      </c>
      <c r="O19" s="378">
        <v>0</v>
      </c>
      <c r="P19" s="378">
        <v>170</v>
      </c>
      <c r="Q19" s="379">
        <v>170</v>
      </c>
    </row>
    <row r="20" spans="1:17" x14ac:dyDescent="0.25">
      <c r="A20" s="480">
        <v>15</v>
      </c>
      <c r="B20" s="481" t="s">
        <v>676</v>
      </c>
      <c r="C20" s="389"/>
      <c r="D20" s="376">
        <v>0</v>
      </c>
      <c r="E20" s="376">
        <v>0</v>
      </c>
      <c r="F20" s="376">
        <v>0</v>
      </c>
      <c r="G20" s="376">
        <v>0</v>
      </c>
      <c r="H20" s="376">
        <v>0</v>
      </c>
      <c r="I20" s="376">
        <v>0</v>
      </c>
      <c r="J20" s="376">
        <v>0</v>
      </c>
      <c r="K20" s="378">
        <v>0</v>
      </c>
      <c r="L20" s="378">
        <v>0</v>
      </c>
      <c r="M20" s="378">
        <v>0</v>
      </c>
      <c r="N20" s="378">
        <v>0</v>
      </c>
      <c r="O20" s="378">
        <v>0</v>
      </c>
      <c r="P20" s="378">
        <v>0</v>
      </c>
      <c r="Q20" s="379">
        <v>0</v>
      </c>
    </row>
    <row r="21" spans="1:17" x14ac:dyDescent="0.25">
      <c r="A21" s="480">
        <v>16</v>
      </c>
      <c r="B21" s="481" t="s">
        <v>677</v>
      </c>
      <c r="C21" s="389"/>
      <c r="D21" s="376">
        <v>0</v>
      </c>
      <c r="E21" s="376">
        <v>0</v>
      </c>
      <c r="F21" s="376">
        <v>0</v>
      </c>
      <c r="G21" s="376">
        <v>0</v>
      </c>
      <c r="H21" s="376">
        <v>782.96799999999996</v>
      </c>
      <c r="I21" s="376">
        <v>0</v>
      </c>
      <c r="J21" s="376">
        <v>782.96799999999996</v>
      </c>
      <c r="K21" s="378">
        <v>0</v>
      </c>
      <c r="L21" s="378">
        <v>0</v>
      </c>
      <c r="M21" s="378">
        <v>0</v>
      </c>
      <c r="N21" s="378">
        <v>900</v>
      </c>
      <c r="O21" s="378">
        <v>900</v>
      </c>
      <c r="P21" s="378">
        <v>0</v>
      </c>
      <c r="Q21" s="379">
        <v>900</v>
      </c>
    </row>
    <row r="22" spans="1:17" x14ac:dyDescent="0.25">
      <c r="A22" s="480">
        <v>17</v>
      </c>
      <c r="B22" s="481" t="s">
        <v>421</v>
      </c>
      <c r="C22" s="389"/>
      <c r="D22" s="376">
        <v>107.072</v>
      </c>
      <c r="E22" s="376">
        <v>88.415999999999997</v>
      </c>
      <c r="F22" s="376">
        <v>2.0710000000000002</v>
      </c>
      <c r="G22" s="376">
        <v>0</v>
      </c>
      <c r="H22" s="376">
        <v>201.38</v>
      </c>
      <c r="I22" s="376">
        <v>0</v>
      </c>
      <c r="J22" s="376">
        <v>398.93899999999996</v>
      </c>
      <c r="K22" s="378">
        <v>300</v>
      </c>
      <c r="L22" s="378">
        <v>400</v>
      </c>
      <c r="M22" s="378">
        <v>0</v>
      </c>
      <c r="N22" s="378">
        <v>100</v>
      </c>
      <c r="O22" s="378">
        <v>500</v>
      </c>
      <c r="P22" s="378">
        <v>0</v>
      </c>
      <c r="Q22" s="379">
        <v>800</v>
      </c>
    </row>
    <row r="23" spans="1:17" ht="25.5" x14ac:dyDescent="0.25">
      <c r="A23" s="480">
        <v>18</v>
      </c>
      <c r="B23" s="481" t="s">
        <v>678</v>
      </c>
      <c r="C23" s="389"/>
      <c r="D23" s="376">
        <v>15.717000000000001</v>
      </c>
      <c r="E23" s="376">
        <v>180.34899999999999</v>
      </c>
      <c r="F23" s="376">
        <v>0</v>
      </c>
      <c r="G23" s="376">
        <v>22</v>
      </c>
      <c r="H23" s="376">
        <v>40.271999999999998</v>
      </c>
      <c r="I23" s="376">
        <v>84.063000000000002</v>
      </c>
      <c r="J23" s="376">
        <v>342.40100000000001</v>
      </c>
      <c r="K23" s="378">
        <v>120</v>
      </c>
      <c r="L23" s="378">
        <v>0</v>
      </c>
      <c r="M23" s="378">
        <v>100</v>
      </c>
      <c r="N23" s="378">
        <v>60</v>
      </c>
      <c r="O23" s="378">
        <v>60</v>
      </c>
      <c r="P23" s="378">
        <v>200</v>
      </c>
      <c r="Q23" s="379">
        <v>480</v>
      </c>
    </row>
    <row r="24" spans="1:17" ht="25.5" x14ac:dyDescent="0.25">
      <c r="A24" s="480">
        <v>19</v>
      </c>
      <c r="B24" s="481" t="s">
        <v>679</v>
      </c>
      <c r="C24" s="389"/>
      <c r="D24" s="376">
        <v>0</v>
      </c>
      <c r="E24" s="376">
        <v>0</v>
      </c>
      <c r="F24" s="376">
        <v>0</v>
      </c>
      <c r="G24" s="376">
        <v>0</v>
      </c>
      <c r="H24" s="376">
        <v>67.545000000000002</v>
      </c>
      <c r="I24" s="376">
        <v>0</v>
      </c>
      <c r="J24" s="376">
        <v>67.545000000000002</v>
      </c>
      <c r="K24" s="378">
        <v>0</v>
      </c>
      <c r="L24" s="378">
        <v>0</v>
      </c>
      <c r="M24" s="378">
        <v>0</v>
      </c>
      <c r="N24" s="378">
        <v>150</v>
      </c>
      <c r="O24" s="378">
        <v>150</v>
      </c>
      <c r="P24" s="378">
        <v>0</v>
      </c>
      <c r="Q24" s="379">
        <v>150</v>
      </c>
    </row>
    <row r="25" spans="1:17" x14ac:dyDescent="0.25">
      <c r="A25" s="480">
        <v>20</v>
      </c>
      <c r="B25" s="481" t="s">
        <v>680</v>
      </c>
      <c r="C25" s="389"/>
      <c r="D25" s="376">
        <v>52.742999999999995</v>
      </c>
      <c r="E25" s="376">
        <v>347.54899999999998</v>
      </c>
      <c r="F25" s="376">
        <v>35.314</v>
      </c>
      <c r="G25" s="376">
        <v>13.696999999999999</v>
      </c>
      <c r="H25" s="376">
        <v>741.34199999999998</v>
      </c>
      <c r="I25" s="376">
        <v>465.66500000000002</v>
      </c>
      <c r="J25" s="376">
        <v>1656.31</v>
      </c>
      <c r="K25" s="378">
        <v>215</v>
      </c>
      <c r="L25" s="378">
        <v>150</v>
      </c>
      <c r="M25" s="378">
        <v>50</v>
      </c>
      <c r="N25" s="378">
        <v>860</v>
      </c>
      <c r="O25" s="378">
        <v>1010</v>
      </c>
      <c r="P25" s="378">
        <v>650</v>
      </c>
      <c r="Q25" s="379">
        <v>1925</v>
      </c>
    </row>
    <row r="26" spans="1:17" x14ac:dyDescent="0.25">
      <c r="A26" s="478">
        <v>21</v>
      </c>
      <c r="B26" s="479" t="s">
        <v>681</v>
      </c>
      <c r="C26" s="389">
        <v>0</v>
      </c>
      <c r="D26" s="376">
        <v>192.25800000000001</v>
      </c>
      <c r="E26" s="376">
        <v>62.027000000000001</v>
      </c>
      <c r="F26" s="376">
        <v>28.827999999999999</v>
      </c>
      <c r="G26" s="376">
        <v>64.864000000000004</v>
      </c>
      <c r="H26" s="376">
        <v>372.27600000000001</v>
      </c>
      <c r="I26" s="376">
        <v>1051.4829999999999</v>
      </c>
      <c r="J26" s="376">
        <v>1771.7359999999999</v>
      </c>
      <c r="K26" s="378">
        <v>157.35009359999998</v>
      </c>
      <c r="L26" s="378">
        <v>73.131</v>
      </c>
      <c r="M26" s="378">
        <v>164</v>
      </c>
      <c r="N26" s="378">
        <v>649</v>
      </c>
      <c r="O26" s="378">
        <v>722.13099999999997</v>
      </c>
      <c r="P26" s="378">
        <v>685.40300000000002</v>
      </c>
      <c r="Q26" s="379">
        <v>1728.8840936000001</v>
      </c>
    </row>
    <row r="27" spans="1:17" x14ac:dyDescent="0.25">
      <c r="A27" s="480">
        <v>22</v>
      </c>
      <c r="B27" s="481" t="s">
        <v>682</v>
      </c>
      <c r="C27" s="389"/>
      <c r="D27" s="376">
        <v>73.188000000000002</v>
      </c>
      <c r="E27" s="376">
        <v>11.914999999999999</v>
      </c>
      <c r="F27" s="376">
        <v>28.827999999999999</v>
      </c>
      <c r="G27" s="376">
        <v>23.106000000000002</v>
      </c>
      <c r="H27" s="376">
        <v>-2.214</v>
      </c>
      <c r="I27" s="376">
        <v>1041.643</v>
      </c>
      <c r="J27" s="376">
        <v>1176.4660000000001</v>
      </c>
      <c r="K27" s="378">
        <v>30.225971999999999</v>
      </c>
      <c r="L27" s="378">
        <v>73.131</v>
      </c>
      <c r="M27" s="378">
        <v>50</v>
      </c>
      <c r="N27" s="378">
        <v>0</v>
      </c>
      <c r="O27" s="378">
        <v>73.131</v>
      </c>
      <c r="P27" s="378">
        <v>618.34699999999998</v>
      </c>
      <c r="Q27" s="379">
        <v>771.70397200000002</v>
      </c>
    </row>
    <row r="28" spans="1:17" x14ac:dyDescent="0.25">
      <c r="A28" s="480">
        <v>23</v>
      </c>
      <c r="B28" s="481" t="s">
        <v>683</v>
      </c>
      <c r="C28" s="389"/>
      <c r="D28" s="376">
        <v>85.066000000000003</v>
      </c>
      <c r="E28" s="376">
        <v>50.112000000000002</v>
      </c>
      <c r="F28" s="376">
        <v>0</v>
      </c>
      <c r="G28" s="376">
        <v>41.758000000000003</v>
      </c>
      <c r="H28" s="376">
        <v>0</v>
      </c>
      <c r="I28" s="376">
        <v>9.84</v>
      </c>
      <c r="J28" s="376">
        <v>186.77600000000001</v>
      </c>
      <c r="K28" s="378">
        <v>127.12412159999998</v>
      </c>
      <c r="L28" s="378">
        <v>0</v>
      </c>
      <c r="M28" s="378">
        <v>114</v>
      </c>
      <c r="N28" s="378">
        <v>105</v>
      </c>
      <c r="O28" s="378">
        <v>105</v>
      </c>
      <c r="P28" s="378">
        <v>67.055999999999997</v>
      </c>
      <c r="Q28" s="379">
        <v>413.18012160000001</v>
      </c>
    </row>
    <row r="29" spans="1:17" x14ac:dyDescent="0.25">
      <c r="A29" s="480">
        <v>24</v>
      </c>
      <c r="B29" s="481" t="s">
        <v>684</v>
      </c>
      <c r="C29" s="389"/>
      <c r="D29" s="376">
        <v>34.003999999999998</v>
      </c>
      <c r="E29" s="376">
        <v>0</v>
      </c>
      <c r="F29" s="376">
        <v>0</v>
      </c>
      <c r="G29" s="376">
        <v>0</v>
      </c>
      <c r="H29" s="376">
        <v>374.49</v>
      </c>
      <c r="I29" s="376">
        <v>0</v>
      </c>
      <c r="J29" s="376">
        <v>408.49400000000003</v>
      </c>
      <c r="K29" s="378">
        <v>0</v>
      </c>
      <c r="L29" s="378">
        <v>0</v>
      </c>
      <c r="M29" s="378">
        <v>0</v>
      </c>
      <c r="N29" s="378">
        <v>544</v>
      </c>
      <c r="O29" s="378">
        <v>544</v>
      </c>
      <c r="P29" s="378">
        <v>0</v>
      </c>
      <c r="Q29" s="379">
        <v>544</v>
      </c>
    </row>
    <row r="30" spans="1:17" x14ac:dyDescent="0.25">
      <c r="A30" s="478">
        <v>25</v>
      </c>
      <c r="B30" s="479" t="s">
        <v>685</v>
      </c>
      <c r="C30" s="389">
        <v>0</v>
      </c>
      <c r="D30" s="376">
        <v>15169.269999999999</v>
      </c>
      <c r="E30" s="376">
        <v>5606.3610000000008</v>
      </c>
      <c r="F30" s="376">
        <v>3053.3980000000001</v>
      </c>
      <c r="G30" s="376">
        <v>2192.8670000000002</v>
      </c>
      <c r="H30" s="376">
        <v>23636.494000000002</v>
      </c>
      <c r="I30" s="376">
        <v>4385.1760000000004</v>
      </c>
      <c r="J30" s="376">
        <v>54043.565999999999</v>
      </c>
      <c r="K30" s="378">
        <v>18870.755116</v>
      </c>
      <c r="L30" s="378">
        <v>9463.8971889763779</v>
      </c>
      <c r="M30" s="378">
        <v>2133.6275000000001</v>
      </c>
      <c r="N30" s="378">
        <v>18217.598711220471</v>
      </c>
      <c r="O30" s="378">
        <v>27681.495900196849</v>
      </c>
      <c r="P30" s="378">
        <v>7640.5256589999999</v>
      </c>
      <c r="Q30" s="379">
        <v>56326.404175196847</v>
      </c>
    </row>
    <row r="31" spans="1:17" x14ac:dyDescent="0.25">
      <c r="A31" s="480">
        <v>26</v>
      </c>
      <c r="B31" s="481" t="s">
        <v>422</v>
      </c>
      <c r="C31" s="389"/>
      <c r="D31" s="376">
        <v>11101.998</v>
      </c>
      <c r="E31" s="376">
        <v>4900.027</v>
      </c>
      <c r="F31" s="376">
        <v>1848.883</v>
      </c>
      <c r="G31" s="376">
        <v>0</v>
      </c>
      <c r="H31" s="376">
        <v>0</v>
      </c>
      <c r="I31" s="376">
        <v>0</v>
      </c>
      <c r="J31" s="376">
        <v>17850.907999999999</v>
      </c>
      <c r="K31" s="378">
        <v>14126.425999999999</v>
      </c>
      <c r="L31" s="378">
        <v>5519.4089999999997</v>
      </c>
      <c r="M31" s="378">
        <v>0</v>
      </c>
      <c r="N31" s="378">
        <v>0</v>
      </c>
      <c r="O31" s="378">
        <v>5519.4089999999997</v>
      </c>
      <c r="P31" s="378">
        <v>0</v>
      </c>
      <c r="Q31" s="379">
        <v>19645.834999999999</v>
      </c>
    </row>
    <row r="32" spans="1:17" s="383" customFormat="1" x14ac:dyDescent="0.25">
      <c r="A32" s="482">
        <v>27</v>
      </c>
      <c r="B32" s="483" t="s">
        <v>686</v>
      </c>
      <c r="C32" s="382"/>
      <c r="D32" s="376">
        <v>0</v>
      </c>
      <c r="E32" s="376">
        <v>10.894</v>
      </c>
      <c r="F32" s="376">
        <v>0</v>
      </c>
      <c r="G32" s="376">
        <v>0</v>
      </c>
      <c r="H32" s="376">
        <v>2938.3720000000003</v>
      </c>
      <c r="I32" s="376">
        <v>185.5</v>
      </c>
      <c r="J32" s="376">
        <v>3134.7660000000001</v>
      </c>
      <c r="K32" s="378">
        <v>96</v>
      </c>
      <c r="L32" s="378">
        <v>0</v>
      </c>
      <c r="M32" s="378">
        <v>0</v>
      </c>
      <c r="N32" s="378">
        <v>2471.94</v>
      </c>
      <c r="O32" s="378">
        <v>2471.94</v>
      </c>
      <c r="P32" s="378">
        <v>291</v>
      </c>
      <c r="Q32" s="379">
        <v>2858.94</v>
      </c>
    </row>
    <row r="33" spans="1:17" x14ac:dyDescent="0.25">
      <c r="A33" s="480">
        <v>28</v>
      </c>
      <c r="B33" s="481" t="s">
        <v>687</v>
      </c>
      <c r="C33" s="389"/>
      <c r="D33" s="376">
        <v>0</v>
      </c>
      <c r="E33" s="376">
        <v>0</v>
      </c>
      <c r="F33" s="376">
        <v>0</v>
      </c>
      <c r="G33" s="376">
        <v>0</v>
      </c>
      <c r="H33" s="376">
        <v>31.187999999999999</v>
      </c>
      <c r="I33" s="376">
        <v>5.3</v>
      </c>
      <c r="J33" s="376">
        <v>36.488</v>
      </c>
      <c r="K33" s="378">
        <v>0</v>
      </c>
      <c r="L33" s="378">
        <v>0</v>
      </c>
      <c r="M33" s="378">
        <v>0</v>
      </c>
      <c r="N33" s="378">
        <v>400</v>
      </c>
      <c r="O33" s="378">
        <v>400</v>
      </c>
      <c r="P33" s="378">
        <v>0</v>
      </c>
      <c r="Q33" s="379">
        <v>400</v>
      </c>
    </row>
    <row r="34" spans="1:17" x14ac:dyDescent="0.25">
      <c r="A34" s="480">
        <v>29</v>
      </c>
      <c r="B34" s="481" t="s">
        <v>688</v>
      </c>
      <c r="C34" s="389"/>
      <c r="D34" s="376">
        <v>2863.96</v>
      </c>
      <c r="E34" s="376">
        <v>46.578000000000003</v>
      </c>
      <c r="F34" s="376">
        <v>633.91399999999999</v>
      </c>
      <c r="G34" s="376">
        <v>1622.242</v>
      </c>
      <c r="H34" s="376">
        <v>1379.5170000000001</v>
      </c>
      <c r="I34" s="376">
        <v>1090.1869999999999</v>
      </c>
      <c r="J34" s="376">
        <v>7636.3980000000001</v>
      </c>
      <c r="K34" s="378">
        <v>3000</v>
      </c>
      <c r="L34" s="378">
        <v>2500</v>
      </c>
      <c r="M34" s="378">
        <v>885.62199999999996</v>
      </c>
      <c r="N34" s="378">
        <v>1458.1494689999997</v>
      </c>
      <c r="O34" s="378">
        <v>3958.149469</v>
      </c>
      <c r="P34" s="378">
        <v>1152.327659</v>
      </c>
      <c r="Q34" s="379">
        <v>8996.0991279999998</v>
      </c>
    </row>
    <row r="35" spans="1:17" x14ac:dyDescent="0.25">
      <c r="A35" s="480">
        <v>30</v>
      </c>
      <c r="B35" s="481" t="s">
        <v>689</v>
      </c>
      <c r="C35" s="389"/>
      <c r="D35" s="376">
        <v>412.15300000000002</v>
      </c>
      <c r="E35" s="376">
        <v>237.71799999999999</v>
      </c>
      <c r="F35" s="376">
        <v>290.74599999999998</v>
      </c>
      <c r="G35" s="376">
        <v>159.69200000000001</v>
      </c>
      <c r="H35" s="376">
        <v>5540.2290000000003</v>
      </c>
      <c r="I35" s="376">
        <v>792.774</v>
      </c>
      <c r="J35" s="376">
        <v>7433.3120000000008</v>
      </c>
      <c r="K35" s="378">
        <v>603.04302239999993</v>
      </c>
      <c r="L35" s="378">
        <v>600</v>
      </c>
      <c r="M35" s="378">
        <v>405.10750000000002</v>
      </c>
      <c r="N35" s="378">
        <v>5735.8823759999996</v>
      </c>
      <c r="O35" s="378">
        <v>6335.8823759999996</v>
      </c>
      <c r="P35" s="378">
        <v>898.23900000000003</v>
      </c>
      <c r="Q35" s="379">
        <v>8242.2718983999985</v>
      </c>
    </row>
    <row r="36" spans="1:17" x14ac:dyDescent="0.25">
      <c r="A36" s="480">
        <v>31</v>
      </c>
      <c r="B36" s="481" t="s">
        <v>690</v>
      </c>
      <c r="C36" s="389"/>
      <c r="D36" s="376">
        <v>0</v>
      </c>
      <c r="E36" s="376">
        <v>0</v>
      </c>
      <c r="F36" s="376">
        <v>0</v>
      </c>
      <c r="G36" s="376">
        <v>0</v>
      </c>
      <c r="H36" s="376">
        <v>0</v>
      </c>
      <c r="I36" s="376">
        <v>0</v>
      </c>
      <c r="J36" s="376">
        <v>0</v>
      </c>
      <c r="K36" s="378">
        <v>0</v>
      </c>
      <c r="L36" s="378">
        <v>0</v>
      </c>
      <c r="M36" s="378">
        <v>0</v>
      </c>
      <c r="N36" s="378">
        <v>0</v>
      </c>
      <c r="O36" s="378">
        <v>0</v>
      </c>
      <c r="P36" s="378">
        <v>0</v>
      </c>
      <c r="Q36" s="379">
        <v>0</v>
      </c>
    </row>
    <row r="37" spans="1:17" x14ac:dyDescent="0.25">
      <c r="A37" s="480">
        <v>32</v>
      </c>
      <c r="B37" s="481" t="s">
        <v>691</v>
      </c>
      <c r="C37" s="389"/>
      <c r="D37" s="376">
        <v>263.786</v>
      </c>
      <c r="E37" s="376">
        <v>110.432</v>
      </c>
      <c r="F37" s="376">
        <v>203.53200000000001</v>
      </c>
      <c r="G37" s="376">
        <v>122.47199999999999</v>
      </c>
      <c r="H37" s="376">
        <v>966.59</v>
      </c>
      <c r="I37" s="376">
        <v>46.304000000000002</v>
      </c>
      <c r="J37" s="376">
        <v>1713.116</v>
      </c>
      <c r="K37" s="378">
        <v>280.1438976</v>
      </c>
      <c r="L37" s="378">
        <v>300</v>
      </c>
      <c r="M37" s="378">
        <v>100</v>
      </c>
      <c r="N37" s="378">
        <v>1021.6856299999998</v>
      </c>
      <c r="O37" s="378">
        <v>1321.6856299999999</v>
      </c>
      <c r="P37" s="378">
        <v>80</v>
      </c>
      <c r="Q37" s="379">
        <v>1781.8295275999999</v>
      </c>
    </row>
    <row r="38" spans="1:17" s="383" customFormat="1" ht="25.5" x14ac:dyDescent="0.25">
      <c r="A38" s="482">
        <v>33</v>
      </c>
      <c r="B38" s="483" t="s">
        <v>692</v>
      </c>
      <c r="C38" s="382"/>
      <c r="D38" s="376">
        <v>55.47</v>
      </c>
      <c r="E38" s="376">
        <v>79.117000000000004</v>
      </c>
      <c r="F38" s="376">
        <v>61.283000000000001</v>
      </c>
      <c r="G38" s="376">
        <v>12</v>
      </c>
      <c r="H38" s="376">
        <v>6167.7709999999997</v>
      </c>
      <c r="I38" s="376">
        <v>1476.548</v>
      </c>
      <c r="J38" s="376">
        <v>7852.1889999999994</v>
      </c>
      <c r="K38" s="378">
        <v>203</v>
      </c>
      <c r="L38" s="378">
        <v>394.48818897637796</v>
      </c>
      <c r="M38" s="378">
        <v>50</v>
      </c>
      <c r="N38" s="378">
        <v>5767.3230000000003</v>
      </c>
      <c r="O38" s="378">
        <v>6161.8111889763786</v>
      </c>
      <c r="P38" s="378">
        <v>2200</v>
      </c>
      <c r="Q38" s="379">
        <v>8614.8111889763786</v>
      </c>
    </row>
    <row r="39" spans="1:17" s="486" customFormat="1" hidden="1" x14ac:dyDescent="0.25">
      <c r="A39" s="484"/>
      <c r="B39" s="485" t="s">
        <v>693</v>
      </c>
      <c r="C39" s="389"/>
      <c r="D39" s="376">
        <v>0</v>
      </c>
      <c r="E39" s="376">
        <v>0</v>
      </c>
      <c r="F39" s="376">
        <v>0</v>
      </c>
      <c r="G39" s="376">
        <v>0</v>
      </c>
      <c r="H39" s="376">
        <v>0</v>
      </c>
      <c r="I39" s="376">
        <v>0</v>
      </c>
      <c r="J39" s="376">
        <v>0</v>
      </c>
      <c r="K39" s="378">
        <v>0</v>
      </c>
      <c r="L39" s="378">
        <v>0</v>
      </c>
      <c r="M39" s="378">
        <v>0</v>
      </c>
      <c r="N39" s="378">
        <v>0</v>
      </c>
      <c r="O39" s="378">
        <v>0</v>
      </c>
      <c r="P39" s="378">
        <v>0</v>
      </c>
      <c r="Q39" s="379">
        <v>0</v>
      </c>
    </row>
    <row r="40" spans="1:17" s="486" customFormat="1" hidden="1" x14ac:dyDescent="0.25">
      <c r="A40" s="484"/>
      <c r="B40" s="485" t="s">
        <v>694</v>
      </c>
      <c r="C40" s="389"/>
      <c r="D40" s="376">
        <v>0</v>
      </c>
      <c r="E40" s="376">
        <v>0</v>
      </c>
      <c r="F40" s="376">
        <v>0</v>
      </c>
      <c r="G40" s="376">
        <v>0</v>
      </c>
      <c r="H40" s="376">
        <v>0</v>
      </c>
      <c r="I40" s="376">
        <v>0</v>
      </c>
      <c r="J40" s="376">
        <v>0</v>
      </c>
      <c r="K40" s="378">
        <v>0</v>
      </c>
      <c r="L40" s="378">
        <v>0</v>
      </c>
      <c r="M40" s="378">
        <v>0</v>
      </c>
      <c r="N40" s="378">
        <v>0</v>
      </c>
      <c r="O40" s="378">
        <v>0</v>
      </c>
      <c r="P40" s="378">
        <v>0</v>
      </c>
      <c r="Q40" s="379">
        <v>0</v>
      </c>
    </row>
    <row r="41" spans="1:17" s="486" customFormat="1" hidden="1" x14ac:dyDescent="0.25">
      <c r="A41" s="484"/>
      <c r="B41" s="485" t="s">
        <v>695</v>
      </c>
      <c r="C41" s="389"/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6">
        <v>0</v>
      </c>
      <c r="K41" s="378">
        <v>0</v>
      </c>
      <c r="L41" s="378">
        <v>0</v>
      </c>
      <c r="M41" s="378">
        <v>0</v>
      </c>
      <c r="N41" s="378">
        <v>0</v>
      </c>
      <c r="O41" s="378">
        <v>0</v>
      </c>
      <c r="P41" s="378">
        <v>0</v>
      </c>
      <c r="Q41" s="379">
        <v>0</v>
      </c>
    </row>
    <row r="42" spans="1:17" s="486" customFormat="1" hidden="1" x14ac:dyDescent="0.25">
      <c r="A42" s="484"/>
      <c r="B42" s="485" t="s">
        <v>696</v>
      </c>
      <c r="C42" s="389"/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8">
        <v>0</v>
      </c>
      <c r="L42" s="378">
        <v>0</v>
      </c>
      <c r="M42" s="378">
        <v>0</v>
      </c>
      <c r="N42" s="378">
        <v>0</v>
      </c>
      <c r="O42" s="378">
        <v>0</v>
      </c>
      <c r="P42" s="378">
        <v>0</v>
      </c>
      <c r="Q42" s="379">
        <v>0</v>
      </c>
    </row>
    <row r="43" spans="1:17" s="486" customFormat="1" hidden="1" x14ac:dyDescent="0.25">
      <c r="A43" s="484"/>
      <c r="B43" s="485" t="s">
        <v>697</v>
      </c>
      <c r="C43" s="389"/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8">
        <v>0</v>
      </c>
      <c r="L43" s="378">
        <v>0</v>
      </c>
      <c r="M43" s="378">
        <v>0</v>
      </c>
      <c r="N43" s="378">
        <v>0</v>
      </c>
      <c r="O43" s="378">
        <v>0</v>
      </c>
      <c r="P43" s="378">
        <v>0</v>
      </c>
      <c r="Q43" s="379">
        <v>0</v>
      </c>
    </row>
    <row r="44" spans="1:17" s="486" customFormat="1" hidden="1" x14ac:dyDescent="0.25">
      <c r="A44" s="484"/>
      <c r="B44" s="485" t="s">
        <v>698</v>
      </c>
      <c r="C44" s="389"/>
      <c r="D44" s="376">
        <v>0</v>
      </c>
      <c r="E44" s="376">
        <v>0</v>
      </c>
      <c r="F44" s="376">
        <v>0</v>
      </c>
      <c r="G44" s="376">
        <v>0</v>
      </c>
      <c r="H44" s="376">
        <v>0</v>
      </c>
      <c r="I44" s="376">
        <v>0</v>
      </c>
      <c r="J44" s="376">
        <v>0</v>
      </c>
      <c r="K44" s="378">
        <v>0</v>
      </c>
      <c r="L44" s="378">
        <v>0</v>
      </c>
      <c r="M44" s="378">
        <v>0</v>
      </c>
      <c r="N44" s="378">
        <v>0</v>
      </c>
      <c r="O44" s="378">
        <v>0</v>
      </c>
      <c r="P44" s="378">
        <v>0</v>
      </c>
      <c r="Q44" s="379">
        <v>0</v>
      </c>
    </row>
    <row r="45" spans="1:17" ht="25.5" x14ac:dyDescent="0.25">
      <c r="A45" s="480">
        <v>34</v>
      </c>
      <c r="B45" s="481" t="s">
        <v>699</v>
      </c>
      <c r="C45" s="389"/>
      <c r="D45" s="376">
        <v>471.90300000000002</v>
      </c>
      <c r="E45" s="376">
        <v>221.595</v>
      </c>
      <c r="F45" s="376">
        <v>15.04</v>
      </c>
      <c r="G45" s="376">
        <v>276.46100000000001</v>
      </c>
      <c r="H45" s="376">
        <v>5753.915</v>
      </c>
      <c r="I45" s="376">
        <v>788.56299999999999</v>
      </c>
      <c r="J45" s="376">
        <v>7527.4769999999999</v>
      </c>
      <c r="K45" s="378">
        <v>562.14219600000001</v>
      </c>
      <c r="L45" s="378">
        <v>150</v>
      </c>
      <c r="M45" s="378">
        <v>692.89800000000002</v>
      </c>
      <c r="N45" s="378">
        <v>1362.6182362204725</v>
      </c>
      <c r="O45" s="378">
        <v>1512.6182362204725</v>
      </c>
      <c r="P45" s="378">
        <v>3018.9589999999998</v>
      </c>
      <c r="Q45" s="379">
        <v>5786.6174322204724</v>
      </c>
    </row>
    <row r="46" spans="1:17" s="486" customFormat="1" hidden="1" x14ac:dyDescent="0.25">
      <c r="A46" s="484"/>
      <c r="B46" s="485" t="s">
        <v>700</v>
      </c>
      <c r="C46" s="389"/>
      <c r="D46" s="376">
        <v>0</v>
      </c>
      <c r="E46" s="376">
        <v>0</v>
      </c>
      <c r="F46" s="376">
        <v>0</v>
      </c>
      <c r="G46" s="376">
        <v>0</v>
      </c>
      <c r="H46" s="376">
        <v>0</v>
      </c>
      <c r="I46" s="376">
        <v>0</v>
      </c>
      <c r="J46" s="376">
        <v>0</v>
      </c>
      <c r="K46" s="378">
        <v>0</v>
      </c>
      <c r="L46" s="378">
        <v>0</v>
      </c>
      <c r="M46" s="378">
        <v>0</v>
      </c>
      <c r="N46" s="378">
        <v>0</v>
      </c>
      <c r="O46" s="378">
        <v>0</v>
      </c>
      <c r="P46" s="378">
        <v>0</v>
      </c>
      <c r="Q46" s="379">
        <v>0</v>
      </c>
    </row>
    <row r="47" spans="1:17" s="486" customFormat="1" hidden="1" x14ac:dyDescent="0.25">
      <c r="A47" s="484"/>
      <c r="B47" s="485" t="s">
        <v>701</v>
      </c>
      <c r="C47" s="389"/>
      <c r="D47" s="376">
        <v>0</v>
      </c>
      <c r="E47" s="376">
        <v>0</v>
      </c>
      <c r="F47" s="376">
        <v>0</v>
      </c>
      <c r="G47" s="376">
        <v>0</v>
      </c>
      <c r="H47" s="376">
        <v>0</v>
      </c>
      <c r="I47" s="376">
        <v>0</v>
      </c>
      <c r="J47" s="376">
        <v>0</v>
      </c>
      <c r="K47" s="378">
        <v>0</v>
      </c>
      <c r="L47" s="378">
        <v>0</v>
      </c>
      <c r="M47" s="378">
        <v>0</v>
      </c>
      <c r="N47" s="378">
        <v>0</v>
      </c>
      <c r="O47" s="378">
        <v>0</v>
      </c>
      <c r="P47" s="378">
        <v>0</v>
      </c>
      <c r="Q47" s="379">
        <v>0</v>
      </c>
    </row>
    <row r="48" spans="1:17" s="486" customFormat="1" hidden="1" x14ac:dyDescent="0.25">
      <c r="A48" s="484"/>
      <c r="B48" s="485" t="s">
        <v>702</v>
      </c>
      <c r="C48" s="389"/>
      <c r="D48" s="376">
        <v>0</v>
      </c>
      <c r="E48" s="376">
        <v>0</v>
      </c>
      <c r="F48" s="376">
        <v>0</v>
      </c>
      <c r="G48" s="376">
        <v>0</v>
      </c>
      <c r="H48" s="376">
        <v>0</v>
      </c>
      <c r="I48" s="376">
        <v>0</v>
      </c>
      <c r="J48" s="376">
        <v>0</v>
      </c>
      <c r="K48" s="378">
        <v>0</v>
      </c>
      <c r="L48" s="378">
        <v>0</v>
      </c>
      <c r="M48" s="378">
        <v>0</v>
      </c>
      <c r="N48" s="378">
        <v>0</v>
      </c>
      <c r="O48" s="378">
        <v>0</v>
      </c>
      <c r="P48" s="378">
        <v>0</v>
      </c>
      <c r="Q48" s="379">
        <v>0</v>
      </c>
    </row>
    <row r="49" spans="1:17" s="486" customFormat="1" hidden="1" x14ac:dyDescent="0.25">
      <c r="A49" s="484"/>
      <c r="B49" s="485" t="s">
        <v>703</v>
      </c>
      <c r="C49" s="389"/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8">
        <v>0</v>
      </c>
      <c r="L49" s="378">
        <v>0</v>
      </c>
      <c r="M49" s="378">
        <v>0</v>
      </c>
      <c r="N49" s="378">
        <v>0</v>
      </c>
      <c r="O49" s="378">
        <v>0</v>
      </c>
      <c r="P49" s="378">
        <v>0</v>
      </c>
      <c r="Q49" s="379">
        <v>0</v>
      </c>
    </row>
    <row r="50" spans="1:17" s="486" customFormat="1" hidden="1" x14ac:dyDescent="0.25">
      <c r="A50" s="484"/>
      <c r="B50" s="485" t="s">
        <v>704</v>
      </c>
      <c r="C50" s="389"/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8">
        <v>0</v>
      </c>
      <c r="L50" s="378">
        <v>0</v>
      </c>
      <c r="M50" s="378">
        <v>0</v>
      </c>
      <c r="N50" s="378">
        <v>0</v>
      </c>
      <c r="O50" s="378">
        <v>0</v>
      </c>
      <c r="P50" s="378">
        <v>0</v>
      </c>
      <c r="Q50" s="379">
        <v>0</v>
      </c>
    </row>
    <row r="51" spans="1:17" s="486" customFormat="1" hidden="1" x14ac:dyDescent="0.25">
      <c r="A51" s="484"/>
      <c r="B51" s="485" t="s">
        <v>705</v>
      </c>
      <c r="C51" s="389"/>
      <c r="D51" s="376">
        <v>0</v>
      </c>
      <c r="E51" s="376">
        <v>0</v>
      </c>
      <c r="F51" s="376">
        <v>0</v>
      </c>
      <c r="G51" s="376">
        <v>0</v>
      </c>
      <c r="H51" s="376">
        <v>0</v>
      </c>
      <c r="I51" s="376">
        <v>0</v>
      </c>
      <c r="J51" s="376">
        <v>0</v>
      </c>
      <c r="K51" s="378">
        <v>0</v>
      </c>
      <c r="L51" s="378">
        <v>0</v>
      </c>
      <c r="M51" s="378">
        <v>0</v>
      </c>
      <c r="N51" s="378">
        <v>0</v>
      </c>
      <c r="O51" s="378">
        <v>0</v>
      </c>
      <c r="P51" s="378">
        <v>0</v>
      </c>
      <c r="Q51" s="379">
        <v>0</v>
      </c>
    </row>
    <row r="52" spans="1:17" s="486" customFormat="1" hidden="1" x14ac:dyDescent="0.25">
      <c r="A52" s="484"/>
      <c r="B52" s="485" t="s">
        <v>706</v>
      </c>
      <c r="C52" s="389"/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6">
        <v>0</v>
      </c>
      <c r="K52" s="378">
        <v>0</v>
      </c>
      <c r="L52" s="378">
        <v>0</v>
      </c>
      <c r="M52" s="378">
        <v>0</v>
      </c>
      <c r="N52" s="378">
        <v>0</v>
      </c>
      <c r="O52" s="378">
        <v>0</v>
      </c>
      <c r="P52" s="378">
        <v>0</v>
      </c>
      <c r="Q52" s="379">
        <v>0</v>
      </c>
    </row>
    <row r="53" spans="1:17" s="486" customFormat="1" hidden="1" x14ac:dyDescent="0.25">
      <c r="A53" s="484"/>
      <c r="B53" s="485" t="s">
        <v>707</v>
      </c>
      <c r="C53" s="389"/>
      <c r="D53" s="376">
        <v>0</v>
      </c>
      <c r="E53" s="376">
        <v>0</v>
      </c>
      <c r="F53" s="376">
        <v>0</v>
      </c>
      <c r="G53" s="376">
        <v>0</v>
      </c>
      <c r="H53" s="376">
        <v>0</v>
      </c>
      <c r="I53" s="376">
        <v>0</v>
      </c>
      <c r="J53" s="376">
        <v>0</v>
      </c>
      <c r="K53" s="378">
        <v>0</v>
      </c>
      <c r="L53" s="378">
        <v>0</v>
      </c>
      <c r="M53" s="378">
        <v>0</v>
      </c>
      <c r="N53" s="378">
        <v>0</v>
      </c>
      <c r="O53" s="378">
        <v>0</v>
      </c>
      <c r="P53" s="378">
        <v>0</v>
      </c>
      <c r="Q53" s="379">
        <v>0</v>
      </c>
    </row>
    <row r="54" spans="1:17" ht="25.5" x14ac:dyDescent="0.25">
      <c r="A54" s="480">
        <v>35</v>
      </c>
      <c r="B54" s="481" t="s">
        <v>708</v>
      </c>
      <c r="C54" s="389"/>
      <c r="D54" s="376">
        <v>0</v>
      </c>
      <c r="E54" s="376">
        <v>0</v>
      </c>
      <c r="F54" s="376">
        <v>0</v>
      </c>
      <c r="G54" s="376">
        <v>0</v>
      </c>
      <c r="H54" s="376">
        <v>858.91200000000003</v>
      </c>
      <c r="I54" s="376">
        <v>0</v>
      </c>
      <c r="J54" s="376">
        <v>858.91200000000003</v>
      </c>
      <c r="K54" s="378">
        <v>0</v>
      </c>
      <c r="L54" s="378">
        <v>0</v>
      </c>
      <c r="M54" s="378">
        <v>0</v>
      </c>
      <c r="N54" s="378">
        <v>0</v>
      </c>
      <c r="O54" s="378">
        <v>0</v>
      </c>
      <c r="P54" s="378">
        <v>0</v>
      </c>
      <c r="Q54" s="379">
        <v>0</v>
      </c>
    </row>
    <row r="55" spans="1:17" x14ac:dyDescent="0.25">
      <c r="A55" s="480">
        <v>36</v>
      </c>
      <c r="B55" s="481" t="s">
        <v>709</v>
      </c>
      <c r="C55" s="389"/>
      <c r="D55" s="376">
        <v>0</v>
      </c>
      <c r="E55" s="376">
        <v>0</v>
      </c>
      <c r="F55" s="376">
        <v>0</v>
      </c>
      <c r="G55" s="376">
        <v>0</v>
      </c>
      <c r="H55" s="376">
        <v>0</v>
      </c>
      <c r="I55" s="376">
        <v>0</v>
      </c>
      <c r="J55" s="376">
        <v>0</v>
      </c>
      <c r="K55" s="378">
        <v>0</v>
      </c>
      <c r="L55" s="378">
        <v>0</v>
      </c>
      <c r="M55" s="378">
        <v>0</v>
      </c>
      <c r="N55" s="378">
        <v>0</v>
      </c>
      <c r="O55" s="378">
        <v>0</v>
      </c>
      <c r="P55" s="378">
        <v>0</v>
      </c>
      <c r="Q55" s="379">
        <v>0</v>
      </c>
    </row>
    <row r="56" spans="1:17" x14ac:dyDescent="0.25">
      <c r="A56" s="478">
        <v>37</v>
      </c>
      <c r="B56" s="479" t="s">
        <v>710</v>
      </c>
      <c r="C56" s="389"/>
      <c r="D56" s="376">
        <v>0</v>
      </c>
      <c r="E56" s="376">
        <v>0</v>
      </c>
      <c r="F56" s="376">
        <v>0</v>
      </c>
      <c r="G56" s="376">
        <v>0</v>
      </c>
      <c r="H56" s="376">
        <v>0</v>
      </c>
      <c r="I56" s="376">
        <v>0</v>
      </c>
      <c r="J56" s="376">
        <v>0</v>
      </c>
      <c r="K56" s="378">
        <v>0</v>
      </c>
      <c r="L56" s="378">
        <v>0</v>
      </c>
      <c r="M56" s="378">
        <v>0</v>
      </c>
      <c r="N56" s="378">
        <v>0</v>
      </c>
      <c r="O56" s="378">
        <v>0</v>
      </c>
      <c r="P56" s="378">
        <v>0</v>
      </c>
      <c r="Q56" s="379">
        <v>0</v>
      </c>
    </row>
    <row r="57" spans="1:17" x14ac:dyDescent="0.25">
      <c r="A57" s="478">
        <v>38</v>
      </c>
      <c r="B57" s="479" t="s">
        <v>711</v>
      </c>
      <c r="C57" s="389">
        <v>0</v>
      </c>
      <c r="D57" s="376">
        <v>0</v>
      </c>
      <c r="E57" s="376">
        <v>15.282</v>
      </c>
      <c r="F57" s="376">
        <v>0</v>
      </c>
      <c r="G57" s="376">
        <v>0</v>
      </c>
      <c r="H57" s="376">
        <v>398.45399999999995</v>
      </c>
      <c r="I57" s="376">
        <v>72.844999999999999</v>
      </c>
      <c r="J57" s="376">
        <v>486.5809999999999</v>
      </c>
      <c r="K57" s="378">
        <v>30</v>
      </c>
      <c r="L57" s="378">
        <v>0</v>
      </c>
      <c r="M57" s="378">
        <v>0</v>
      </c>
      <c r="N57" s="378">
        <v>370</v>
      </c>
      <c r="O57" s="378">
        <v>370</v>
      </c>
      <c r="P57" s="378">
        <v>100</v>
      </c>
      <c r="Q57" s="379">
        <v>500</v>
      </c>
    </row>
    <row r="58" spans="1:17" x14ac:dyDescent="0.25">
      <c r="A58" s="480">
        <v>39</v>
      </c>
      <c r="B58" s="481" t="s">
        <v>712</v>
      </c>
      <c r="C58" s="389"/>
      <c r="D58" s="376">
        <v>0</v>
      </c>
      <c r="E58" s="376">
        <v>0</v>
      </c>
      <c r="F58" s="376">
        <v>0</v>
      </c>
      <c r="G58" s="376">
        <v>0</v>
      </c>
      <c r="H58" s="376">
        <v>78.727000000000004</v>
      </c>
      <c r="I58" s="376">
        <v>72.844999999999999</v>
      </c>
      <c r="J58" s="376">
        <v>151.572</v>
      </c>
      <c r="K58" s="378">
        <v>0</v>
      </c>
      <c r="L58" s="378">
        <v>0</v>
      </c>
      <c r="M58" s="378">
        <v>0</v>
      </c>
      <c r="N58" s="378">
        <v>70</v>
      </c>
      <c r="O58" s="378">
        <v>70</v>
      </c>
      <c r="P58" s="378">
        <v>100</v>
      </c>
      <c r="Q58" s="379">
        <v>170</v>
      </c>
    </row>
    <row r="59" spans="1:17" x14ac:dyDescent="0.25">
      <c r="A59" s="480">
        <v>40</v>
      </c>
      <c r="B59" s="481" t="s">
        <v>713</v>
      </c>
      <c r="C59" s="389"/>
      <c r="D59" s="376">
        <v>0</v>
      </c>
      <c r="E59" s="376">
        <v>0</v>
      </c>
      <c r="F59" s="376">
        <v>0</v>
      </c>
      <c r="G59" s="376">
        <v>0</v>
      </c>
      <c r="H59" s="376">
        <v>0</v>
      </c>
      <c r="I59" s="376">
        <v>0</v>
      </c>
      <c r="J59" s="376">
        <v>0</v>
      </c>
      <c r="K59" s="378">
        <v>0</v>
      </c>
      <c r="L59" s="378">
        <v>0</v>
      </c>
      <c r="M59" s="378">
        <v>0</v>
      </c>
      <c r="N59" s="378">
        <v>0</v>
      </c>
      <c r="O59" s="378">
        <v>0</v>
      </c>
      <c r="P59" s="378">
        <v>0</v>
      </c>
      <c r="Q59" s="379">
        <v>0</v>
      </c>
    </row>
    <row r="60" spans="1:17" x14ac:dyDescent="0.25">
      <c r="A60" s="480">
        <v>41</v>
      </c>
      <c r="B60" s="481" t="s">
        <v>714</v>
      </c>
      <c r="C60" s="389"/>
      <c r="D60" s="376">
        <v>0</v>
      </c>
      <c r="E60" s="376">
        <v>15.282</v>
      </c>
      <c r="F60" s="376">
        <v>0</v>
      </c>
      <c r="G60" s="376">
        <v>0</v>
      </c>
      <c r="H60" s="376">
        <v>319.72699999999998</v>
      </c>
      <c r="I60" s="376">
        <v>0</v>
      </c>
      <c r="J60" s="376">
        <v>335.00899999999996</v>
      </c>
      <c r="K60" s="378">
        <v>30</v>
      </c>
      <c r="L60" s="378">
        <v>0</v>
      </c>
      <c r="M60" s="378">
        <v>0</v>
      </c>
      <c r="N60" s="378">
        <v>300</v>
      </c>
      <c r="O60" s="378">
        <v>300</v>
      </c>
      <c r="P60" s="378">
        <v>0</v>
      </c>
      <c r="Q60" s="379">
        <v>330</v>
      </c>
    </row>
    <row r="61" spans="1:17" x14ac:dyDescent="0.25">
      <c r="A61" s="480">
        <v>42</v>
      </c>
      <c r="B61" s="481" t="s">
        <v>715</v>
      </c>
      <c r="C61" s="389"/>
      <c r="D61" s="376">
        <v>0</v>
      </c>
      <c r="E61" s="376">
        <v>0</v>
      </c>
      <c r="F61" s="376">
        <v>0</v>
      </c>
      <c r="G61" s="376">
        <v>0</v>
      </c>
      <c r="H61" s="376">
        <v>0</v>
      </c>
      <c r="I61" s="376">
        <v>0</v>
      </c>
      <c r="J61" s="376">
        <v>0</v>
      </c>
      <c r="K61" s="378">
        <v>0</v>
      </c>
      <c r="L61" s="378">
        <v>0</v>
      </c>
      <c r="M61" s="378">
        <v>0</v>
      </c>
      <c r="N61" s="378">
        <v>0</v>
      </c>
      <c r="O61" s="378">
        <v>0</v>
      </c>
      <c r="P61" s="378">
        <v>0</v>
      </c>
      <c r="Q61" s="379">
        <v>0</v>
      </c>
    </row>
    <row r="62" spans="1:17" ht="25.5" x14ac:dyDescent="0.25">
      <c r="A62" s="478">
        <v>43</v>
      </c>
      <c r="B62" s="479" t="s">
        <v>716</v>
      </c>
      <c r="C62" s="389">
        <v>0</v>
      </c>
      <c r="D62" s="376">
        <v>0</v>
      </c>
      <c r="E62" s="376">
        <v>0</v>
      </c>
      <c r="F62" s="376">
        <v>0</v>
      </c>
      <c r="G62" s="376">
        <v>0</v>
      </c>
      <c r="H62" s="376">
        <v>5582.1049999999996</v>
      </c>
      <c r="I62" s="376">
        <v>260.91399999999999</v>
      </c>
      <c r="J62" s="376">
        <v>5843.0189999999993</v>
      </c>
      <c r="K62" s="378">
        <v>150</v>
      </c>
      <c r="L62" s="378">
        <v>0</v>
      </c>
      <c r="M62" s="378">
        <v>0</v>
      </c>
      <c r="N62" s="378">
        <v>5105.7</v>
      </c>
      <c r="O62" s="378">
        <v>5105.7</v>
      </c>
      <c r="P62" s="378">
        <v>1380</v>
      </c>
      <c r="Q62" s="379">
        <v>6635.7</v>
      </c>
    </row>
    <row r="63" spans="1:17" hidden="1" x14ac:dyDescent="0.25">
      <c r="A63" s="478"/>
      <c r="B63" s="485" t="s">
        <v>717</v>
      </c>
      <c r="C63" s="389"/>
      <c r="D63" s="376">
        <v>0</v>
      </c>
      <c r="E63" s="376">
        <v>0</v>
      </c>
      <c r="F63" s="376">
        <v>0</v>
      </c>
      <c r="G63" s="376">
        <v>0</v>
      </c>
      <c r="H63" s="376">
        <v>0</v>
      </c>
      <c r="I63" s="376">
        <v>0</v>
      </c>
      <c r="J63" s="376">
        <v>0</v>
      </c>
      <c r="K63" s="378">
        <v>0</v>
      </c>
      <c r="L63" s="378">
        <v>0</v>
      </c>
      <c r="M63" s="378">
        <v>0</v>
      </c>
      <c r="N63" s="378">
        <v>0</v>
      </c>
      <c r="O63" s="378">
        <v>0</v>
      </c>
      <c r="P63" s="378">
        <v>0</v>
      </c>
      <c r="Q63" s="379">
        <v>0</v>
      </c>
    </row>
    <row r="64" spans="1:17" hidden="1" x14ac:dyDescent="0.25">
      <c r="A64" s="478"/>
      <c r="B64" s="485" t="s">
        <v>423</v>
      </c>
      <c r="C64" s="389"/>
      <c r="D64" s="376">
        <v>0</v>
      </c>
      <c r="E64" s="376">
        <v>0</v>
      </c>
      <c r="F64" s="376">
        <v>0</v>
      </c>
      <c r="G64" s="376">
        <v>0</v>
      </c>
      <c r="H64" s="376">
        <v>0</v>
      </c>
      <c r="I64" s="376">
        <v>0</v>
      </c>
      <c r="J64" s="376">
        <v>0</v>
      </c>
      <c r="K64" s="378">
        <v>0</v>
      </c>
      <c r="L64" s="378">
        <v>0</v>
      </c>
      <c r="M64" s="378">
        <v>0</v>
      </c>
      <c r="N64" s="378">
        <v>0</v>
      </c>
      <c r="O64" s="378">
        <v>0</v>
      </c>
      <c r="P64" s="378">
        <v>0</v>
      </c>
      <c r="Q64" s="379">
        <v>0</v>
      </c>
    </row>
    <row r="65" spans="1:17" hidden="1" x14ac:dyDescent="0.25">
      <c r="A65" s="478"/>
      <c r="B65" s="485" t="s">
        <v>718</v>
      </c>
      <c r="C65" s="389"/>
      <c r="D65" s="376">
        <v>0</v>
      </c>
      <c r="E65" s="376">
        <v>0</v>
      </c>
      <c r="F65" s="376">
        <v>0</v>
      </c>
      <c r="G65" s="376">
        <v>0</v>
      </c>
      <c r="H65" s="376">
        <v>0</v>
      </c>
      <c r="I65" s="376">
        <v>0</v>
      </c>
      <c r="J65" s="376">
        <v>0</v>
      </c>
      <c r="K65" s="378">
        <v>0</v>
      </c>
      <c r="L65" s="378">
        <v>0</v>
      </c>
      <c r="M65" s="378">
        <v>0</v>
      </c>
      <c r="N65" s="378">
        <v>0</v>
      </c>
      <c r="O65" s="378">
        <v>0</v>
      </c>
      <c r="P65" s="378">
        <v>0</v>
      </c>
      <c r="Q65" s="379">
        <v>0</v>
      </c>
    </row>
    <row r="66" spans="1:17" hidden="1" x14ac:dyDescent="0.25">
      <c r="A66" s="478"/>
      <c r="B66" s="485" t="s">
        <v>719</v>
      </c>
      <c r="C66" s="389"/>
      <c r="D66" s="376">
        <v>0</v>
      </c>
      <c r="E66" s="376">
        <v>0</v>
      </c>
      <c r="F66" s="376">
        <v>0</v>
      </c>
      <c r="G66" s="376">
        <v>0</v>
      </c>
      <c r="H66" s="376">
        <v>0</v>
      </c>
      <c r="I66" s="376">
        <v>0</v>
      </c>
      <c r="J66" s="376">
        <v>0</v>
      </c>
      <c r="K66" s="378">
        <v>0</v>
      </c>
      <c r="L66" s="378">
        <v>0</v>
      </c>
      <c r="M66" s="378">
        <v>0</v>
      </c>
      <c r="N66" s="378">
        <v>0</v>
      </c>
      <c r="O66" s="378">
        <v>0</v>
      </c>
      <c r="P66" s="378">
        <v>0</v>
      </c>
      <c r="Q66" s="379">
        <v>0</v>
      </c>
    </row>
    <row r="67" spans="1:17" hidden="1" x14ac:dyDescent="0.25">
      <c r="A67" s="478"/>
      <c r="B67" s="485" t="s">
        <v>424</v>
      </c>
      <c r="C67" s="389"/>
      <c r="D67" s="376">
        <v>0</v>
      </c>
      <c r="E67" s="376">
        <v>0</v>
      </c>
      <c r="F67" s="376">
        <v>0</v>
      </c>
      <c r="G67" s="376">
        <v>0</v>
      </c>
      <c r="H67" s="376">
        <v>0</v>
      </c>
      <c r="I67" s="376">
        <v>0</v>
      </c>
      <c r="J67" s="376">
        <v>0</v>
      </c>
      <c r="K67" s="378">
        <v>0</v>
      </c>
      <c r="L67" s="378">
        <v>0</v>
      </c>
      <c r="M67" s="378">
        <v>0</v>
      </c>
      <c r="N67" s="378">
        <v>0</v>
      </c>
      <c r="O67" s="378">
        <v>0</v>
      </c>
      <c r="P67" s="378">
        <v>0</v>
      </c>
      <c r="Q67" s="379">
        <v>0</v>
      </c>
    </row>
    <row r="68" spans="1:17" hidden="1" x14ac:dyDescent="0.25">
      <c r="A68" s="478"/>
      <c r="B68" s="485" t="s">
        <v>425</v>
      </c>
      <c r="C68" s="389"/>
      <c r="D68" s="376">
        <v>0</v>
      </c>
      <c r="E68" s="376">
        <v>0</v>
      </c>
      <c r="F68" s="376">
        <v>0</v>
      </c>
      <c r="G68" s="376">
        <v>0</v>
      </c>
      <c r="H68" s="376">
        <v>0</v>
      </c>
      <c r="I68" s="376">
        <v>0</v>
      </c>
      <c r="J68" s="376">
        <v>0</v>
      </c>
      <c r="K68" s="378">
        <v>0</v>
      </c>
      <c r="L68" s="378">
        <v>0</v>
      </c>
      <c r="M68" s="378">
        <v>0</v>
      </c>
      <c r="N68" s="378">
        <v>0</v>
      </c>
      <c r="O68" s="378">
        <v>0</v>
      </c>
      <c r="P68" s="378">
        <v>0</v>
      </c>
      <c r="Q68" s="379">
        <v>0</v>
      </c>
    </row>
    <row r="69" spans="1:17" hidden="1" x14ac:dyDescent="0.25">
      <c r="A69" s="478"/>
      <c r="B69" s="485" t="s">
        <v>426</v>
      </c>
      <c r="C69" s="389"/>
      <c r="D69" s="376">
        <v>0</v>
      </c>
      <c r="E69" s="376">
        <v>0</v>
      </c>
      <c r="F69" s="376">
        <v>0</v>
      </c>
      <c r="G69" s="376">
        <v>0</v>
      </c>
      <c r="H69" s="376">
        <v>0</v>
      </c>
      <c r="I69" s="376">
        <v>0</v>
      </c>
      <c r="J69" s="376">
        <v>0</v>
      </c>
      <c r="K69" s="378">
        <v>0</v>
      </c>
      <c r="L69" s="378">
        <v>0</v>
      </c>
      <c r="M69" s="378">
        <v>0</v>
      </c>
      <c r="N69" s="378">
        <v>0</v>
      </c>
      <c r="O69" s="378">
        <v>0</v>
      </c>
      <c r="P69" s="378">
        <v>0</v>
      </c>
      <c r="Q69" s="379">
        <v>0</v>
      </c>
    </row>
    <row r="70" spans="1:17" hidden="1" x14ac:dyDescent="0.25">
      <c r="A70" s="478"/>
      <c r="B70" s="485" t="s">
        <v>720</v>
      </c>
      <c r="C70" s="389"/>
      <c r="D70" s="376">
        <v>0</v>
      </c>
      <c r="E70" s="376">
        <v>0</v>
      </c>
      <c r="F70" s="376">
        <v>0</v>
      </c>
      <c r="G70" s="376">
        <v>0</v>
      </c>
      <c r="H70" s="376">
        <v>0</v>
      </c>
      <c r="I70" s="376">
        <v>0</v>
      </c>
      <c r="J70" s="376">
        <v>0</v>
      </c>
      <c r="K70" s="378">
        <v>0</v>
      </c>
      <c r="L70" s="378">
        <v>0</v>
      </c>
      <c r="M70" s="378">
        <v>0</v>
      </c>
      <c r="N70" s="378">
        <v>0</v>
      </c>
      <c r="O70" s="378">
        <v>0</v>
      </c>
      <c r="P70" s="378">
        <v>0</v>
      </c>
      <c r="Q70" s="379">
        <v>0</v>
      </c>
    </row>
    <row r="71" spans="1:17" x14ac:dyDescent="0.25">
      <c r="A71" s="478">
        <v>44</v>
      </c>
      <c r="B71" s="479" t="s">
        <v>721</v>
      </c>
      <c r="C71" s="389"/>
      <c r="D71" s="376">
        <v>39.021999999999998</v>
      </c>
      <c r="E71" s="376">
        <v>16.3</v>
      </c>
      <c r="F71" s="376">
        <v>0</v>
      </c>
      <c r="G71" s="376">
        <v>0</v>
      </c>
      <c r="H71" s="376">
        <v>3694.9670000000001</v>
      </c>
      <c r="I71" s="376">
        <v>0</v>
      </c>
      <c r="J71" s="376">
        <v>3750.2890000000002</v>
      </c>
      <c r="K71" s="378">
        <v>20</v>
      </c>
      <c r="L71" s="378">
        <v>0</v>
      </c>
      <c r="M71" s="378">
        <v>0</v>
      </c>
      <c r="N71" s="378">
        <v>1326.8520000000001</v>
      </c>
      <c r="O71" s="378">
        <v>1326.8520000000001</v>
      </c>
      <c r="P71" s="378">
        <v>0</v>
      </c>
      <c r="Q71" s="379">
        <v>1346.8520000000001</v>
      </c>
    </row>
    <row r="72" spans="1:17" x14ac:dyDescent="0.25">
      <c r="A72" s="478"/>
      <c r="B72" s="481" t="s">
        <v>593</v>
      </c>
      <c r="C72" s="389"/>
      <c r="D72" s="376"/>
      <c r="E72" s="376"/>
      <c r="F72" s="376"/>
      <c r="G72" s="376"/>
      <c r="H72" s="376"/>
      <c r="I72" s="376"/>
      <c r="J72" s="376"/>
      <c r="K72" s="378"/>
      <c r="L72" s="378"/>
      <c r="M72" s="378"/>
      <c r="N72" s="378"/>
      <c r="O72" s="378"/>
      <c r="P72" s="378"/>
      <c r="Q72" s="379">
        <v>1258</v>
      </c>
    </row>
    <row r="73" spans="1:17" x14ac:dyDescent="0.25">
      <c r="A73" s="474">
        <v>45</v>
      </c>
      <c r="B73" s="475" t="s">
        <v>722</v>
      </c>
      <c r="C73" s="389"/>
      <c r="D73" s="376">
        <v>4092.9659999999999</v>
      </c>
      <c r="E73" s="376">
        <v>1695.309</v>
      </c>
      <c r="F73" s="376">
        <v>859.15899999999999</v>
      </c>
      <c r="G73" s="376">
        <v>628.53</v>
      </c>
      <c r="H73" s="376">
        <v>89620.406000000003</v>
      </c>
      <c r="I73" s="376">
        <v>1637.0219999999999</v>
      </c>
      <c r="J73" s="376">
        <v>98533.391999999993</v>
      </c>
      <c r="K73" s="378">
        <v>5384.6384065919983</v>
      </c>
      <c r="L73" s="378">
        <v>2727.6858000000002</v>
      </c>
      <c r="M73" s="378">
        <v>674.3594250000001</v>
      </c>
      <c r="N73" s="378">
        <v>6860.4868399999996</v>
      </c>
      <c r="O73" s="378">
        <v>9588.1726400000007</v>
      </c>
      <c r="P73" s="378">
        <v>2957.8307379300004</v>
      </c>
      <c r="Q73" s="379">
        <v>18605.001209521997</v>
      </c>
    </row>
    <row r="74" spans="1:17" x14ac:dyDescent="0.25">
      <c r="A74" s="474">
        <v>46</v>
      </c>
      <c r="B74" s="475" t="s">
        <v>723</v>
      </c>
      <c r="C74" s="389"/>
      <c r="D74" s="376">
        <v>0</v>
      </c>
      <c r="E74" s="376">
        <v>0</v>
      </c>
      <c r="F74" s="376">
        <v>0</v>
      </c>
      <c r="G74" s="376">
        <v>0</v>
      </c>
      <c r="H74" s="376">
        <v>0</v>
      </c>
      <c r="I74" s="376">
        <v>0</v>
      </c>
      <c r="J74" s="376">
        <v>0</v>
      </c>
      <c r="K74" s="378">
        <v>0</v>
      </c>
      <c r="L74" s="378">
        <v>0</v>
      </c>
      <c r="M74" s="378">
        <v>0</v>
      </c>
      <c r="N74" s="378">
        <v>0</v>
      </c>
      <c r="O74" s="378">
        <v>0</v>
      </c>
      <c r="P74" s="378">
        <v>0</v>
      </c>
      <c r="Q74" s="379">
        <v>0</v>
      </c>
    </row>
    <row r="75" spans="1:17" ht="38.25" x14ac:dyDescent="0.25">
      <c r="A75" s="474">
        <v>47</v>
      </c>
      <c r="B75" s="475" t="s">
        <v>724</v>
      </c>
      <c r="C75" s="389">
        <v>0</v>
      </c>
      <c r="D75" s="376">
        <v>1929</v>
      </c>
      <c r="E75" s="376">
        <v>18.975999999999999</v>
      </c>
      <c r="F75" s="376">
        <v>5.734</v>
      </c>
      <c r="G75" s="376">
        <v>2.7</v>
      </c>
      <c r="H75" s="376">
        <v>6829.5329999999994</v>
      </c>
      <c r="I75" s="376">
        <v>534.79099999999994</v>
      </c>
      <c r="J75" s="376">
        <v>9320.7339999999986</v>
      </c>
      <c r="K75" s="378">
        <v>100</v>
      </c>
      <c r="L75" s="378">
        <v>0</v>
      </c>
      <c r="M75" s="378">
        <v>50</v>
      </c>
      <c r="N75" s="378">
        <v>5147.6273505999998</v>
      </c>
      <c r="O75" s="378">
        <v>5147.6273505999998</v>
      </c>
      <c r="P75" s="378">
        <v>486.22832</v>
      </c>
      <c r="Q75" s="379">
        <v>5783.8556705999999</v>
      </c>
    </row>
    <row r="76" spans="1:17" hidden="1" x14ac:dyDescent="0.25">
      <c r="A76" s="474"/>
      <c r="B76" s="485" t="s">
        <v>725</v>
      </c>
      <c r="C76" s="389"/>
      <c r="D76" s="376">
        <v>0</v>
      </c>
      <c r="E76" s="376">
        <v>0</v>
      </c>
      <c r="F76" s="376">
        <v>0</v>
      </c>
      <c r="G76" s="376">
        <v>0</v>
      </c>
      <c r="H76" s="376">
        <v>0</v>
      </c>
      <c r="I76" s="376">
        <v>0</v>
      </c>
      <c r="J76" s="376">
        <v>0</v>
      </c>
      <c r="K76" s="378">
        <v>0</v>
      </c>
      <c r="L76" s="378">
        <v>0</v>
      </c>
      <c r="M76" s="378">
        <v>0</v>
      </c>
      <c r="N76" s="378">
        <v>0</v>
      </c>
      <c r="O76" s="378">
        <v>0</v>
      </c>
      <c r="P76" s="378">
        <v>0</v>
      </c>
      <c r="Q76" s="379">
        <v>0</v>
      </c>
    </row>
    <row r="77" spans="1:17" hidden="1" x14ac:dyDescent="0.25">
      <c r="A77" s="474"/>
      <c r="B77" s="485" t="s">
        <v>726</v>
      </c>
      <c r="C77" s="389"/>
      <c r="D77" s="376">
        <v>0</v>
      </c>
      <c r="E77" s="376">
        <v>0</v>
      </c>
      <c r="F77" s="376">
        <v>0</v>
      </c>
      <c r="G77" s="376">
        <v>0</v>
      </c>
      <c r="H77" s="376">
        <v>0</v>
      </c>
      <c r="I77" s="376">
        <v>0</v>
      </c>
      <c r="J77" s="376">
        <v>0</v>
      </c>
      <c r="K77" s="378">
        <v>0</v>
      </c>
      <c r="L77" s="378">
        <v>0</v>
      </c>
      <c r="M77" s="378">
        <v>0</v>
      </c>
      <c r="N77" s="378">
        <v>0</v>
      </c>
      <c r="O77" s="378">
        <v>0</v>
      </c>
      <c r="P77" s="378">
        <v>0</v>
      </c>
      <c r="Q77" s="379">
        <v>0</v>
      </c>
    </row>
    <row r="78" spans="1:17" hidden="1" x14ac:dyDescent="0.25">
      <c r="A78" s="474"/>
      <c r="B78" s="485" t="s">
        <v>727</v>
      </c>
      <c r="C78" s="389"/>
      <c r="D78" s="376">
        <v>0</v>
      </c>
      <c r="E78" s="376">
        <v>0</v>
      </c>
      <c r="F78" s="376">
        <v>0</v>
      </c>
      <c r="G78" s="376">
        <v>0</v>
      </c>
      <c r="H78" s="376">
        <v>0</v>
      </c>
      <c r="I78" s="376">
        <v>0</v>
      </c>
      <c r="J78" s="376">
        <v>0</v>
      </c>
      <c r="K78" s="378">
        <v>0</v>
      </c>
      <c r="L78" s="378">
        <v>0</v>
      </c>
      <c r="M78" s="378">
        <v>0</v>
      </c>
      <c r="N78" s="378">
        <v>0</v>
      </c>
      <c r="O78" s="378">
        <v>0</v>
      </c>
      <c r="P78" s="378">
        <v>0</v>
      </c>
      <c r="Q78" s="379">
        <v>0</v>
      </c>
    </row>
    <row r="79" spans="1:17" hidden="1" x14ac:dyDescent="0.25">
      <c r="A79" s="474"/>
      <c r="B79" s="485" t="s">
        <v>728</v>
      </c>
      <c r="C79" s="389"/>
      <c r="D79" s="376">
        <v>0</v>
      </c>
      <c r="E79" s="376">
        <v>0</v>
      </c>
      <c r="F79" s="376">
        <v>0</v>
      </c>
      <c r="G79" s="376">
        <v>0</v>
      </c>
      <c r="H79" s="376">
        <v>0</v>
      </c>
      <c r="I79" s="376">
        <v>0</v>
      </c>
      <c r="J79" s="376">
        <v>0</v>
      </c>
      <c r="K79" s="378">
        <v>0</v>
      </c>
      <c r="L79" s="378">
        <v>0</v>
      </c>
      <c r="M79" s="378">
        <v>0</v>
      </c>
      <c r="N79" s="378">
        <v>0</v>
      </c>
      <c r="O79" s="378">
        <v>0</v>
      </c>
      <c r="P79" s="378">
        <v>0</v>
      </c>
      <c r="Q79" s="379">
        <v>0</v>
      </c>
    </row>
    <row r="80" spans="1:17" x14ac:dyDescent="0.25">
      <c r="A80" s="474">
        <v>48</v>
      </c>
      <c r="B80" s="487" t="s">
        <v>729</v>
      </c>
      <c r="C80" s="389"/>
      <c r="D80" s="376">
        <v>38.786999999999999</v>
      </c>
      <c r="E80" s="376">
        <v>0.68700000000000006</v>
      </c>
      <c r="F80" s="376">
        <v>12.576000000000001</v>
      </c>
      <c r="G80" s="376">
        <v>6.0789999999999997</v>
      </c>
      <c r="H80" s="376">
        <v>9191.6769999999997</v>
      </c>
      <c r="I80" s="376">
        <v>40.270000000000003</v>
      </c>
      <c r="J80" s="376">
        <v>9290.0760000000009</v>
      </c>
      <c r="K80" s="378">
        <v>10</v>
      </c>
      <c r="L80" s="378">
        <v>10</v>
      </c>
      <c r="M80" s="378">
        <v>10</v>
      </c>
      <c r="N80" s="378">
        <v>20</v>
      </c>
      <c r="O80" s="378">
        <v>30</v>
      </c>
      <c r="P80" s="378">
        <v>10</v>
      </c>
      <c r="Q80" s="379">
        <v>60</v>
      </c>
    </row>
    <row r="81" spans="1:17" x14ac:dyDescent="0.25">
      <c r="A81" s="474">
        <v>49</v>
      </c>
      <c r="B81" s="475" t="s">
        <v>730</v>
      </c>
      <c r="C81" s="389"/>
      <c r="D81" s="376">
        <v>0</v>
      </c>
      <c r="E81" s="376">
        <v>0</v>
      </c>
      <c r="F81" s="376">
        <v>0</v>
      </c>
      <c r="G81" s="376">
        <v>0</v>
      </c>
      <c r="H81" s="376">
        <v>0</v>
      </c>
      <c r="I81" s="376">
        <v>0</v>
      </c>
      <c r="J81" s="376">
        <v>0</v>
      </c>
      <c r="K81" s="378">
        <v>0</v>
      </c>
      <c r="L81" s="378">
        <v>0</v>
      </c>
      <c r="M81" s="378">
        <v>0</v>
      </c>
      <c r="N81" s="378">
        <v>0</v>
      </c>
      <c r="O81" s="378">
        <v>0</v>
      </c>
      <c r="P81" s="378">
        <v>0</v>
      </c>
      <c r="Q81" s="379">
        <v>0</v>
      </c>
    </row>
    <row r="82" spans="1:17" ht="30" x14ac:dyDescent="0.25">
      <c r="A82" s="390">
        <v>50</v>
      </c>
      <c r="B82" s="391" t="s">
        <v>731</v>
      </c>
      <c r="C82" s="476">
        <v>0</v>
      </c>
      <c r="D82" s="476">
        <v>21737.004000000001</v>
      </c>
      <c r="E82" s="476">
        <v>8053.7840000000006</v>
      </c>
      <c r="F82" s="476">
        <v>4429.7049999999999</v>
      </c>
      <c r="G82" s="476">
        <v>2972.6190000000006</v>
      </c>
      <c r="H82" s="476">
        <v>141472.505</v>
      </c>
      <c r="I82" s="476">
        <v>9323.5119999999988</v>
      </c>
      <c r="J82" s="476">
        <v>187989.12899999999</v>
      </c>
      <c r="K82" s="476">
        <v>25467.743616191998</v>
      </c>
      <c r="L82" s="476">
        <v>12934.713988976378</v>
      </c>
      <c r="M82" s="476">
        <v>3231.9869250000002</v>
      </c>
      <c r="N82" s="476">
        <v>39979.264901820468</v>
      </c>
      <c r="O82" s="476">
        <v>52913.978890796847</v>
      </c>
      <c r="P82" s="476">
        <v>15228.987716930002</v>
      </c>
      <c r="Q82" s="476">
        <v>96842.697148918829</v>
      </c>
    </row>
    <row r="83" spans="1:17" ht="25.5" x14ac:dyDescent="0.25">
      <c r="A83" s="474">
        <v>51</v>
      </c>
      <c r="B83" s="475" t="s">
        <v>732</v>
      </c>
      <c r="C83" s="389"/>
      <c r="D83" s="376">
        <v>0</v>
      </c>
      <c r="E83" s="376">
        <v>0</v>
      </c>
      <c r="F83" s="376">
        <v>0</v>
      </c>
      <c r="G83" s="376">
        <v>0</v>
      </c>
      <c r="H83" s="376">
        <v>187383.04800000001</v>
      </c>
      <c r="I83" s="376">
        <v>0</v>
      </c>
      <c r="J83" s="376">
        <v>187383.04800000001</v>
      </c>
      <c r="K83" s="378">
        <v>0</v>
      </c>
      <c r="L83" s="378">
        <v>0</v>
      </c>
      <c r="M83" s="378">
        <v>0</v>
      </c>
      <c r="N83" s="378">
        <v>0</v>
      </c>
      <c r="O83" s="378">
        <v>0</v>
      </c>
      <c r="P83" s="378">
        <v>0</v>
      </c>
      <c r="Q83" s="379">
        <v>0</v>
      </c>
    </row>
    <row r="84" spans="1:17" x14ac:dyDescent="0.25">
      <c r="A84" s="474">
        <v>52</v>
      </c>
      <c r="B84" s="475" t="s">
        <v>733</v>
      </c>
      <c r="C84" s="389"/>
      <c r="D84" s="376">
        <v>0</v>
      </c>
      <c r="E84" s="376">
        <v>0</v>
      </c>
      <c r="F84" s="376">
        <v>0</v>
      </c>
      <c r="G84" s="376">
        <v>0</v>
      </c>
      <c r="H84" s="376">
        <v>0</v>
      </c>
      <c r="I84" s="376">
        <v>0</v>
      </c>
      <c r="J84" s="376">
        <v>0</v>
      </c>
      <c r="K84" s="378">
        <v>0</v>
      </c>
      <c r="L84" s="378">
        <v>0</v>
      </c>
      <c r="M84" s="378">
        <v>0</v>
      </c>
      <c r="N84" s="378">
        <v>0</v>
      </c>
      <c r="O84" s="378">
        <v>0</v>
      </c>
      <c r="P84" s="378">
        <v>0</v>
      </c>
      <c r="Q84" s="379">
        <v>0</v>
      </c>
    </row>
    <row r="85" spans="1:17" ht="25.5" x14ac:dyDescent="0.25">
      <c r="A85" s="474">
        <v>53</v>
      </c>
      <c r="B85" s="475" t="s">
        <v>734</v>
      </c>
      <c r="C85" s="389"/>
      <c r="D85" s="376">
        <v>0</v>
      </c>
      <c r="E85" s="376">
        <v>0</v>
      </c>
      <c r="F85" s="376">
        <v>0</v>
      </c>
      <c r="G85" s="376">
        <v>0</v>
      </c>
      <c r="H85" s="376">
        <v>0</v>
      </c>
      <c r="I85" s="376">
        <v>0</v>
      </c>
      <c r="J85" s="376">
        <v>0</v>
      </c>
      <c r="K85" s="378">
        <v>0</v>
      </c>
      <c r="L85" s="378">
        <v>0</v>
      </c>
      <c r="M85" s="378">
        <v>0</v>
      </c>
      <c r="N85" s="378">
        <v>0</v>
      </c>
      <c r="O85" s="378">
        <v>0</v>
      </c>
      <c r="P85" s="378">
        <v>0</v>
      </c>
      <c r="Q85" s="379">
        <v>0</v>
      </c>
    </row>
    <row r="86" spans="1:17" ht="25.5" x14ac:dyDescent="0.25">
      <c r="A86" s="474">
        <v>54</v>
      </c>
      <c r="B86" s="475" t="s">
        <v>735</v>
      </c>
      <c r="C86" s="389">
        <v>0</v>
      </c>
      <c r="D86" s="376">
        <v>0</v>
      </c>
      <c r="E86" s="376">
        <v>0</v>
      </c>
      <c r="F86" s="376">
        <v>0</v>
      </c>
      <c r="G86" s="376">
        <v>0</v>
      </c>
      <c r="H86" s="376">
        <v>4947.9159999999993</v>
      </c>
      <c r="I86" s="376">
        <v>300</v>
      </c>
      <c r="J86" s="376">
        <v>5247.9159999999993</v>
      </c>
      <c r="K86" s="378">
        <v>0</v>
      </c>
      <c r="L86" s="378">
        <v>0</v>
      </c>
      <c r="M86" s="378">
        <v>0</v>
      </c>
      <c r="N86" s="378">
        <v>4034</v>
      </c>
      <c r="O86" s="378">
        <v>4034</v>
      </c>
      <c r="P86" s="378">
        <v>0</v>
      </c>
      <c r="Q86" s="379">
        <v>4034</v>
      </c>
    </row>
    <row r="87" spans="1:17" x14ac:dyDescent="0.25">
      <c r="A87" s="474">
        <v>5401</v>
      </c>
      <c r="B87" s="479" t="s">
        <v>736</v>
      </c>
      <c r="C87" s="389"/>
      <c r="D87" s="376">
        <v>0</v>
      </c>
      <c r="E87" s="376">
        <v>0</v>
      </c>
      <c r="F87" s="376">
        <v>0</v>
      </c>
      <c r="G87" s="376">
        <v>0</v>
      </c>
      <c r="H87" s="376">
        <v>0</v>
      </c>
      <c r="I87" s="376">
        <v>0</v>
      </c>
      <c r="J87" s="376">
        <v>0</v>
      </c>
      <c r="K87" s="378">
        <v>0</v>
      </c>
      <c r="L87" s="378">
        <v>0</v>
      </c>
      <c r="M87" s="378">
        <v>0</v>
      </c>
      <c r="N87" s="378">
        <v>0</v>
      </c>
      <c r="O87" s="378">
        <v>0</v>
      </c>
      <c r="P87" s="378">
        <v>0</v>
      </c>
      <c r="Q87" s="379">
        <v>0</v>
      </c>
    </row>
    <row r="88" spans="1:17" x14ac:dyDescent="0.25">
      <c r="A88" s="474">
        <v>5402</v>
      </c>
      <c r="B88" s="479" t="s">
        <v>737</v>
      </c>
      <c r="C88" s="389"/>
      <c r="D88" s="376">
        <v>0</v>
      </c>
      <c r="E88" s="376">
        <v>0</v>
      </c>
      <c r="F88" s="376">
        <v>0</v>
      </c>
      <c r="G88" s="376">
        <v>0</v>
      </c>
      <c r="H88" s="376">
        <v>0</v>
      </c>
      <c r="I88" s="376">
        <v>0</v>
      </c>
      <c r="J88" s="376">
        <v>0</v>
      </c>
      <c r="K88" s="378">
        <v>0</v>
      </c>
      <c r="L88" s="378">
        <v>0</v>
      </c>
      <c r="M88" s="378">
        <v>0</v>
      </c>
      <c r="N88" s="378">
        <v>0</v>
      </c>
      <c r="O88" s="378">
        <v>0</v>
      </c>
      <c r="P88" s="378">
        <v>0</v>
      </c>
      <c r="Q88" s="379">
        <v>0</v>
      </c>
    </row>
    <row r="89" spans="1:17" x14ac:dyDescent="0.25">
      <c r="A89" s="474">
        <v>5403</v>
      </c>
      <c r="B89" s="479" t="s">
        <v>738</v>
      </c>
      <c r="C89" s="389"/>
      <c r="D89" s="376">
        <v>0</v>
      </c>
      <c r="E89" s="376">
        <v>0</v>
      </c>
      <c r="F89" s="376">
        <v>0</v>
      </c>
      <c r="G89" s="376">
        <v>0</v>
      </c>
      <c r="H89" s="376">
        <v>382.41</v>
      </c>
      <c r="I89" s="376">
        <v>0</v>
      </c>
      <c r="J89" s="376">
        <v>382.41</v>
      </c>
      <c r="K89" s="378">
        <v>0</v>
      </c>
      <c r="L89" s="378">
        <v>0</v>
      </c>
      <c r="M89" s="378">
        <v>0</v>
      </c>
      <c r="N89" s="378">
        <v>576</v>
      </c>
      <c r="O89" s="378">
        <v>576</v>
      </c>
      <c r="P89" s="378">
        <v>0</v>
      </c>
      <c r="Q89" s="379">
        <v>576</v>
      </c>
    </row>
    <row r="90" spans="1:17" x14ac:dyDescent="0.25">
      <c r="A90" s="474">
        <v>5404</v>
      </c>
      <c r="B90" s="479" t="s">
        <v>739</v>
      </c>
      <c r="C90" s="389"/>
      <c r="D90" s="376">
        <v>0</v>
      </c>
      <c r="E90" s="376">
        <v>0</v>
      </c>
      <c r="F90" s="376">
        <v>0</v>
      </c>
      <c r="G90" s="376">
        <v>0</v>
      </c>
      <c r="H90" s="376">
        <v>69.3</v>
      </c>
      <c r="I90" s="376">
        <v>0</v>
      </c>
      <c r="J90" s="376">
        <v>69.3</v>
      </c>
      <c r="K90" s="378">
        <v>0</v>
      </c>
      <c r="L90" s="378">
        <v>0</v>
      </c>
      <c r="M90" s="378">
        <v>0</v>
      </c>
      <c r="N90" s="378">
        <v>78</v>
      </c>
      <c r="O90" s="378">
        <v>78</v>
      </c>
      <c r="P90" s="378">
        <v>0</v>
      </c>
      <c r="Q90" s="379">
        <v>78</v>
      </c>
    </row>
    <row r="91" spans="1:17" x14ac:dyDescent="0.25">
      <c r="A91" s="474">
        <v>5405</v>
      </c>
      <c r="B91" s="479" t="s">
        <v>740</v>
      </c>
      <c r="C91" s="389"/>
      <c r="D91" s="376">
        <v>0</v>
      </c>
      <c r="E91" s="376">
        <v>0</v>
      </c>
      <c r="F91" s="376">
        <v>0</v>
      </c>
      <c r="G91" s="376">
        <v>0</v>
      </c>
      <c r="H91" s="376">
        <v>0</v>
      </c>
      <c r="I91" s="376">
        <v>0</v>
      </c>
      <c r="J91" s="376">
        <v>0</v>
      </c>
      <c r="K91" s="378">
        <v>0</v>
      </c>
      <c r="L91" s="378">
        <v>0</v>
      </c>
      <c r="M91" s="378">
        <v>0</v>
      </c>
      <c r="N91" s="378">
        <v>0</v>
      </c>
      <c r="O91" s="378">
        <v>0</v>
      </c>
      <c r="P91" s="378">
        <v>0</v>
      </c>
      <c r="Q91" s="379">
        <v>0</v>
      </c>
    </row>
    <row r="92" spans="1:17" x14ac:dyDescent="0.25">
      <c r="A92" s="474">
        <v>5406</v>
      </c>
      <c r="B92" s="479" t="s">
        <v>741</v>
      </c>
      <c r="C92" s="389"/>
      <c r="D92" s="376">
        <v>0</v>
      </c>
      <c r="E92" s="376">
        <v>0</v>
      </c>
      <c r="F92" s="376">
        <v>0</v>
      </c>
      <c r="G92" s="376">
        <v>0</v>
      </c>
      <c r="H92" s="376">
        <v>1126.7349999999999</v>
      </c>
      <c r="I92" s="376">
        <v>0</v>
      </c>
      <c r="J92" s="376">
        <v>1126.7349999999999</v>
      </c>
      <c r="K92" s="378">
        <v>0</v>
      </c>
      <c r="L92" s="378">
        <v>0</v>
      </c>
      <c r="M92" s="378">
        <v>0</v>
      </c>
      <c r="N92" s="378">
        <v>0</v>
      </c>
      <c r="O92" s="378">
        <v>0</v>
      </c>
      <c r="P92" s="378">
        <v>0</v>
      </c>
      <c r="Q92" s="379">
        <v>0</v>
      </c>
    </row>
    <row r="93" spans="1:17" x14ac:dyDescent="0.25">
      <c r="A93" s="474">
        <v>5407</v>
      </c>
      <c r="B93" s="479" t="s">
        <v>742</v>
      </c>
      <c r="C93" s="389"/>
      <c r="D93" s="376">
        <v>0</v>
      </c>
      <c r="E93" s="376">
        <v>0</v>
      </c>
      <c r="F93" s="376">
        <v>0</v>
      </c>
      <c r="G93" s="376">
        <v>0</v>
      </c>
      <c r="H93" s="376">
        <v>0</v>
      </c>
      <c r="I93" s="376">
        <v>0</v>
      </c>
      <c r="J93" s="376">
        <v>0</v>
      </c>
      <c r="K93" s="378">
        <v>0</v>
      </c>
      <c r="L93" s="378">
        <v>0</v>
      </c>
      <c r="M93" s="378">
        <v>0</v>
      </c>
      <c r="N93" s="378">
        <v>0</v>
      </c>
      <c r="O93" s="378">
        <v>0</v>
      </c>
      <c r="P93" s="378">
        <v>0</v>
      </c>
      <c r="Q93" s="379">
        <v>0</v>
      </c>
    </row>
    <row r="94" spans="1:17" x14ac:dyDescent="0.25">
      <c r="A94" s="474">
        <v>5408</v>
      </c>
      <c r="B94" s="479" t="s">
        <v>743</v>
      </c>
      <c r="C94" s="389"/>
      <c r="D94" s="376">
        <v>0</v>
      </c>
      <c r="E94" s="376">
        <v>0</v>
      </c>
      <c r="F94" s="376">
        <v>0</v>
      </c>
      <c r="G94" s="376">
        <v>0</v>
      </c>
      <c r="H94" s="376">
        <v>1260</v>
      </c>
      <c r="I94" s="376">
        <v>0</v>
      </c>
      <c r="J94" s="376">
        <v>1260</v>
      </c>
      <c r="K94" s="378">
        <v>0</v>
      </c>
      <c r="L94" s="378">
        <v>0</v>
      </c>
      <c r="M94" s="378">
        <v>0</v>
      </c>
      <c r="N94" s="378">
        <v>1080</v>
      </c>
      <c r="O94" s="378">
        <v>1080</v>
      </c>
      <c r="P94" s="378">
        <v>0</v>
      </c>
      <c r="Q94" s="379">
        <v>1080</v>
      </c>
    </row>
    <row r="95" spans="1:17" x14ac:dyDescent="0.25">
      <c r="A95" s="474">
        <v>5409</v>
      </c>
      <c r="B95" s="479" t="s">
        <v>744</v>
      </c>
      <c r="C95" s="389"/>
      <c r="D95" s="376">
        <v>0</v>
      </c>
      <c r="E95" s="376">
        <v>0</v>
      </c>
      <c r="F95" s="376">
        <v>0</v>
      </c>
      <c r="G95" s="376">
        <v>0</v>
      </c>
      <c r="H95" s="376">
        <v>2109.471</v>
      </c>
      <c r="I95" s="376">
        <v>300</v>
      </c>
      <c r="J95" s="376">
        <v>2409.471</v>
      </c>
      <c r="K95" s="378">
        <v>0</v>
      </c>
      <c r="L95" s="378">
        <v>0</v>
      </c>
      <c r="M95" s="378">
        <v>0</v>
      </c>
      <c r="N95" s="378">
        <v>2300</v>
      </c>
      <c r="O95" s="378">
        <v>2300</v>
      </c>
      <c r="P95" s="378">
        <v>0</v>
      </c>
      <c r="Q95" s="379">
        <v>2300</v>
      </c>
    </row>
    <row r="96" spans="1:17" x14ac:dyDescent="0.25">
      <c r="A96" s="474">
        <v>5410</v>
      </c>
      <c r="B96" s="479" t="s">
        <v>745</v>
      </c>
      <c r="C96" s="389"/>
      <c r="D96" s="376">
        <v>0</v>
      </c>
      <c r="E96" s="376">
        <v>0</v>
      </c>
      <c r="F96" s="376">
        <v>0</v>
      </c>
      <c r="G96" s="376">
        <v>0</v>
      </c>
      <c r="H96" s="376">
        <v>0</v>
      </c>
      <c r="I96" s="376">
        <v>0</v>
      </c>
      <c r="J96" s="376">
        <v>0</v>
      </c>
      <c r="K96" s="378">
        <v>0</v>
      </c>
      <c r="L96" s="378">
        <v>0</v>
      </c>
      <c r="M96" s="378">
        <v>0</v>
      </c>
      <c r="N96" s="378">
        <v>0</v>
      </c>
      <c r="O96" s="378">
        <v>0</v>
      </c>
      <c r="P96" s="378">
        <v>0</v>
      </c>
      <c r="Q96" s="379">
        <v>0</v>
      </c>
    </row>
    <row r="97" spans="1:17" x14ac:dyDescent="0.25">
      <c r="A97" s="474">
        <v>5411</v>
      </c>
      <c r="B97" s="479" t="s">
        <v>746</v>
      </c>
      <c r="C97" s="389"/>
      <c r="D97" s="376">
        <v>0</v>
      </c>
      <c r="E97" s="376">
        <v>0</v>
      </c>
      <c r="F97" s="376">
        <v>0</v>
      </c>
      <c r="G97" s="376">
        <v>0</v>
      </c>
      <c r="H97" s="376">
        <v>0</v>
      </c>
      <c r="I97" s="376">
        <v>0</v>
      </c>
      <c r="J97" s="376">
        <v>0</v>
      </c>
      <c r="K97" s="378">
        <v>0</v>
      </c>
      <c r="L97" s="378">
        <v>0</v>
      </c>
      <c r="M97" s="378">
        <v>0</v>
      </c>
      <c r="N97" s="378">
        <v>0</v>
      </c>
      <c r="O97" s="378">
        <v>0</v>
      </c>
      <c r="P97" s="378">
        <v>0</v>
      </c>
      <c r="Q97" s="379">
        <v>0</v>
      </c>
    </row>
    <row r="98" spans="1:17" x14ac:dyDescent="0.25">
      <c r="A98" s="474">
        <v>5412</v>
      </c>
      <c r="B98" s="479" t="s">
        <v>747</v>
      </c>
      <c r="C98" s="389"/>
      <c r="D98" s="376">
        <v>0</v>
      </c>
      <c r="E98" s="376">
        <v>0</v>
      </c>
      <c r="F98" s="376">
        <v>0</v>
      </c>
      <c r="G98" s="376">
        <v>0</v>
      </c>
      <c r="H98" s="376">
        <v>0</v>
      </c>
      <c r="I98" s="376">
        <v>0</v>
      </c>
      <c r="J98" s="376">
        <v>0</v>
      </c>
      <c r="K98" s="378">
        <v>0</v>
      </c>
      <c r="L98" s="378">
        <v>0</v>
      </c>
      <c r="M98" s="378">
        <v>0</v>
      </c>
      <c r="N98" s="378">
        <v>0</v>
      </c>
      <c r="O98" s="378">
        <v>0</v>
      </c>
      <c r="P98" s="378">
        <v>0</v>
      </c>
      <c r="Q98" s="379">
        <v>0</v>
      </c>
    </row>
    <row r="99" spans="1:17" ht="25.5" x14ac:dyDescent="0.25">
      <c r="A99" s="474">
        <v>55</v>
      </c>
      <c r="B99" s="475" t="s">
        <v>748</v>
      </c>
      <c r="C99" s="389">
        <v>0</v>
      </c>
      <c r="D99" s="376">
        <v>0</v>
      </c>
      <c r="E99" s="376">
        <v>0</v>
      </c>
      <c r="F99" s="376">
        <v>0</v>
      </c>
      <c r="G99" s="376">
        <v>0</v>
      </c>
      <c r="H99" s="376">
        <v>21959.952999999998</v>
      </c>
      <c r="I99" s="376">
        <v>0</v>
      </c>
      <c r="J99" s="376">
        <v>21959.952999999998</v>
      </c>
      <c r="K99" s="378">
        <v>0</v>
      </c>
      <c r="L99" s="378">
        <v>0</v>
      </c>
      <c r="M99" s="378">
        <v>0</v>
      </c>
      <c r="N99" s="378">
        <v>1850</v>
      </c>
      <c r="O99" s="378">
        <v>1850</v>
      </c>
      <c r="P99" s="378">
        <v>13543</v>
      </c>
      <c r="Q99" s="379">
        <v>15393</v>
      </c>
    </row>
    <row r="100" spans="1:17" x14ac:dyDescent="0.25">
      <c r="A100" s="474">
        <v>5501</v>
      </c>
      <c r="B100" s="488" t="s">
        <v>749</v>
      </c>
      <c r="C100" s="389"/>
      <c r="D100" s="376">
        <v>0</v>
      </c>
      <c r="E100" s="376">
        <v>0</v>
      </c>
      <c r="F100" s="376">
        <v>0</v>
      </c>
      <c r="G100" s="376">
        <v>0</v>
      </c>
      <c r="H100" s="376">
        <v>1955.4670000000001</v>
      </c>
      <c r="I100" s="376">
        <v>0</v>
      </c>
      <c r="J100" s="376">
        <v>1955.4670000000001</v>
      </c>
      <c r="K100" s="378">
        <v>0</v>
      </c>
      <c r="L100" s="378">
        <v>0</v>
      </c>
      <c r="M100" s="378">
        <v>0</v>
      </c>
      <c r="N100" s="378">
        <v>0</v>
      </c>
      <c r="O100" s="378">
        <v>0</v>
      </c>
      <c r="P100" s="378">
        <v>1955</v>
      </c>
      <c r="Q100" s="379">
        <v>1955</v>
      </c>
    </row>
    <row r="101" spans="1:17" x14ac:dyDescent="0.25">
      <c r="A101" s="474">
        <v>5502</v>
      </c>
      <c r="B101" s="488" t="s">
        <v>750</v>
      </c>
      <c r="C101" s="389"/>
      <c r="D101" s="376">
        <v>0</v>
      </c>
      <c r="E101" s="376">
        <v>0</v>
      </c>
      <c r="F101" s="376">
        <v>0</v>
      </c>
      <c r="G101" s="376">
        <v>0</v>
      </c>
      <c r="H101" s="376">
        <v>0</v>
      </c>
      <c r="I101" s="376">
        <v>0</v>
      </c>
      <c r="J101" s="376">
        <v>0</v>
      </c>
      <c r="K101" s="378">
        <v>0</v>
      </c>
      <c r="L101" s="378">
        <v>0</v>
      </c>
      <c r="M101" s="378">
        <v>0</v>
      </c>
      <c r="N101" s="378">
        <v>0</v>
      </c>
      <c r="O101" s="378">
        <v>0</v>
      </c>
      <c r="P101" s="378">
        <v>0</v>
      </c>
      <c r="Q101" s="379">
        <v>0</v>
      </c>
    </row>
    <row r="102" spans="1:17" x14ac:dyDescent="0.25">
      <c r="A102" s="474">
        <v>5503</v>
      </c>
      <c r="B102" s="488" t="s">
        <v>751</v>
      </c>
      <c r="C102" s="389"/>
      <c r="D102" s="376">
        <v>0</v>
      </c>
      <c r="E102" s="376">
        <v>0</v>
      </c>
      <c r="F102" s="376">
        <v>0</v>
      </c>
      <c r="G102" s="376">
        <v>0</v>
      </c>
      <c r="H102" s="376">
        <v>8160.45</v>
      </c>
      <c r="I102" s="376">
        <v>0</v>
      </c>
      <c r="J102" s="376">
        <v>8160.45</v>
      </c>
      <c r="K102" s="378">
        <v>0</v>
      </c>
      <c r="L102" s="378">
        <v>0</v>
      </c>
      <c r="M102" s="378">
        <v>0</v>
      </c>
      <c r="N102" s="378">
        <v>0</v>
      </c>
      <c r="O102" s="378">
        <v>0</v>
      </c>
      <c r="P102" s="378">
        <v>8182</v>
      </c>
      <c r="Q102" s="379">
        <v>8182</v>
      </c>
    </row>
    <row r="103" spans="1:17" x14ac:dyDescent="0.25">
      <c r="A103" s="474">
        <v>5504</v>
      </c>
      <c r="B103" s="488" t="s">
        <v>752</v>
      </c>
      <c r="C103" s="389"/>
      <c r="D103" s="376">
        <v>0</v>
      </c>
      <c r="E103" s="376">
        <v>0</v>
      </c>
      <c r="F103" s="376">
        <v>0</v>
      </c>
      <c r="G103" s="376">
        <v>0</v>
      </c>
      <c r="H103" s="376">
        <v>0</v>
      </c>
      <c r="I103" s="376">
        <v>0</v>
      </c>
      <c r="J103" s="376">
        <v>0</v>
      </c>
      <c r="K103" s="378">
        <v>0</v>
      </c>
      <c r="L103" s="378">
        <v>0</v>
      </c>
      <c r="M103" s="378">
        <v>0</v>
      </c>
      <c r="N103" s="378">
        <v>0</v>
      </c>
      <c r="O103" s="378">
        <v>0</v>
      </c>
      <c r="P103" s="378">
        <v>0</v>
      </c>
      <c r="Q103" s="379">
        <v>0</v>
      </c>
    </row>
    <row r="104" spans="1:17" x14ac:dyDescent="0.25">
      <c r="A104" s="474">
        <v>5505</v>
      </c>
      <c r="B104" s="488" t="s">
        <v>427</v>
      </c>
      <c r="C104" s="389"/>
      <c r="D104" s="376">
        <v>0</v>
      </c>
      <c r="E104" s="376">
        <v>0</v>
      </c>
      <c r="F104" s="376">
        <v>0</v>
      </c>
      <c r="G104" s="376">
        <v>0</v>
      </c>
      <c r="H104" s="376">
        <v>889.2</v>
      </c>
      <c r="I104" s="376">
        <v>0</v>
      </c>
      <c r="J104" s="376">
        <v>889.2</v>
      </c>
      <c r="K104" s="378">
        <v>0</v>
      </c>
      <c r="L104" s="378">
        <v>0</v>
      </c>
      <c r="M104" s="378">
        <v>0</v>
      </c>
      <c r="N104" s="378">
        <v>74</v>
      </c>
      <c r="O104" s="378">
        <v>74</v>
      </c>
      <c r="P104" s="378">
        <v>0</v>
      </c>
      <c r="Q104" s="379">
        <v>74</v>
      </c>
    </row>
    <row r="105" spans="1:17" x14ac:dyDescent="0.25">
      <c r="A105" s="474">
        <v>5506</v>
      </c>
      <c r="B105" s="488" t="s">
        <v>753</v>
      </c>
      <c r="C105" s="389"/>
      <c r="D105" s="376">
        <v>0</v>
      </c>
      <c r="E105" s="376">
        <v>0</v>
      </c>
      <c r="F105" s="376">
        <v>0</v>
      </c>
      <c r="G105" s="376">
        <v>0</v>
      </c>
      <c r="H105" s="376">
        <v>3117.4850000000001</v>
      </c>
      <c r="I105" s="376">
        <v>0</v>
      </c>
      <c r="J105" s="376">
        <v>3117.4850000000001</v>
      </c>
      <c r="K105" s="378">
        <v>0</v>
      </c>
      <c r="L105" s="378">
        <v>0</v>
      </c>
      <c r="M105" s="378">
        <v>0</v>
      </c>
      <c r="N105" s="378">
        <v>0</v>
      </c>
      <c r="O105" s="378">
        <v>0</v>
      </c>
      <c r="P105" s="378">
        <v>3117</v>
      </c>
      <c r="Q105" s="379">
        <v>3117</v>
      </c>
    </row>
    <row r="106" spans="1:17" x14ac:dyDescent="0.25">
      <c r="A106" s="474">
        <v>5507</v>
      </c>
      <c r="B106" s="488" t="s">
        <v>652</v>
      </c>
      <c r="C106" s="389"/>
      <c r="D106" s="376">
        <v>0</v>
      </c>
      <c r="E106" s="376">
        <v>0</v>
      </c>
      <c r="F106" s="376">
        <v>0</v>
      </c>
      <c r="G106" s="376">
        <v>0</v>
      </c>
      <c r="H106" s="376">
        <v>4270.6149999999998</v>
      </c>
      <c r="I106" s="376">
        <v>0</v>
      </c>
      <c r="J106" s="376">
        <v>4270.6149999999998</v>
      </c>
      <c r="K106" s="378">
        <v>0</v>
      </c>
      <c r="L106" s="378">
        <v>0</v>
      </c>
      <c r="M106" s="378">
        <v>0</v>
      </c>
      <c r="N106" s="378">
        <v>304</v>
      </c>
      <c r="O106" s="378">
        <v>304</v>
      </c>
      <c r="P106" s="378">
        <v>0</v>
      </c>
      <c r="Q106" s="379">
        <v>304</v>
      </c>
    </row>
    <row r="107" spans="1:17" x14ac:dyDescent="0.25">
      <c r="A107" s="474">
        <v>5508</v>
      </c>
      <c r="B107" s="488" t="s">
        <v>754</v>
      </c>
      <c r="C107" s="389"/>
      <c r="D107" s="376">
        <v>0</v>
      </c>
      <c r="E107" s="376">
        <v>0</v>
      </c>
      <c r="F107" s="376">
        <v>0</v>
      </c>
      <c r="G107" s="376">
        <v>0</v>
      </c>
      <c r="H107" s="376">
        <v>0</v>
      </c>
      <c r="I107" s="376">
        <v>0</v>
      </c>
      <c r="J107" s="376">
        <v>0</v>
      </c>
      <c r="K107" s="378">
        <v>0</v>
      </c>
      <c r="L107" s="378">
        <v>0</v>
      </c>
      <c r="M107" s="378">
        <v>0</v>
      </c>
      <c r="N107" s="378">
        <v>0</v>
      </c>
      <c r="O107" s="378">
        <v>0</v>
      </c>
      <c r="P107" s="378">
        <v>0</v>
      </c>
      <c r="Q107" s="379">
        <v>0</v>
      </c>
    </row>
    <row r="108" spans="1:17" x14ac:dyDescent="0.25">
      <c r="A108" s="474">
        <v>5509</v>
      </c>
      <c r="B108" s="488" t="s">
        <v>653</v>
      </c>
      <c r="C108" s="389"/>
      <c r="D108" s="376">
        <v>0</v>
      </c>
      <c r="E108" s="376">
        <v>0</v>
      </c>
      <c r="F108" s="376">
        <v>0</v>
      </c>
      <c r="G108" s="376">
        <v>0</v>
      </c>
      <c r="H108" s="376">
        <v>516.13</v>
      </c>
      <c r="I108" s="376">
        <v>0</v>
      </c>
      <c r="J108" s="376">
        <v>516.13</v>
      </c>
      <c r="K108" s="378">
        <v>0</v>
      </c>
      <c r="L108" s="378">
        <v>0</v>
      </c>
      <c r="M108" s="378">
        <v>0</v>
      </c>
      <c r="N108" s="378">
        <v>516</v>
      </c>
      <c r="O108" s="378">
        <v>516</v>
      </c>
      <c r="P108" s="378">
        <v>0</v>
      </c>
      <c r="Q108" s="379">
        <v>516</v>
      </c>
    </row>
    <row r="109" spans="1:17" x14ac:dyDescent="0.25">
      <c r="A109" s="474">
        <v>5510</v>
      </c>
      <c r="B109" s="488" t="s">
        <v>654</v>
      </c>
      <c r="C109" s="389"/>
      <c r="D109" s="376">
        <v>0</v>
      </c>
      <c r="E109" s="376">
        <v>0</v>
      </c>
      <c r="F109" s="376">
        <v>0</v>
      </c>
      <c r="G109" s="376">
        <v>0</v>
      </c>
      <c r="H109" s="376">
        <v>513</v>
      </c>
      <c r="I109" s="376">
        <v>0</v>
      </c>
      <c r="J109" s="376">
        <v>513</v>
      </c>
      <c r="K109" s="378">
        <v>0</v>
      </c>
      <c r="L109" s="378">
        <v>0</v>
      </c>
      <c r="M109" s="378">
        <v>0</v>
      </c>
      <c r="N109" s="378">
        <v>513</v>
      </c>
      <c r="O109" s="378">
        <v>513</v>
      </c>
      <c r="P109" s="378">
        <v>0</v>
      </c>
      <c r="Q109" s="379">
        <v>513</v>
      </c>
    </row>
    <row r="110" spans="1:17" x14ac:dyDescent="0.25">
      <c r="A110" s="474">
        <v>5511</v>
      </c>
      <c r="B110" s="488" t="s">
        <v>755</v>
      </c>
      <c r="C110" s="389"/>
      <c r="D110" s="376">
        <v>0</v>
      </c>
      <c r="E110" s="376">
        <v>0</v>
      </c>
      <c r="F110" s="376">
        <v>0</v>
      </c>
      <c r="G110" s="376">
        <v>0</v>
      </c>
      <c r="H110" s="376">
        <v>1218</v>
      </c>
      <c r="I110" s="376">
        <v>0</v>
      </c>
      <c r="J110" s="376">
        <v>1218</v>
      </c>
      <c r="K110" s="378">
        <v>0</v>
      </c>
      <c r="L110" s="378">
        <v>0</v>
      </c>
      <c r="M110" s="378">
        <v>0</v>
      </c>
      <c r="N110" s="378">
        <v>0</v>
      </c>
      <c r="O110" s="378">
        <v>0</v>
      </c>
      <c r="P110" s="378">
        <v>0</v>
      </c>
      <c r="Q110" s="379">
        <v>0</v>
      </c>
    </row>
    <row r="111" spans="1:17" x14ac:dyDescent="0.25">
      <c r="A111" s="474">
        <v>5512</v>
      </c>
      <c r="B111" s="488" t="s">
        <v>756</v>
      </c>
      <c r="C111" s="389"/>
      <c r="D111" s="376">
        <v>0</v>
      </c>
      <c r="E111" s="376">
        <v>0</v>
      </c>
      <c r="F111" s="376">
        <v>0</v>
      </c>
      <c r="G111" s="376">
        <v>0</v>
      </c>
      <c r="H111" s="376">
        <v>0</v>
      </c>
      <c r="I111" s="376">
        <v>0</v>
      </c>
      <c r="J111" s="376">
        <v>0</v>
      </c>
      <c r="K111" s="378">
        <v>0</v>
      </c>
      <c r="L111" s="378">
        <v>0</v>
      </c>
      <c r="M111" s="378">
        <v>0</v>
      </c>
      <c r="N111" s="378">
        <v>0</v>
      </c>
      <c r="O111" s="378">
        <v>0</v>
      </c>
      <c r="P111" s="378">
        <v>0</v>
      </c>
      <c r="Q111" s="379">
        <v>0</v>
      </c>
    </row>
    <row r="112" spans="1:17" x14ac:dyDescent="0.25">
      <c r="A112" s="474">
        <v>5513</v>
      </c>
      <c r="B112" s="488" t="s">
        <v>645</v>
      </c>
      <c r="C112" s="389"/>
      <c r="D112" s="376">
        <v>0</v>
      </c>
      <c r="E112" s="376">
        <v>0</v>
      </c>
      <c r="F112" s="376">
        <v>0</v>
      </c>
      <c r="G112" s="376">
        <v>0</v>
      </c>
      <c r="H112" s="376">
        <v>360</v>
      </c>
      <c r="I112" s="376">
        <v>0</v>
      </c>
      <c r="J112" s="376">
        <v>360</v>
      </c>
      <c r="K112" s="378">
        <v>0</v>
      </c>
      <c r="L112" s="378">
        <v>0</v>
      </c>
      <c r="M112" s="378">
        <v>0</v>
      </c>
      <c r="N112" s="378">
        <v>0</v>
      </c>
      <c r="O112" s="378">
        <v>0</v>
      </c>
      <c r="P112" s="378">
        <v>0</v>
      </c>
      <c r="Q112" s="379">
        <v>0</v>
      </c>
    </row>
    <row r="113" spans="1:18" x14ac:dyDescent="0.25">
      <c r="A113" s="474">
        <v>5514</v>
      </c>
      <c r="B113" s="488" t="s">
        <v>757</v>
      </c>
      <c r="C113" s="389"/>
      <c r="D113" s="376">
        <v>0</v>
      </c>
      <c r="E113" s="376">
        <v>0</v>
      </c>
      <c r="F113" s="376">
        <v>0</v>
      </c>
      <c r="G113" s="376">
        <v>0</v>
      </c>
      <c r="H113" s="376">
        <v>0</v>
      </c>
      <c r="I113" s="376">
        <v>0</v>
      </c>
      <c r="J113" s="376">
        <v>0</v>
      </c>
      <c r="K113" s="378">
        <v>0</v>
      </c>
      <c r="L113" s="378">
        <v>0</v>
      </c>
      <c r="M113" s="378">
        <v>0</v>
      </c>
      <c r="N113" s="378">
        <v>0</v>
      </c>
      <c r="O113" s="378">
        <v>0</v>
      </c>
      <c r="P113" s="378">
        <v>0</v>
      </c>
      <c r="Q113" s="379">
        <v>0</v>
      </c>
    </row>
    <row r="114" spans="1:18" x14ac:dyDescent="0.25">
      <c r="A114" s="474">
        <v>5515</v>
      </c>
      <c r="B114" s="488" t="s">
        <v>758</v>
      </c>
      <c r="C114" s="389"/>
      <c r="D114" s="376">
        <v>0</v>
      </c>
      <c r="E114" s="376">
        <v>0</v>
      </c>
      <c r="F114" s="376">
        <v>0</v>
      </c>
      <c r="G114" s="376">
        <v>0</v>
      </c>
      <c r="H114" s="376">
        <v>50</v>
      </c>
      <c r="I114" s="376">
        <v>0</v>
      </c>
      <c r="J114" s="376">
        <v>50</v>
      </c>
      <c r="K114" s="378">
        <v>0</v>
      </c>
      <c r="L114" s="378">
        <v>0</v>
      </c>
      <c r="M114" s="378">
        <v>0</v>
      </c>
      <c r="N114" s="378">
        <v>60</v>
      </c>
      <c r="O114" s="378">
        <v>60</v>
      </c>
      <c r="P114" s="378">
        <v>0</v>
      </c>
      <c r="Q114" s="379">
        <v>60</v>
      </c>
    </row>
    <row r="115" spans="1:18" x14ac:dyDescent="0.25">
      <c r="A115" s="474">
        <v>5516</v>
      </c>
      <c r="B115" s="488" t="s">
        <v>759</v>
      </c>
      <c r="C115" s="389"/>
      <c r="D115" s="376">
        <v>0</v>
      </c>
      <c r="E115" s="376">
        <v>0</v>
      </c>
      <c r="F115" s="376">
        <v>0</v>
      </c>
      <c r="G115" s="376">
        <v>0</v>
      </c>
      <c r="H115" s="376">
        <v>0</v>
      </c>
      <c r="I115" s="376">
        <v>0</v>
      </c>
      <c r="J115" s="376">
        <v>0</v>
      </c>
      <c r="K115" s="378">
        <v>0</v>
      </c>
      <c r="L115" s="378">
        <v>0</v>
      </c>
      <c r="M115" s="378">
        <v>0</v>
      </c>
      <c r="N115" s="378">
        <v>0</v>
      </c>
      <c r="O115" s="378">
        <v>0</v>
      </c>
      <c r="P115" s="378">
        <v>0</v>
      </c>
      <c r="Q115" s="379">
        <v>0</v>
      </c>
    </row>
    <row r="116" spans="1:18" x14ac:dyDescent="0.25">
      <c r="A116" s="474">
        <v>5517</v>
      </c>
      <c r="B116" s="488" t="s">
        <v>760</v>
      </c>
      <c r="C116" s="389"/>
      <c r="D116" s="376">
        <v>0</v>
      </c>
      <c r="E116" s="376">
        <v>0</v>
      </c>
      <c r="F116" s="376">
        <v>0</v>
      </c>
      <c r="G116" s="376">
        <v>0</v>
      </c>
      <c r="H116" s="376">
        <v>200.53200000000001</v>
      </c>
      <c r="I116" s="376">
        <v>0</v>
      </c>
      <c r="J116" s="376">
        <v>200.53200000000001</v>
      </c>
      <c r="K116" s="378">
        <v>0</v>
      </c>
      <c r="L116" s="378">
        <v>0</v>
      </c>
      <c r="M116" s="378">
        <v>0</v>
      </c>
      <c r="N116" s="378">
        <v>201</v>
      </c>
      <c r="O116" s="378">
        <v>201</v>
      </c>
      <c r="P116" s="378">
        <v>0</v>
      </c>
      <c r="Q116" s="379">
        <v>201</v>
      </c>
    </row>
    <row r="117" spans="1:18" x14ac:dyDescent="0.25">
      <c r="A117" s="474">
        <v>5518</v>
      </c>
      <c r="B117" s="488" t="s">
        <v>761</v>
      </c>
      <c r="C117" s="389"/>
      <c r="D117" s="376">
        <v>0</v>
      </c>
      <c r="E117" s="376">
        <v>0</v>
      </c>
      <c r="F117" s="376">
        <v>0</v>
      </c>
      <c r="G117" s="376">
        <v>0</v>
      </c>
      <c r="H117" s="376">
        <v>0</v>
      </c>
      <c r="I117" s="376">
        <v>0</v>
      </c>
      <c r="J117" s="376">
        <v>0</v>
      </c>
      <c r="K117" s="378">
        <v>0</v>
      </c>
      <c r="L117" s="378">
        <v>0</v>
      </c>
      <c r="M117" s="378">
        <v>0</v>
      </c>
      <c r="N117" s="378">
        <v>0</v>
      </c>
      <c r="O117" s="378">
        <v>0</v>
      </c>
      <c r="P117" s="378">
        <v>0</v>
      </c>
      <c r="Q117" s="379">
        <v>0</v>
      </c>
    </row>
    <row r="118" spans="1:18" x14ac:dyDescent="0.25">
      <c r="A118" s="474">
        <v>5519</v>
      </c>
      <c r="B118" s="488" t="s">
        <v>428</v>
      </c>
      <c r="C118" s="389"/>
      <c r="D118" s="376">
        <v>0</v>
      </c>
      <c r="E118" s="376">
        <v>0</v>
      </c>
      <c r="F118" s="376">
        <v>0</v>
      </c>
      <c r="G118" s="376">
        <v>0</v>
      </c>
      <c r="H118" s="376">
        <v>133</v>
      </c>
      <c r="I118" s="376">
        <v>0</v>
      </c>
      <c r="J118" s="376">
        <v>133</v>
      </c>
      <c r="K118" s="378">
        <v>0</v>
      </c>
      <c r="L118" s="378">
        <v>0</v>
      </c>
      <c r="M118" s="378">
        <v>0</v>
      </c>
      <c r="N118" s="378">
        <v>0</v>
      </c>
      <c r="O118" s="378">
        <v>0</v>
      </c>
      <c r="P118" s="378">
        <v>0</v>
      </c>
      <c r="Q118" s="379">
        <v>0</v>
      </c>
    </row>
    <row r="119" spans="1:18" x14ac:dyDescent="0.25">
      <c r="A119" s="474">
        <v>5520</v>
      </c>
      <c r="B119" s="488" t="s">
        <v>762</v>
      </c>
      <c r="C119" s="389"/>
      <c r="D119" s="376">
        <v>0</v>
      </c>
      <c r="E119" s="376">
        <v>0</v>
      </c>
      <c r="F119" s="376">
        <v>0</v>
      </c>
      <c r="G119" s="376">
        <v>0</v>
      </c>
      <c r="H119" s="376">
        <v>287.35000000000002</v>
      </c>
      <c r="I119" s="376">
        <v>0</v>
      </c>
      <c r="J119" s="376">
        <v>287.35000000000002</v>
      </c>
      <c r="K119" s="378">
        <v>0</v>
      </c>
      <c r="L119" s="378">
        <v>0</v>
      </c>
      <c r="M119" s="378">
        <v>0</v>
      </c>
      <c r="N119" s="378">
        <v>182</v>
      </c>
      <c r="O119" s="378">
        <v>182</v>
      </c>
      <c r="P119" s="378">
        <v>0</v>
      </c>
      <c r="Q119" s="379">
        <v>182</v>
      </c>
    </row>
    <row r="120" spans="1:18" x14ac:dyDescent="0.25">
      <c r="A120" s="474">
        <v>5521</v>
      </c>
      <c r="B120" s="488" t="s">
        <v>647</v>
      </c>
      <c r="C120" s="389"/>
      <c r="D120" s="376">
        <v>0</v>
      </c>
      <c r="E120" s="376">
        <v>0</v>
      </c>
      <c r="F120" s="376">
        <v>0</v>
      </c>
      <c r="G120" s="376">
        <v>0</v>
      </c>
      <c r="H120" s="376">
        <v>288.72399999999999</v>
      </c>
      <c r="I120" s="376">
        <v>0</v>
      </c>
      <c r="J120" s="376">
        <v>288.72399999999999</v>
      </c>
      <c r="K120" s="378">
        <v>0</v>
      </c>
      <c r="L120" s="378">
        <v>0</v>
      </c>
      <c r="M120" s="378">
        <v>0</v>
      </c>
      <c r="N120" s="378">
        <v>0</v>
      </c>
      <c r="O120" s="378">
        <v>0</v>
      </c>
      <c r="P120" s="378">
        <v>289</v>
      </c>
      <c r="Q120" s="379">
        <v>289</v>
      </c>
    </row>
    <row r="121" spans="1:18" x14ac:dyDescent="0.25">
      <c r="A121" s="474">
        <v>5522</v>
      </c>
      <c r="B121" s="488" t="s">
        <v>646</v>
      </c>
      <c r="C121" s="389"/>
      <c r="D121" s="376">
        <v>0</v>
      </c>
      <c r="E121" s="376">
        <v>0</v>
      </c>
      <c r="F121" s="376">
        <v>0</v>
      </c>
      <c r="G121" s="376">
        <v>0</v>
      </c>
      <c r="H121" s="376">
        <v>0</v>
      </c>
      <c r="I121" s="376">
        <v>0</v>
      </c>
      <c r="J121" s="376">
        <v>0</v>
      </c>
      <c r="K121" s="378">
        <v>0</v>
      </c>
      <c r="L121" s="378">
        <v>0</v>
      </c>
      <c r="M121" s="378">
        <v>0</v>
      </c>
      <c r="N121" s="378">
        <v>0</v>
      </c>
      <c r="O121" s="378">
        <v>0</v>
      </c>
      <c r="P121" s="378">
        <v>0</v>
      </c>
      <c r="Q121" s="379">
        <v>0</v>
      </c>
    </row>
    <row r="122" spans="1:18" ht="25.5" x14ac:dyDescent="0.25">
      <c r="A122" s="474">
        <v>56</v>
      </c>
      <c r="B122" s="475" t="s">
        <v>763</v>
      </c>
      <c r="C122" s="389">
        <v>0</v>
      </c>
      <c r="D122" s="376">
        <v>0</v>
      </c>
      <c r="E122" s="376">
        <v>0</v>
      </c>
      <c r="F122" s="376">
        <v>0</v>
      </c>
      <c r="G122" s="376">
        <v>0</v>
      </c>
      <c r="H122" s="376">
        <v>214290.91700000002</v>
      </c>
      <c r="I122" s="376">
        <v>300</v>
      </c>
      <c r="J122" s="376">
        <v>214590.91700000002</v>
      </c>
      <c r="K122" s="378">
        <v>0</v>
      </c>
      <c r="L122" s="378">
        <v>0</v>
      </c>
      <c r="M122" s="378">
        <v>0</v>
      </c>
      <c r="N122" s="378">
        <v>5884</v>
      </c>
      <c r="O122" s="378">
        <v>5884</v>
      </c>
      <c r="P122" s="378">
        <v>13543</v>
      </c>
      <c r="Q122" s="379">
        <v>19427</v>
      </c>
    </row>
    <row r="123" spans="1:18" x14ac:dyDescent="0.25">
      <c r="A123" s="474">
        <v>57</v>
      </c>
      <c r="B123" s="475" t="s">
        <v>764</v>
      </c>
      <c r="C123" s="389"/>
      <c r="D123" s="376">
        <v>0</v>
      </c>
      <c r="E123" s="376">
        <v>0</v>
      </c>
      <c r="F123" s="376">
        <v>0</v>
      </c>
      <c r="G123" s="376">
        <v>0</v>
      </c>
      <c r="H123" s="376">
        <v>0</v>
      </c>
      <c r="I123" s="376">
        <v>0</v>
      </c>
      <c r="J123" s="376">
        <v>0</v>
      </c>
      <c r="K123" s="378">
        <v>0</v>
      </c>
      <c r="L123" s="378">
        <v>0</v>
      </c>
      <c r="M123" s="378">
        <v>0</v>
      </c>
      <c r="N123" s="378">
        <v>0</v>
      </c>
      <c r="O123" s="378">
        <f>1351+2668</f>
        <v>4019</v>
      </c>
      <c r="P123" s="378">
        <v>0</v>
      </c>
      <c r="Q123" s="379">
        <f>1351+2668</f>
        <v>4019</v>
      </c>
    </row>
    <row r="124" spans="1:18" x14ac:dyDescent="0.25">
      <c r="A124" s="474">
        <v>58</v>
      </c>
      <c r="B124" s="475" t="s">
        <v>765</v>
      </c>
      <c r="C124" s="389"/>
      <c r="D124" s="376">
        <v>313</v>
      </c>
      <c r="E124" s="376">
        <v>0</v>
      </c>
      <c r="F124" s="376">
        <v>0</v>
      </c>
      <c r="G124" s="376">
        <v>0</v>
      </c>
      <c r="H124" s="376">
        <v>-111</v>
      </c>
      <c r="I124" s="376">
        <v>0</v>
      </c>
      <c r="J124" s="376">
        <v>202</v>
      </c>
      <c r="K124" s="378">
        <v>0</v>
      </c>
      <c r="L124" s="378">
        <v>0</v>
      </c>
      <c r="M124" s="378">
        <v>0</v>
      </c>
      <c r="N124" s="378">
        <v>0</v>
      </c>
      <c r="O124" s="378">
        <v>0</v>
      </c>
      <c r="P124" s="378">
        <v>0</v>
      </c>
      <c r="Q124" s="379">
        <v>0</v>
      </c>
    </row>
    <row r="125" spans="1:18" ht="30" x14ac:dyDescent="0.25">
      <c r="A125" s="390">
        <v>59</v>
      </c>
      <c r="B125" s="391" t="s">
        <v>766</v>
      </c>
      <c r="C125" s="476">
        <v>0</v>
      </c>
      <c r="D125" s="476">
        <v>313</v>
      </c>
      <c r="E125" s="476">
        <v>0</v>
      </c>
      <c r="F125" s="476">
        <v>0</v>
      </c>
      <c r="G125" s="476">
        <v>0</v>
      </c>
      <c r="H125" s="476">
        <v>214179.91700000002</v>
      </c>
      <c r="I125" s="476">
        <v>300</v>
      </c>
      <c r="J125" s="476">
        <v>214792.91700000002</v>
      </c>
      <c r="K125" s="476">
        <v>0</v>
      </c>
      <c r="L125" s="476">
        <v>0</v>
      </c>
      <c r="M125" s="476">
        <v>0</v>
      </c>
      <c r="N125" s="476">
        <v>5884</v>
      </c>
      <c r="O125" s="476">
        <f>5884+4019</f>
        <v>9903</v>
      </c>
      <c r="P125" s="476">
        <v>13543</v>
      </c>
      <c r="Q125" s="476">
        <f>19427+4019</f>
        <v>23446</v>
      </c>
      <c r="R125" s="454"/>
    </row>
    <row r="126" spans="1:18" x14ac:dyDescent="0.25">
      <c r="A126" s="390">
        <v>60</v>
      </c>
      <c r="B126" s="391" t="s">
        <v>767</v>
      </c>
      <c r="C126" s="476"/>
      <c r="D126" s="476">
        <v>0</v>
      </c>
      <c r="E126" s="476">
        <v>0</v>
      </c>
      <c r="F126" s="476">
        <v>0</v>
      </c>
      <c r="G126" s="476">
        <v>0</v>
      </c>
      <c r="H126" s="476">
        <v>0</v>
      </c>
      <c r="I126" s="476">
        <v>0</v>
      </c>
      <c r="J126" s="476">
        <v>0</v>
      </c>
      <c r="K126" s="476">
        <v>0</v>
      </c>
      <c r="L126" s="476">
        <v>0</v>
      </c>
      <c r="M126" s="476">
        <v>0</v>
      </c>
      <c r="N126" s="476">
        <v>0</v>
      </c>
      <c r="O126" s="476">
        <v>0</v>
      </c>
      <c r="P126" s="476">
        <v>0</v>
      </c>
      <c r="Q126" s="476">
        <v>0</v>
      </c>
    </row>
    <row r="127" spans="1:18" x14ac:dyDescent="0.25">
      <c r="A127" s="390">
        <v>61</v>
      </c>
      <c r="B127" s="391" t="s">
        <v>768</v>
      </c>
      <c r="C127" s="476">
        <v>0</v>
      </c>
      <c r="D127" s="476">
        <v>84495.775000000009</v>
      </c>
      <c r="E127" s="476">
        <v>22752.658000000003</v>
      </c>
      <c r="F127" s="476">
        <v>16580.095999999998</v>
      </c>
      <c r="G127" s="476">
        <v>4763.2980000000007</v>
      </c>
      <c r="H127" s="476">
        <v>378336.49300000002</v>
      </c>
      <c r="I127" s="476">
        <v>65667.757999999987</v>
      </c>
      <c r="J127" s="476">
        <v>572596.07799999998</v>
      </c>
      <c r="K127" s="476">
        <v>70679.687616191994</v>
      </c>
      <c r="L127" s="476">
        <v>12934.713988976378</v>
      </c>
      <c r="M127" s="476">
        <v>7948.7669249999999</v>
      </c>
      <c r="N127" s="476">
        <v>74300.264901820468</v>
      </c>
      <c r="O127" s="476">
        <v>87234.978890796847</v>
      </c>
      <c r="P127" s="476">
        <v>75810.091716930008</v>
      </c>
      <c r="Q127" s="476">
        <v>241673.52514891891</v>
      </c>
    </row>
    <row r="128" spans="1:18" x14ac:dyDescent="0.25">
      <c r="A128" s="474">
        <v>62</v>
      </c>
      <c r="B128" s="475" t="s">
        <v>769</v>
      </c>
      <c r="C128" s="389"/>
      <c r="D128" s="376">
        <v>0</v>
      </c>
      <c r="E128" s="376">
        <v>0</v>
      </c>
      <c r="F128" s="376">
        <v>0</v>
      </c>
      <c r="G128" s="376">
        <v>0</v>
      </c>
      <c r="H128" s="376">
        <v>830.56399999999996</v>
      </c>
      <c r="I128" s="376">
        <v>0</v>
      </c>
      <c r="J128" s="376">
        <v>830.56399999999996</v>
      </c>
      <c r="K128" s="378">
        <v>0</v>
      </c>
      <c r="L128" s="378">
        <v>0</v>
      </c>
      <c r="M128" s="378">
        <v>0</v>
      </c>
      <c r="N128" s="378"/>
      <c r="O128" s="378"/>
      <c r="P128" s="378">
        <v>0</v>
      </c>
      <c r="Q128" s="379"/>
    </row>
    <row r="129" spans="1:18" x14ac:dyDescent="0.25">
      <c r="A129" s="474">
        <v>63</v>
      </c>
      <c r="B129" s="475" t="s">
        <v>770</v>
      </c>
      <c r="C129" s="389"/>
      <c r="D129" s="376">
        <v>0</v>
      </c>
      <c r="E129" s="376">
        <v>0</v>
      </c>
      <c r="F129" s="376">
        <v>0</v>
      </c>
      <c r="G129" s="376">
        <v>0</v>
      </c>
      <c r="H129" s="376">
        <v>184143.348</v>
      </c>
      <c r="I129" s="376">
        <v>83.45</v>
      </c>
      <c r="J129" s="376">
        <v>184226.79800000001</v>
      </c>
      <c r="K129" s="378">
        <v>0</v>
      </c>
      <c r="L129" s="378">
        <v>0</v>
      </c>
      <c r="M129" s="378">
        <v>0</v>
      </c>
      <c r="N129" s="378">
        <v>27105</v>
      </c>
      <c r="O129" s="378">
        <f>24275.79+4180-1351</f>
        <v>27104.79</v>
      </c>
      <c r="P129" s="378">
        <v>0</v>
      </c>
      <c r="Q129" s="379">
        <v>27104</v>
      </c>
    </row>
    <row r="130" spans="1:18" ht="25.5" x14ac:dyDescent="0.25">
      <c r="A130" s="474">
        <v>64</v>
      </c>
      <c r="B130" s="475" t="s">
        <v>771</v>
      </c>
      <c r="C130" s="389"/>
      <c r="D130" s="376">
        <v>0</v>
      </c>
      <c r="E130" s="376">
        <v>0</v>
      </c>
      <c r="F130" s="376">
        <v>0</v>
      </c>
      <c r="G130" s="376">
        <v>0</v>
      </c>
      <c r="H130" s="376">
        <v>0</v>
      </c>
      <c r="I130" s="376">
        <v>0</v>
      </c>
      <c r="J130" s="376">
        <v>0</v>
      </c>
      <c r="K130" s="378">
        <v>0</v>
      </c>
      <c r="L130" s="378">
        <v>0</v>
      </c>
      <c r="M130" s="378">
        <v>0</v>
      </c>
      <c r="N130" s="378">
        <v>0</v>
      </c>
      <c r="O130" s="378">
        <v>0</v>
      </c>
      <c r="P130" s="378">
        <v>0</v>
      </c>
      <c r="Q130" s="379">
        <v>0</v>
      </c>
    </row>
    <row r="131" spans="1:18" x14ac:dyDescent="0.25">
      <c r="A131" s="474">
        <v>65</v>
      </c>
      <c r="B131" s="475" t="s">
        <v>4</v>
      </c>
      <c r="C131" s="389"/>
      <c r="D131" s="376">
        <v>0</v>
      </c>
      <c r="E131" s="376">
        <v>0</v>
      </c>
      <c r="F131" s="376">
        <v>0</v>
      </c>
      <c r="G131" s="376">
        <v>0</v>
      </c>
      <c r="H131" s="376">
        <v>0</v>
      </c>
      <c r="I131" s="376">
        <v>0</v>
      </c>
      <c r="J131" s="376">
        <v>0</v>
      </c>
      <c r="K131" s="378">
        <v>0</v>
      </c>
      <c r="L131" s="378">
        <v>0</v>
      </c>
      <c r="M131" s="378">
        <v>0</v>
      </c>
      <c r="N131" s="378">
        <v>2668.348</v>
      </c>
      <c r="O131" s="378">
        <v>0</v>
      </c>
      <c r="P131" s="378">
        <v>0</v>
      </c>
      <c r="Q131" s="379">
        <v>0</v>
      </c>
    </row>
    <row r="132" spans="1:18" x14ac:dyDescent="0.25">
      <c r="A132" s="474">
        <v>66</v>
      </c>
      <c r="B132" s="475" t="s">
        <v>772</v>
      </c>
      <c r="C132" s="389"/>
      <c r="D132" s="376">
        <v>0</v>
      </c>
      <c r="E132" s="376">
        <v>0</v>
      </c>
      <c r="F132" s="376">
        <v>0</v>
      </c>
      <c r="G132" s="376">
        <v>0</v>
      </c>
      <c r="H132" s="376">
        <v>0</v>
      </c>
      <c r="I132" s="376">
        <v>0</v>
      </c>
      <c r="J132" s="376">
        <v>0</v>
      </c>
      <c r="K132" s="378">
        <v>0</v>
      </c>
      <c r="L132" s="378">
        <v>0</v>
      </c>
      <c r="M132" s="378">
        <v>0</v>
      </c>
      <c r="N132" s="378">
        <v>0</v>
      </c>
      <c r="O132" s="378">
        <v>0</v>
      </c>
      <c r="P132" s="378">
        <v>0</v>
      </c>
      <c r="Q132" s="379">
        <v>0</v>
      </c>
    </row>
    <row r="133" spans="1:18" ht="25.5" x14ac:dyDescent="0.25">
      <c r="A133" s="474">
        <v>67</v>
      </c>
      <c r="B133" s="475" t="s">
        <v>773</v>
      </c>
      <c r="C133" s="389"/>
      <c r="D133" s="376">
        <v>0</v>
      </c>
      <c r="E133" s="376">
        <v>0</v>
      </c>
      <c r="F133" s="376">
        <v>0</v>
      </c>
      <c r="G133" s="376">
        <v>0</v>
      </c>
      <c r="H133" s="376">
        <v>0</v>
      </c>
      <c r="I133" s="376">
        <v>0</v>
      </c>
      <c r="J133" s="376">
        <v>0</v>
      </c>
      <c r="K133" s="378">
        <v>0</v>
      </c>
      <c r="L133" s="378">
        <v>0</v>
      </c>
      <c r="M133" s="378">
        <v>0</v>
      </c>
      <c r="N133" s="378">
        <v>0</v>
      </c>
      <c r="O133" s="378">
        <v>0</v>
      </c>
      <c r="P133" s="378">
        <v>0</v>
      </c>
      <c r="Q133" s="379">
        <v>0</v>
      </c>
    </row>
    <row r="134" spans="1:18" ht="25.5" x14ac:dyDescent="0.25">
      <c r="A134" s="474">
        <v>68</v>
      </c>
      <c r="B134" s="475" t="s">
        <v>774</v>
      </c>
      <c r="C134" s="389"/>
      <c r="D134" s="376">
        <v>0</v>
      </c>
      <c r="E134" s="376">
        <v>0</v>
      </c>
      <c r="F134" s="376">
        <v>0</v>
      </c>
      <c r="G134" s="376">
        <v>0</v>
      </c>
      <c r="H134" s="376">
        <v>0</v>
      </c>
      <c r="I134" s="376">
        <v>0</v>
      </c>
      <c r="J134" s="376">
        <v>0</v>
      </c>
      <c r="K134" s="378">
        <v>0</v>
      </c>
      <c r="L134" s="378">
        <v>0</v>
      </c>
      <c r="M134" s="378">
        <v>0</v>
      </c>
      <c r="N134" s="378">
        <v>0</v>
      </c>
      <c r="O134" s="378">
        <v>0</v>
      </c>
      <c r="P134" s="378">
        <v>0</v>
      </c>
      <c r="Q134" s="379">
        <v>0</v>
      </c>
      <c r="R134" s="454"/>
    </row>
    <row r="135" spans="1:18" s="454" customFormat="1" x14ac:dyDescent="0.25">
      <c r="A135" s="474">
        <v>69</v>
      </c>
      <c r="B135" s="475" t="s">
        <v>775</v>
      </c>
      <c r="C135" s="389"/>
      <c r="D135" s="376">
        <v>0</v>
      </c>
      <c r="E135" s="376">
        <v>0</v>
      </c>
      <c r="F135" s="376">
        <v>0</v>
      </c>
      <c r="G135" s="376">
        <v>0</v>
      </c>
      <c r="H135" s="376">
        <v>0</v>
      </c>
      <c r="I135" s="376">
        <v>0</v>
      </c>
      <c r="J135" s="376">
        <v>0</v>
      </c>
      <c r="K135" s="378">
        <v>0</v>
      </c>
      <c r="L135" s="378">
        <v>0</v>
      </c>
      <c r="M135" s="378">
        <v>0</v>
      </c>
      <c r="N135" s="378">
        <v>0</v>
      </c>
      <c r="O135" s="378">
        <v>0</v>
      </c>
      <c r="P135" s="378">
        <v>0</v>
      </c>
      <c r="Q135" s="379">
        <v>0</v>
      </c>
    </row>
    <row r="136" spans="1:18" x14ac:dyDescent="0.25">
      <c r="A136" s="390">
        <v>70</v>
      </c>
      <c r="B136" s="391" t="s">
        <v>776</v>
      </c>
      <c r="C136" s="476">
        <v>0</v>
      </c>
      <c r="D136" s="476">
        <v>0</v>
      </c>
      <c r="E136" s="476">
        <v>0</v>
      </c>
      <c r="F136" s="476">
        <v>0</v>
      </c>
      <c r="G136" s="476">
        <v>0</v>
      </c>
      <c r="H136" s="476">
        <v>184973.91200000001</v>
      </c>
      <c r="I136" s="476">
        <v>83.45</v>
      </c>
      <c r="J136" s="476">
        <v>185057.36200000002</v>
      </c>
      <c r="K136" s="476">
        <v>0</v>
      </c>
      <c r="L136" s="476">
        <v>0</v>
      </c>
      <c r="M136" s="476">
        <v>0</v>
      </c>
      <c r="N136" s="476">
        <v>31124.137999999999</v>
      </c>
      <c r="O136" s="476">
        <f>SUM(O129:O135)</f>
        <v>27104.79</v>
      </c>
      <c r="P136" s="476">
        <v>0</v>
      </c>
      <c r="Q136" s="476">
        <v>27105</v>
      </c>
      <c r="R136" s="454"/>
    </row>
    <row r="137" spans="1:18" s="454" customFormat="1" x14ac:dyDescent="0.25">
      <c r="A137" s="474">
        <v>71</v>
      </c>
      <c r="B137" s="475" t="s">
        <v>777</v>
      </c>
      <c r="C137" s="389"/>
      <c r="D137" s="376">
        <v>0</v>
      </c>
      <c r="E137" s="376">
        <v>0</v>
      </c>
      <c r="F137" s="376">
        <v>0</v>
      </c>
      <c r="G137" s="376">
        <v>0</v>
      </c>
      <c r="H137" s="376">
        <v>0</v>
      </c>
      <c r="I137" s="376">
        <v>0</v>
      </c>
      <c r="J137" s="376">
        <v>0</v>
      </c>
      <c r="K137" s="378">
        <v>0</v>
      </c>
      <c r="L137" s="378">
        <v>0</v>
      </c>
      <c r="M137" s="378">
        <v>0</v>
      </c>
      <c r="N137" s="378">
        <v>0</v>
      </c>
      <c r="O137" s="378">
        <v>0</v>
      </c>
      <c r="P137" s="378">
        <v>0</v>
      </c>
      <c r="Q137" s="379">
        <v>0</v>
      </c>
      <c r="R137" s="420"/>
    </row>
    <row r="138" spans="1:18" x14ac:dyDescent="0.25">
      <c r="A138" s="390">
        <v>72</v>
      </c>
      <c r="B138" s="391" t="s">
        <v>778</v>
      </c>
      <c r="C138" s="476">
        <v>0</v>
      </c>
      <c r="D138" s="476">
        <v>84495.775000000009</v>
      </c>
      <c r="E138" s="476">
        <v>22752.658000000003</v>
      </c>
      <c r="F138" s="476">
        <v>16580.095999999998</v>
      </c>
      <c r="G138" s="476">
        <v>4763.2980000000007</v>
      </c>
      <c r="H138" s="476">
        <v>563310.40500000003</v>
      </c>
      <c r="I138" s="476">
        <v>65751.207999999984</v>
      </c>
      <c r="J138" s="476">
        <v>757653.44000000006</v>
      </c>
      <c r="K138" s="476">
        <v>70679.687616191994</v>
      </c>
      <c r="L138" s="476">
        <v>12934.713988976378</v>
      </c>
      <c r="M138" s="476">
        <v>7948.7669249999999</v>
      </c>
      <c r="N138" s="476">
        <v>105424.40290182046</v>
      </c>
      <c r="O138" s="476">
        <v>118359.11689079684</v>
      </c>
      <c r="P138" s="476">
        <v>75810.091716930008</v>
      </c>
      <c r="Q138" s="476">
        <v>272797.66314891889</v>
      </c>
    </row>
    <row r="139" spans="1:18" x14ac:dyDescent="0.25">
      <c r="A139" s="474">
        <v>73</v>
      </c>
      <c r="B139" s="475" t="s">
        <v>779</v>
      </c>
      <c r="C139" s="389"/>
      <c r="D139" s="376">
        <v>0</v>
      </c>
      <c r="E139" s="376">
        <v>0</v>
      </c>
      <c r="F139" s="376">
        <v>0</v>
      </c>
      <c r="G139" s="376">
        <v>0</v>
      </c>
      <c r="H139" s="376">
        <v>0</v>
      </c>
      <c r="I139" s="376">
        <v>0</v>
      </c>
      <c r="J139" s="376">
        <v>0</v>
      </c>
      <c r="K139" s="378">
        <v>0</v>
      </c>
      <c r="L139" s="378">
        <v>0</v>
      </c>
      <c r="M139" s="378">
        <v>0</v>
      </c>
      <c r="N139" s="378">
        <v>0</v>
      </c>
      <c r="O139" s="378">
        <v>0</v>
      </c>
      <c r="P139" s="378">
        <v>0</v>
      </c>
      <c r="Q139" s="379">
        <v>0</v>
      </c>
    </row>
    <row r="140" spans="1:18" x14ac:dyDescent="0.25">
      <c r="A140" s="474">
        <v>74</v>
      </c>
      <c r="B140" s="475" t="s">
        <v>780</v>
      </c>
      <c r="C140" s="389"/>
      <c r="D140" s="376">
        <v>0</v>
      </c>
      <c r="E140" s="376">
        <v>0</v>
      </c>
      <c r="F140" s="376">
        <v>0</v>
      </c>
      <c r="G140" s="376">
        <v>0</v>
      </c>
      <c r="H140" s="376">
        <v>109862.193</v>
      </c>
      <c r="I140" s="376">
        <v>0</v>
      </c>
      <c r="J140" s="376">
        <v>109862.193</v>
      </c>
      <c r="K140" s="378">
        <v>0</v>
      </c>
      <c r="L140" s="378">
        <v>0</v>
      </c>
      <c r="M140" s="378">
        <v>0</v>
      </c>
      <c r="N140" s="378">
        <v>0</v>
      </c>
      <c r="O140" s="378">
        <v>0</v>
      </c>
      <c r="P140" s="378">
        <v>0</v>
      </c>
      <c r="Q140" s="379">
        <v>0</v>
      </c>
    </row>
    <row r="141" spans="1:18" x14ac:dyDescent="0.25">
      <c r="A141" s="474">
        <v>75</v>
      </c>
      <c r="B141" s="487" t="s">
        <v>781</v>
      </c>
      <c r="C141" s="389"/>
      <c r="D141" s="376">
        <v>0</v>
      </c>
      <c r="E141" s="376">
        <v>0</v>
      </c>
      <c r="F141" s="376">
        <v>0</v>
      </c>
      <c r="G141" s="376">
        <v>0</v>
      </c>
      <c r="H141" s="376">
        <v>125604.49400000001</v>
      </c>
      <c r="I141" s="376">
        <v>0</v>
      </c>
      <c r="J141" s="376">
        <v>125604.49400000001</v>
      </c>
      <c r="K141" s="378">
        <v>0</v>
      </c>
      <c r="L141" s="378">
        <v>0</v>
      </c>
      <c r="M141" s="378">
        <v>0</v>
      </c>
      <c r="N141" s="378">
        <v>0</v>
      </c>
      <c r="O141" s="378">
        <v>0</v>
      </c>
      <c r="P141" s="378">
        <v>0</v>
      </c>
      <c r="Q141" s="379">
        <v>0</v>
      </c>
    </row>
    <row r="142" spans="1:18" x14ac:dyDescent="0.25">
      <c r="A142" s="474">
        <v>76</v>
      </c>
      <c r="B142" s="475" t="s">
        <v>782</v>
      </c>
      <c r="C142" s="389"/>
      <c r="D142" s="376">
        <v>0</v>
      </c>
      <c r="E142" s="376">
        <v>0</v>
      </c>
      <c r="F142" s="376">
        <v>0</v>
      </c>
      <c r="G142" s="376">
        <v>0</v>
      </c>
      <c r="H142" s="376">
        <v>0</v>
      </c>
      <c r="I142" s="376">
        <v>0</v>
      </c>
      <c r="J142" s="376">
        <v>0</v>
      </c>
      <c r="K142" s="378">
        <v>0</v>
      </c>
      <c r="L142" s="378">
        <v>0</v>
      </c>
      <c r="M142" s="378">
        <v>0</v>
      </c>
      <c r="N142" s="378">
        <v>0</v>
      </c>
      <c r="O142" s="378">
        <v>0</v>
      </c>
      <c r="P142" s="378">
        <v>0</v>
      </c>
      <c r="Q142" s="379">
        <v>0</v>
      </c>
    </row>
    <row r="143" spans="1:18" x14ac:dyDescent="0.25">
      <c r="A143" s="474">
        <v>77</v>
      </c>
      <c r="B143" s="475" t="s">
        <v>783</v>
      </c>
      <c r="C143" s="389"/>
      <c r="D143" s="376">
        <v>0</v>
      </c>
      <c r="E143" s="376">
        <v>0</v>
      </c>
      <c r="F143" s="376">
        <v>0</v>
      </c>
      <c r="G143" s="376">
        <v>0</v>
      </c>
      <c r="H143" s="376">
        <v>0</v>
      </c>
      <c r="I143" s="376">
        <v>0</v>
      </c>
      <c r="J143" s="376">
        <v>0</v>
      </c>
      <c r="K143" s="378">
        <v>0</v>
      </c>
      <c r="L143" s="378">
        <v>0</v>
      </c>
      <c r="M143" s="378">
        <v>0</v>
      </c>
      <c r="N143" s="378">
        <v>0</v>
      </c>
      <c r="O143" s="378">
        <v>0</v>
      </c>
      <c r="P143" s="378">
        <v>0</v>
      </c>
      <c r="Q143" s="379">
        <v>0</v>
      </c>
    </row>
    <row r="144" spans="1:18" x14ac:dyDescent="0.25">
      <c r="A144" s="474">
        <v>78</v>
      </c>
      <c r="B144" s="475" t="s">
        <v>784</v>
      </c>
      <c r="C144" s="389"/>
      <c r="D144" s="376">
        <v>0</v>
      </c>
      <c r="E144" s="376">
        <v>0</v>
      </c>
      <c r="F144" s="376">
        <v>0</v>
      </c>
      <c r="G144" s="376">
        <v>0</v>
      </c>
      <c r="H144" s="376">
        <v>0</v>
      </c>
      <c r="I144" s="376">
        <v>0</v>
      </c>
      <c r="J144" s="376">
        <v>0</v>
      </c>
      <c r="K144" s="378">
        <v>0</v>
      </c>
      <c r="L144" s="378">
        <v>0</v>
      </c>
      <c r="M144" s="378">
        <v>0</v>
      </c>
      <c r="N144" s="378">
        <v>0</v>
      </c>
      <c r="O144" s="378">
        <v>0</v>
      </c>
      <c r="P144" s="378">
        <v>0</v>
      </c>
      <c r="Q144" s="379">
        <v>0</v>
      </c>
    </row>
    <row r="145" spans="1:18" x14ac:dyDescent="0.25">
      <c r="A145" s="474">
        <v>79</v>
      </c>
      <c r="B145" s="475" t="s">
        <v>785</v>
      </c>
      <c r="C145" s="389"/>
      <c r="D145" s="376">
        <v>0</v>
      </c>
      <c r="E145" s="376">
        <v>0</v>
      </c>
      <c r="F145" s="376">
        <v>0</v>
      </c>
      <c r="G145" s="376">
        <v>0</v>
      </c>
      <c r="H145" s="376">
        <v>0</v>
      </c>
      <c r="I145" s="376">
        <v>0</v>
      </c>
      <c r="J145" s="376">
        <v>0</v>
      </c>
      <c r="K145" s="378">
        <v>0</v>
      </c>
      <c r="L145" s="378">
        <v>0</v>
      </c>
      <c r="M145" s="378">
        <v>0</v>
      </c>
      <c r="N145" s="378">
        <v>0</v>
      </c>
      <c r="O145" s="378">
        <v>0</v>
      </c>
      <c r="P145" s="378">
        <v>0</v>
      </c>
      <c r="Q145" s="379">
        <v>0</v>
      </c>
    </row>
    <row r="146" spans="1:18" x14ac:dyDescent="0.25">
      <c r="A146" s="474">
        <v>80</v>
      </c>
      <c r="B146" s="475" t="s">
        <v>786</v>
      </c>
      <c r="C146" s="389"/>
      <c r="D146" s="376">
        <v>0</v>
      </c>
      <c r="E146" s="376">
        <v>0</v>
      </c>
      <c r="F146" s="376">
        <v>0</v>
      </c>
      <c r="G146" s="376">
        <v>0</v>
      </c>
      <c r="H146" s="376">
        <v>0</v>
      </c>
      <c r="I146" s="376">
        <v>0</v>
      </c>
      <c r="J146" s="376">
        <v>0</v>
      </c>
      <c r="K146" s="378">
        <v>0</v>
      </c>
      <c r="L146" s="378">
        <v>0</v>
      </c>
      <c r="M146" s="378">
        <v>0</v>
      </c>
      <c r="N146" s="378">
        <v>0</v>
      </c>
      <c r="O146" s="378">
        <v>0</v>
      </c>
      <c r="P146" s="378">
        <v>0</v>
      </c>
      <c r="Q146" s="379">
        <v>0</v>
      </c>
    </row>
    <row r="147" spans="1:18" x14ac:dyDescent="0.25">
      <c r="A147" s="474">
        <v>81</v>
      </c>
      <c r="B147" s="475" t="s">
        <v>787</v>
      </c>
      <c r="C147" s="389"/>
      <c r="D147" s="376">
        <v>0</v>
      </c>
      <c r="E147" s="376">
        <v>0</v>
      </c>
      <c r="F147" s="376">
        <v>0</v>
      </c>
      <c r="G147" s="376">
        <v>0</v>
      </c>
      <c r="H147" s="376">
        <v>0</v>
      </c>
      <c r="I147" s="376">
        <v>0</v>
      </c>
      <c r="J147" s="376">
        <v>0</v>
      </c>
      <c r="K147" s="378">
        <v>0</v>
      </c>
      <c r="L147" s="378">
        <v>0</v>
      </c>
      <c r="M147" s="378">
        <v>0</v>
      </c>
      <c r="N147" s="378">
        <v>0</v>
      </c>
      <c r="O147" s="378">
        <v>0</v>
      </c>
      <c r="P147" s="378">
        <v>0</v>
      </c>
      <c r="Q147" s="379">
        <v>0</v>
      </c>
      <c r="R147" s="454"/>
    </row>
    <row r="148" spans="1:18" s="454" customFormat="1" x14ac:dyDescent="0.25">
      <c r="A148" s="474">
        <v>82</v>
      </c>
      <c r="B148" s="475" t="s">
        <v>788</v>
      </c>
      <c r="C148" s="389"/>
      <c r="D148" s="376">
        <v>-531.072</v>
      </c>
      <c r="E148" s="376">
        <v>20.548999999999999</v>
      </c>
      <c r="F148" s="376">
        <v>41.667000000000002</v>
      </c>
      <c r="G148" s="376">
        <v>0</v>
      </c>
      <c r="H148" s="376">
        <v>-1643.0579999999998</v>
      </c>
      <c r="I148" s="376">
        <v>389.738</v>
      </c>
      <c r="J148" s="376">
        <v>-1722.1759999999997</v>
      </c>
      <c r="K148" s="378">
        <v>0</v>
      </c>
      <c r="L148" s="378">
        <v>0</v>
      </c>
      <c r="M148" s="378">
        <v>0</v>
      </c>
      <c r="N148" s="378">
        <v>0</v>
      </c>
      <c r="O148" s="378">
        <v>0</v>
      </c>
      <c r="P148" s="378">
        <v>0</v>
      </c>
      <c r="Q148" s="379">
        <v>0</v>
      </c>
    </row>
    <row r="149" spans="1:18" x14ac:dyDescent="0.25">
      <c r="A149" s="390">
        <v>83</v>
      </c>
      <c r="B149" s="391" t="s">
        <v>789</v>
      </c>
      <c r="C149" s="476">
        <v>0</v>
      </c>
      <c r="D149" s="476">
        <v>-531.072</v>
      </c>
      <c r="E149" s="476">
        <v>20.548999999999999</v>
      </c>
      <c r="F149" s="476">
        <v>41.667000000000002</v>
      </c>
      <c r="G149" s="476">
        <v>0</v>
      </c>
      <c r="H149" s="476">
        <v>233823.62900000002</v>
      </c>
      <c r="I149" s="476">
        <v>389.738</v>
      </c>
      <c r="J149" s="476">
        <v>233744.51100000003</v>
      </c>
      <c r="K149" s="476">
        <v>0</v>
      </c>
      <c r="L149" s="476">
        <v>0</v>
      </c>
      <c r="M149" s="476">
        <v>0</v>
      </c>
      <c r="N149" s="476">
        <v>0</v>
      </c>
      <c r="O149" s="476">
        <v>0</v>
      </c>
      <c r="P149" s="476">
        <v>0</v>
      </c>
      <c r="Q149" s="476">
        <v>0</v>
      </c>
    </row>
    <row r="150" spans="1:18" x14ac:dyDescent="0.25">
      <c r="A150" s="390">
        <v>84</v>
      </c>
      <c r="B150" s="391" t="s">
        <v>790</v>
      </c>
      <c r="C150" s="476">
        <v>0</v>
      </c>
      <c r="D150" s="476">
        <v>83964.703000000009</v>
      </c>
      <c r="E150" s="476">
        <v>22773.207000000002</v>
      </c>
      <c r="F150" s="476">
        <v>16621.762999999999</v>
      </c>
      <c r="G150" s="476">
        <v>4763.2980000000007</v>
      </c>
      <c r="H150" s="476">
        <v>797134.03399999999</v>
      </c>
      <c r="I150" s="476">
        <v>66140.945999999982</v>
      </c>
      <c r="J150" s="476">
        <v>991397.951</v>
      </c>
      <c r="K150" s="476">
        <v>70679.687616191994</v>
      </c>
      <c r="L150" s="476">
        <v>12934.713988976378</v>
      </c>
      <c r="M150" s="476">
        <v>7948.7669249999999</v>
      </c>
      <c r="N150" s="476">
        <v>105424.40290182046</v>
      </c>
      <c r="O150" s="476">
        <v>118359.11689079684</v>
      </c>
      <c r="P150" s="476">
        <v>75810.091716930008</v>
      </c>
      <c r="Q150" s="476">
        <v>272797.66314891889</v>
      </c>
    </row>
    <row r="153" spans="1:18" x14ac:dyDescent="0.25">
      <c r="D153" s="453">
        <v>83964.702999999994</v>
      </c>
      <c r="E153" s="453">
        <v>22773.207000000006</v>
      </c>
      <c r="F153" s="453">
        <v>16621.763000000003</v>
      </c>
      <c r="G153" s="453">
        <v>4763.2979999999989</v>
      </c>
      <c r="H153" s="453">
        <v>797134.03399999975</v>
      </c>
      <c r="I153" s="453">
        <v>66140.945999999996</v>
      </c>
      <c r="J153" s="453">
        <v>991397.95099999977</v>
      </c>
      <c r="K153" s="453">
        <v>70679.687616191994</v>
      </c>
      <c r="L153" s="453">
        <v>12934.713988976378</v>
      </c>
      <c r="M153" s="453">
        <v>7948.7669249999999</v>
      </c>
      <c r="N153" s="453">
        <v>105424.40290182045</v>
      </c>
      <c r="P153" s="453">
        <v>75810.091716930008</v>
      </c>
      <c r="Q153" s="465">
        <v>272797.66314891877</v>
      </c>
    </row>
    <row r="155" spans="1:18" x14ac:dyDescent="0.25">
      <c r="D155" s="453">
        <v>0</v>
      </c>
      <c r="E155" s="453">
        <v>0</v>
      </c>
      <c r="F155" s="465">
        <v>0</v>
      </c>
      <c r="G155" s="453">
        <v>0</v>
      </c>
      <c r="H155" s="453">
        <v>0</v>
      </c>
      <c r="I155" s="453">
        <v>0</v>
      </c>
      <c r="J155" s="453">
        <v>0</v>
      </c>
      <c r="K155" s="453">
        <v>0</v>
      </c>
      <c r="L155" s="453">
        <v>0</v>
      </c>
      <c r="M155" s="453">
        <v>0</v>
      </c>
      <c r="N155" s="453">
        <v>0</v>
      </c>
      <c r="P155" s="453">
        <v>0</v>
      </c>
      <c r="Q155" s="465">
        <v>0</v>
      </c>
    </row>
  </sheetData>
  <mergeCells count="4">
    <mergeCell ref="A1:Q1"/>
    <mergeCell ref="A2:J2"/>
    <mergeCell ref="D4:J4"/>
    <mergeCell ref="K4:Q4"/>
  </mergeCells>
  <phoneticPr fontId="29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68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677" t="s">
        <v>841</v>
      </c>
      <c r="C1" s="1677"/>
      <c r="D1" s="1677"/>
    </row>
    <row r="2" spans="1:4" s="56" customFormat="1" ht="16.5" thickBot="1" x14ac:dyDescent="0.3">
      <c r="A2" s="55"/>
      <c r="B2" s="335"/>
      <c r="D2" s="41" t="s">
        <v>11</v>
      </c>
    </row>
    <row r="3" spans="1:4" s="58" customFormat="1" ht="48" customHeight="1" thickBot="1" x14ac:dyDescent="0.25">
      <c r="A3" s="57" t="s">
        <v>853</v>
      </c>
      <c r="B3" s="151" t="s">
        <v>854</v>
      </c>
      <c r="C3" s="151" t="s">
        <v>17</v>
      </c>
      <c r="D3" s="152" t="s">
        <v>18</v>
      </c>
    </row>
    <row r="4" spans="1:4" s="58" customFormat="1" ht="14.1" customHeight="1" thickBot="1" x14ac:dyDescent="0.25">
      <c r="A4" s="35">
        <v>1</v>
      </c>
      <c r="B4" s="154">
        <v>2</v>
      </c>
      <c r="C4" s="154">
        <v>3</v>
      </c>
      <c r="D4" s="155">
        <v>4</v>
      </c>
    </row>
    <row r="5" spans="1:4" ht="18" customHeight="1" x14ac:dyDescent="0.2">
      <c r="A5" s="105" t="s">
        <v>855</v>
      </c>
      <c r="B5" s="156" t="s">
        <v>100</v>
      </c>
      <c r="C5" s="103">
        <v>0</v>
      </c>
      <c r="D5" s="59"/>
    </row>
    <row r="6" spans="1:4" ht="18" customHeight="1" x14ac:dyDescent="0.2">
      <c r="A6" s="60" t="s">
        <v>856</v>
      </c>
      <c r="B6" s="157" t="s">
        <v>101</v>
      </c>
      <c r="C6" s="104">
        <v>0</v>
      </c>
      <c r="D6" s="62"/>
    </row>
    <row r="7" spans="1:4" ht="18" customHeight="1" x14ac:dyDescent="0.2">
      <c r="A7" s="60" t="s">
        <v>857</v>
      </c>
      <c r="B7" s="157" t="s">
        <v>61</v>
      </c>
      <c r="C7" s="104">
        <v>0</v>
      </c>
      <c r="D7" s="62"/>
    </row>
    <row r="8" spans="1:4" ht="18" customHeight="1" x14ac:dyDescent="0.2">
      <c r="A8" s="60" t="s">
        <v>858</v>
      </c>
      <c r="B8" s="157" t="s">
        <v>62</v>
      </c>
      <c r="C8" s="104">
        <v>0</v>
      </c>
      <c r="D8" s="62"/>
    </row>
    <row r="9" spans="1:4" ht="18" customHeight="1" x14ac:dyDescent="0.2">
      <c r="A9" s="60" t="s">
        <v>859</v>
      </c>
      <c r="B9" s="157" t="s">
        <v>92</v>
      </c>
      <c r="C9" s="104"/>
      <c r="D9" s="62"/>
    </row>
    <row r="10" spans="1:4" ht="18" customHeight="1" x14ac:dyDescent="0.2">
      <c r="A10" s="60" t="s">
        <v>860</v>
      </c>
      <c r="B10" s="157" t="s">
        <v>93</v>
      </c>
      <c r="C10" s="104">
        <f>3310+16057+292+154+109</f>
        <v>19922</v>
      </c>
      <c r="D10" s="62">
        <v>19922</v>
      </c>
    </row>
    <row r="11" spans="1:4" ht="18" customHeight="1" x14ac:dyDescent="0.2">
      <c r="A11" s="60" t="s">
        <v>861</v>
      </c>
      <c r="B11" s="158" t="s">
        <v>94</v>
      </c>
      <c r="C11" s="104"/>
      <c r="D11" s="62"/>
    </row>
    <row r="12" spans="1:4" ht="18" customHeight="1" x14ac:dyDescent="0.2">
      <c r="A12" s="60" t="s">
        <v>862</v>
      </c>
      <c r="B12" s="158" t="s">
        <v>95</v>
      </c>
      <c r="C12" s="104"/>
      <c r="D12" s="62"/>
    </row>
    <row r="13" spans="1:4" ht="18" customHeight="1" x14ac:dyDescent="0.2">
      <c r="A13" s="60" t="s">
        <v>863</v>
      </c>
      <c r="B13" s="158" t="s">
        <v>96</v>
      </c>
      <c r="C13" s="104"/>
      <c r="D13" s="62"/>
    </row>
    <row r="14" spans="1:4" ht="18" customHeight="1" x14ac:dyDescent="0.2">
      <c r="A14" s="60" t="s">
        <v>864</v>
      </c>
      <c r="B14" s="158" t="s">
        <v>97</v>
      </c>
      <c r="C14" s="104"/>
      <c r="D14" s="62"/>
    </row>
    <row r="15" spans="1:4" ht="18" customHeight="1" x14ac:dyDescent="0.2">
      <c r="A15" s="60" t="s">
        <v>865</v>
      </c>
      <c r="B15" s="158" t="s">
        <v>98</v>
      </c>
      <c r="C15" s="104"/>
      <c r="D15" s="62"/>
    </row>
    <row r="16" spans="1:4" ht="22.5" customHeight="1" x14ac:dyDescent="0.2">
      <c r="A16" s="60" t="s">
        <v>866</v>
      </c>
      <c r="B16" s="158" t="s">
        <v>99</v>
      </c>
      <c r="C16" s="104"/>
      <c r="D16" s="62"/>
    </row>
    <row r="17" spans="1:8" ht="18" customHeight="1" x14ac:dyDescent="0.2">
      <c r="A17" s="60" t="s">
        <v>867</v>
      </c>
      <c r="B17" s="157" t="s">
        <v>63</v>
      </c>
      <c r="C17" s="104"/>
      <c r="D17" s="62"/>
    </row>
    <row r="18" spans="1:8" ht="22.5" x14ac:dyDescent="0.2">
      <c r="A18" s="60" t="s">
        <v>868</v>
      </c>
      <c r="B18" s="157" t="s">
        <v>639</v>
      </c>
      <c r="C18" s="104">
        <f>SUM(C19:C29)</f>
        <v>1665.3000000000002</v>
      </c>
      <c r="D18" s="62">
        <f>SUM(D19:D29)</f>
        <v>1665.3000000000002</v>
      </c>
      <c r="F18" s="4" t="s">
        <v>640</v>
      </c>
      <c r="G18" s="4">
        <v>3640</v>
      </c>
      <c r="H18" s="4" t="s">
        <v>641</v>
      </c>
    </row>
    <row r="19" spans="1:8" ht="18" hidden="1" customHeight="1" x14ac:dyDescent="0.2">
      <c r="A19" s="60"/>
      <c r="B19" s="158" t="s">
        <v>628</v>
      </c>
      <c r="C19" s="104">
        <f>H19</f>
        <v>660.66</v>
      </c>
      <c r="D19" s="62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60"/>
      <c r="B20" s="158" t="s">
        <v>629</v>
      </c>
      <c r="C20" s="104">
        <f t="shared" ref="C20:C29" si="0">H20</f>
        <v>305.76</v>
      </c>
      <c r="D20" s="62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60"/>
      <c r="B21" s="158" t="s">
        <v>630</v>
      </c>
      <c r="C21" s="104">
        <f t="shared" si="0"/>
        <v>145.6</v>
      </c>
      <c r="D21" s="62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60"/>
      <c r="B22" s="158" t="s">
        <v>631</v>
      </c>
      <c r="C22" s="104">
        <f t="shared" si="0"/>
        <v>72.8</v>
      </c>
      <c r="D22" s="62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60"/>
      <c r="B23" s="158" t="s">
        <v>632</v>
      </c>
      <c r="C23" s="104">
        <f t="shared" si="0"/>
        <v>182</v>
      </c>
      <c r="D23" s="62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60"/>
      <c r="B24" s="158" t="s">
        <v>633</v>
      </c>
      <c r="C24" s="104">
        <f t="shared" si="0"/>
        <v>141.96</v>
      </c>
      <c r="D24" s="62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60"/>
      <c r="B25" s="158" t="s">
        <v>634</v>
      </c>
      <c r="C25" s="104">
        <f t="shared" si="0"/>
        <v>61.88</v>
      </c>
      <c r="D25" s="62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60"/>
      <c r="B26" s="158" t="s">
        <v>635</v>
      </c>
      <c r="C26" s="104">
        <f t="shared" si="0"/>
        <v>36.4</v>
      </c>
      <c r="D26" s="62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60"/>
      <c r="B27" s="158" t="s">
        <v>636</v>
      </c>
      <c r="C27" s="104">
        <f t="shared" si="0"/>
        <v>36.4</v>
      </c>
      <c r="D27" s="62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60"/>
      <c r="B28" s="158" t="s">
        <v>637</v>
      </c>
      <c r="C28" s="104">
        <f t="shared" si="0"/>
        <v>7.28</v>
      </c>
      <c r="D28" s="62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60"/>
      <c r="B29" s="158" t="s">
        <v>638</v>
      </c>
      <c r="C29" s="104">
        <f t="shared" si="0"/>
        <v>14.56</v>
      </c>
      <c r="D29" s="62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60"/>
      <c r="B30" s="157"/>
      <c r="C30" s="104"/>
      <c r="D30" s="62"/>
    </row>
    <row r="31" spans="1:8" ht="18" customHeight="1" x14ac:dyDescent="0.2">
      <c r="A31" s="60" t="s">
        <v>869</v>
      </c>
      <c r="B31" s="157" t="s">
        <v>842</v>
      </c>
      <c r="C31" s="104"/>
      <c r="D31" s="62"/>
    </row>
    <row r="32" spans="1:8" ht="18" customHeight="1" x14ac:dyDescent="0.2">
      <c r="A32" s="60" t="s">
        <v>870</v>
      </c>
      <c r="B32" s="157" t="s">
        <v>64</v>
      </c>
      <c r="C32" s="104"/>
      <c r="D32" s="62"/>
    </row>
    <row r="33" spans="1:4" ht="18" customHeight="1" x14ac:dyDescent="0.2">
      <c r="A33" s="60" t="s">
        <v>871</v>
      </c>
      <c r="B33" s="157" t="s">
        <v>65</v>
      </c>
      <c r="C33" s="104"/>
      <c r="D33" s="62"/>
    </row>
    <row r="34" spans="1:4" ht="18" customHeight="1" x14ac:dyDescent="0.2">
      <c r="A34" s="60" t="s">
        <v>879</v>
      </c>
      <c r="B34" s="63"/>
      <c r="C34" s="61"/>
      <c r="D34" s="62"/>
    </row>
    <row r="35" spans="1:4" ht="18" customHeight="1" thickBot="1" x14ac:dyDescent="0.25">
      <c r="A35" s="106" t="s">
        <v>880</v>
      </c>
      <c r="B35" s="64"/>
      <c r="C35" s="65"/>
      <c r="D35" s="66"/>
    </row>
    <row r="36" spans="1:4" ht="18" customHeight="1" thickBot="1" x14ac:dyDescent="0.25">
      <c r="A36" s="36" t="s">
        <v>881</v>
      </c>
      <c r="B36" s="162" t="s">
        <v>890</v>
      </c>
      <c r="C36" s="163">
        <f>SUM(C5:C35)-C18</f>
        <v>21587.3</v>
      </c>
      <c r="D36" s="163">
        <f>SUM(D5:D35)-D18</f>
        <v>21587.3</v>
      </c>
    </row>
    <row r="37" spans="1:4" ht="8.25" customHeight="1" x14ac:dyDescent="0.2">
      <c r="A37" s="67"/>
      <c r="B37" s="1756"/>
      <c r="C37" s="1756"/>
      <c r="D37" s="1756"/>
    </row>
  </sheetData>
  <mergeCells count="2">
    <mergeCell ref="B37:D37"/>
    <mergeCell ref="B1:D1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7"/>
  <sheetViews>
    <sheetView zoomScaleNormal="100" workbookViewId="0">
      <selection activeCell="L9" sqref="L9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19" hidden="1" customWidth="1"/>
    <col min="5" max="5" width="14.33203125" hidden="1" customWidth="1"/>
    <col min="6" max="7" width="14.33203125" bestFit="1" customWidth="1"/>
  </cols>
  <sheetData>
    <row r="1" spans="1:7" ht="13.5" x14ac:dyDescent="0.25">
      <c r="A1" s="1757" t="s">
        <v>937</v>
      </c>
      <c r="B1" s="1757"/>
      <c r="C1" s="1757"/>
      <c r="D1" s="1757"/>
      <c r="E1" s="1757"/>
      <c r="F1" s="1757"/>
      <c r="G1" s="1757"/>
    </row>
    <row r="2" spans="1:7" ht="35.25" customHeight="1" x14ac:dyDescent="0.25">
      <c r="A2" s="1758" t="s">
        <v>921</v>
      </c>
      <c r="B2" s="1758"/>
      <c r="C2" s="1758"/>
      <c r="D2" s="1758"/>
      <c r="E2" s="1758"/>
      <c r="F2" s="1758"/>
      <c r="G2" s="1758"/>
    </row>
    <row r="3" spans="1:7" ht="17.25" customHeight="1" x14ac:dyDescent="0.25">
      <c r="A3" s="336"/>
      <c r="B3" s="336"/>
      <c r="C3" s="336"/>
    </row>
    <row r="4" spans="1:7" ht="13.5" thickBot="1" x14ac:dyDescent="0.25">
      <c r="A4" s="164"/>
      <c r="B4" s="164"/>
      <c r="C4" s="764"/>
      <c r="D4" s="1759"/>
      <c r="E4" s="1759"/>
      <c r="F4" s="945"/>
      <c r="G4" s="945" t="s">
        <v>894</v>
      </c>
    </row>
    <row r="5" spans="1:7" ht="42.75" customHeight="1" thickBot="1" x14ac:dyDescent="0.25">
      <c r="A5" s="337" t="s">
        <v>16</v>
      </c>
      <c r="B5" s="338" t="s">
        <v>66</v>
      </c>
      <c r="C5" s="338" t="s">
        <v>67</v>
      </c>
      <c r="D5" s="724" t="s">
        <v>957</v>
      </c>
      <c r="E5" s="540" t="s">
        <v>943</v>
      </c>
      <c r="F5" s="540" t="s">
        <v>943</v>
      </c>
      <c r="G5" s="540" t="s">
        <v>1068</v>
      </c>
    </row>
    <row r="6" spans="1:7" ht="15.95" customHeight="1" thickBot="1" x14ac:dyDescent="0.25">
      <c r="A6" s="868" t="s">
        <v>855</v>
      </c>
      <c r="B6" s="869" t="s">
        <v>539</v>
      </c>
      <c r="C6" s="869" t="s">
        <v>540</v>
      </c>
      <c r="D6" s="870">
        <v>200</v>
      </c>
      <c r="E6" s="871">
        <v>302</v>
      </c>
      <c r="F6" s="871">
        <v>302</v>
      </c>
      <c r="G6" s="871">
        <v>302</v>
      </c>
    </row>
    <row r="7" spans="1:7" ht="15.95" customHeight="1" thickBot="1" x14ac:dyDescent="0.25">
      <c r="A7" s="1763" t="s">
        <v>1003</v>
      </c>
      <c r="B7" s="1764"/>
      <c r="C7" s="1765"/>
      <c r="D7" s="873">
        <v>200</v>
      </c>
      <c r="E7" s="874">
        <f>E6</f>
        <v>302</v>
      </c>
      <c r="F7" s="874">
        <f>F6</f>
        <v>302</v>
      </c>
      <c r="G7" s="874">
        <f>G6</f>
        <v>302</v>
      </c>
    </row>
    <row r="8" spans="1:7" ht="15.95" customHeight="1" x14ac:dyDescent="0.2">
      <c r="A8" s="865" t="s">
        <v>856</v>
      </c>
      <c r="B8" s="866" t="s">
        <v>548</v>
      </c>
      <c r="C8" s="866" t="s">
        <v>541</v>
      </c>
      <c r="D8" s="872">
        <v>717</v>
      </c>
      <c r="E8" s="867">
        <v>732</v>
      </c>
      <c r="F8" s="867">
        <v>732</v>
      </c>
      <c r="G8" s="867">
        <v>732</v>
      </c>
    </row>
    <row r="9" spans="1:7" ht="15.95" customHeight="1" x14ac:dyDescent="0.2">
      <c r="A9" s="165" t="s">
        <v>857</v>
      </c>
      <c r="B9" s="32" t="s">
        <v>542</v>
      </c>
      <c r="C9" s="32" t="s">
        <v>543</v>
      </c>
      <c r="D9" s="751">
        <v>80</v>
      </c>
      <c r="E9" s="541">
        <v>80</v>
      </c>
      <c r="F9" s="541">
        <v>80</v>
      </c>
      <c r="G9" s="541">
        <v>80</v>
      </c>
    </row>
    <row r="10" spans="1:7" ht="15.95" customHeight="1" x14ac:dyDescent="0.2">
      <c r="A10" s="165" t="s">
        <v>858</v>
      </c>
      <c r="B10" s="32" t="s">
        <v>542</v>
      </c>
      <c r="C10" s="32" t="s">
        <v>544</v>
      </c>
      <c r="D10" s="751">
        <v>0</v>
      </c>
      <c r="E10" s="541">
        <v>480</v>
      </c>
      <c r="F10" s="541">
        <v>480</v>
      </c>
      <c r="G10" s="541">
        <v>480</v>
      </c>
    </row>
    <row r="11" spans="1:7" ht="15.95" customHeight="1" x14ac:dyDescent="0.2">
      <c r="A11" s="165" t="s">
        <v>859</v>
      </c>
      <c r="B11" s="32" t="s">
        <v>545</v>
      </c>
      <c r="C11" s="32" t="s">
        <v>546</v>
      </c>
      <c r="D11" s="751">
        <v>600</v>
      </c>
      <c r="E11" s="541">
        <v>600</v>
      </c>
      <c r="F11" s="541">
        <v>600</v>
      </c>
      <c r="G11" s="541">
        <v>600</v>
      </c>
    </row>
    <row r="12" spans="1:7" ht="15.95" customHeight="1" x14ac:dyDescent="0.2">
      <c r="A12" s="165" t="s">
        <v>860</v>
      </c>
      <c r="B12" s="32" t="s">
        <v>547</v>
      </c>
      <c r="C12" s="32" t="s">
        <v>958</v>
      </c>
      <c r="D12" s="751">
        <f>2373-1275</f>
        <v>1098</v>
      </c>
      <c r="E12" s="541">
        <v>1500</v>
      </c>
      <c r="F12" s="541">
        <v>1500</v>
      </c>
      <c r="G12" s="541">
        <v>1500</v>
      </c>
    </row>
    <row r="13" spans="1:7" ht="15.95" customHeight="1" x14ac:dyDescent="0.2">
      <c r="A13" s="165" t="s">
        <v>861</v>
      </c>
      <c r="B13" s="32" t="s">
        <v>547</v>
      </c>
      <c r="C13" s="32" t="s">
        <v>959</v>
      </c>
      <c r="D13" s="751">
        <v>1275</v>
      </c>
      <c r="E13" s="541">
        <v>1287</v>
      </c>
      <c r="F13" s="541">
        <v>1287</v>
      </c>
      <c r="G13" s="541">
        <v>1287</v>
      </c>
    </row>
    <row r="14" spans="1:7" s="752" customFormat="1" ht="15.95" customHeight="1" x14ac:dyDescent="0.2">
      <c r="A14" s="932" t="s">
        <v>862</v>
      </c>
      <c r="B14" s="933" t="s">
        <v>927</v>
      </c>
      <c r="C14" s="933"/>
      <c r="D14" s="934">
        <v>1500</v>
      </c>
      <c r="E14" s="935">
        <v>1000</v>
      </c>
      <c r="F14" s="935">
        <v>1000</v>
      </c>
      <c r="G14" s="935">
        <v>1000</v>
      </c>
    </row>
    <row r="15" spans="1:7" s="752" customFormat="1" ht="15.95" customHeight="1" thickBot="1" x14ac:dyDescent="0.25">
      <c r="A15" s="938" t="s">
        <v>863</v>
      </c>
      <c r="B15" s="939" t="s">
        <v>1060</v>
      </c>
      <c r="C15" s="939"/>
      <c r="D15" s="936">
        <v>400</v>
      </c>
      <c r="E15" s="937"/>
      <c r="F15" s="937"/>
      <c r="G15" s="937">
        <v>264</v>
      </c>
    </row>
    <row r="16" spans="1:7" s="875" customFormat="1" ht="15.95" customHeight="1" thickBot="1" x14ac:dyDescent="0.25">
      <c r="A16" s="1763" t="s">
        <v>1004</v>
      </c>
      <c r="B16" s="1764"/>
      <c r="C16" s="1765"/>
      <c r="D16" s="873">
        <f>SUM(D8:D15)</f>
        <v>5670</v>
      </c>
      <c r="E16" s="874">
        <f>SUM(E8:E14)</f>
        <v>5679</v>
      </c>
      <c r="F16" s="874">
        <f>SUM(F8:F15)</f>
        <v>5679</v>
      </c>
      <c r="G16" s="874">
        <f>SUM(G8:G15)</f>
        <v>5943</v>
      </c>
    </row>
    <row r="17" spans="1:7" ht="15.95" customHeight="1" thickBot="1" x14ac:dyDescent="0.25">
      <c r="A17" s="1760" t="s">
        <v>890</v>
      </c>
      <c r="B17" s="1761"/>
      <c r="C17" s="1762"/>
      <c r="D17" s="725">
        <f>D7+D16</f>
        <v>5870</v>
      </c>
      <c r="E17" s="542">
        <f>E7+E16</f>
        <v>5981</v>
      </c>
      <c r="F17" s="542">
        <f>F7+F16</f>
        <v>5981</v>
      </c>
      <c r="G17" s="542">
        <f>G7+G16</f>
        <v>6245</v>
      </c>
    </row>
  </sheetData>
  <mergeCells count="6">
    <mergeCell ref="A1:G1"/>
    <mergeCell ref="A2:G2"/>
    <mergeCell ref="D4:E4"/>
    <mergeCell ref="A17:C17"/>
    <mergeCell ref="A7:C7"/>
    <mergeCell ref="A16:C16"/>
  </mergeCells>
  <phoneticPr fontId="29" type="noConversion"/>
  <conditionalFormatting sqref="D17">
    <cfRule type="cellIs" dxfId="3" priority="4" stopIfTrue="1" operator="equal">
      <formula>0</formula>
    </cfRule>
  </conditionalFormatting>
  <conditionalFormatting sqref="E17">
    <cfRule type="cellIs" dxfId="2" priority="3" stopIfTrue="1" operator="equal">
      <formula>0</formula>
    </cfRule>
  </conditionalFormatting>
  <conditionalFormatting sqref="F17">
    <cfRule type="cellIs" dxfId="1" priority="2" stopIfTrue="1" operator="equal">
      <formula>0</formula>
    </cfRule>
  </conditionalFormatting>
  <conditionalFormatting sqref="G17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3" zoomScaleNormal="100" workbookViewId="0">
      <selection sqref="A1:E1"/>
    </sheetView>
  </sheetViews>
  <sheetFormatPr defaultColWidth="9.33203125" defaultRowHeight="15.75" x14ac:dyDescent="0.25"/>
  <cols>
    <col min="1" max="1" width="4.83203125" style="78" customWidth="1"/>
    <col min="2" max="2" width="30.33203125" style="92" bestFit="1" customWidth="1"/>
    <col min="3" max="5" width="12" style="92" bestFit="1" customWidth="1"/>
    <col min="6" max="16384" width="9.33203125" style="92"/>
  </cols>
  <sheetData>
    <row r="1" spans="1:5" x14ac:dyDescent="0.25">
      <c r="A1" s="1770" t="s">
        <v>936</v>
      </c>
      <c r="B1" s="1770"/>
      <c r="C1" s="1770"/>
      <c r="D1" s="1770"/>
      <c r="E1" s="1770"/>
    </row>
    <row r="2" spans="1:5" ht="27.75" customHeight="1" x14ac:dyDescent="0.25">
      <c r="A2" s="1769" t="s">
        <v>956</v>
      </c>
      <c r="B2" s="1769"/>
      <c r="C2" s="1769"/>
      <c r="D2" s="1769"/>
      <c r="E2" s="1769"/>
    </row>
    <row r="3" spans="1:5" ht="16.5" thickBot="1" x14ac:dyDescent="0.3">
      <c r="D3" s="5"/>
      <c r="E3" s="5" t="s">
        <v>894</v>
      </c>
    </row>
    <row r="4" spans="1:5" s="78" customFormat="1" ht="26.1" customHeight="1" thickBot="1" x14ac:dyDescent="0.3">
      <c r="A4" s="75" t="s">
        <v>853</v>
      </c>
      <c r="B4" s="76" t="s">
        <v>12</v>
      </c>
      <c r="C4" s="76" t="s">
        <v>939</v>
      </c>
      <c r="D4" s="76" t="s">
        <v>940</v>
      </c>
      <c r="E4" s="77" t="s">
        <v>955</v>
      </c>
    </row>
    <row r="5" spans="1:5" s="80" customFormat="1" ht="15" customHeight="1" thickBot="1" x14ac:dyDescent="0.25">
      <c r="A5" s="79" t="s">
        <v>855</v>
      </c>
      <c r="B5" s="1766" t="s">
        <v>897</v>
      </c>
      <c r="C5" s="1767"/>
      <c r="D5" s="1767"/>
      <c r="E5" s="1768"/>
    </row>
    <row r="6" spans="1:5" s="80" customFormat="1" ht="15" customHeight="1" x14ac:dyDescent="0.2">
      <c r="A6" s="81" t="s">
        <v>856</v>
      </c>
      <c r="B6" s="82" t="s">
        <v>122</v>
      </c>
      <c r="C6" s="83">
        <f>'1.1.sz.mell.'!E6</f>
        <v>98689</v>
      </c>
      <c r="D6" s="83">
        <v>90000</v>
      </c>
      <c r="E6" s="928">
        <v>90000</v>
      </c>
    </row>
    <row r="7" spans="1:5" s="86" customFormat="1" ht="14.1" customHeight="1" x14ac:dyDescent="0.2">
      <c r="A7" s="84" t="s">
        <v>857</v>
      </c>
      <c r="B7" s="234" t="s">
        <v>898</v>
      </c>
      <c r="C7" s="85">
        <f>'1.1.sz.mell.'!E11</f>
        <v>22409</v>
      </c>
      <c r="D7" s="85">
        <v>22000</v>
      </c>
      <c r="E7" s="929">
        <v>22000</v>
      </c>
    </row>
    <row r="8" spans="1:5" s="86" customFormat="1" x14ac:dyDescent="0.2">
      <c r="A8" s="84" t="s">
        <v>858</v>
      </c>
      <c r="B8" s="235" t="s">
        <v>0</v>
      </c>
      <c r="C8" s="87">
        <f>'1.1.sz.mell.'!E20</f>
        <v>8132</v>
      </c>
      <c r="D8" s="87">
        <v>8000</v>
      </c>
      <c r="E8" s="930">
        <v>8000</v>
      </c>
    </row>
    <row r="9" spans="1:5" s="86" customFormat="1" ht="14.1" customHeight="1" x14ac:dyDescent="0.2">
      <c r="A9" s="84" t="s">
        <v>859</v>
      </c>
      <c r="B9" s="234" t="s">
        <v>843</v>
      </c>
      <c r="C9" s="85">
        <f>'1.1.sz.mell.'!E21</f>
        <v>166940</v>
      </c>
      <c r="D9" s="85">
        <v>170000</v>
      </c>
      <c r="E9" s="929">
        <v>170000</v>
      </c>
    </row>
    <row r="10" spans="1:5" s="86" customFormat="1" ht="14.1" customHeight="1" x14ac:dyDescent="0.2">
      <c r="A10" s="84" t="s">
        <v>860</v>
      </c>
      <c r="B10" s="234" t="s">
        <v>844</v>
      </c>
      <c r="C10" s="85">
        <f>'1.1.sz.mell.'!E30</f>
        <v>22434</v>
      </c>
      <c r="D10" s="85"/>
      <c r="E10" s="929"/>
    </row>
    <row r="11" spans="1:5" s="86" customFormat="1" ht="14.1" customHeight="1" x14ac:dyDescent="0.2">
      <c r="A11" s="84" t="s">
        <v>861</v>
      </c>
      <c r="B11" s="234" t="s">
        <v>845</v>
      </c>
      <c r="C11" s="85">
        <f>'1.1.sz.mell.'!E43</f>
        <v>209</v>
      </c>
      <c r="D11" s="85"/>
      <c r="E11" s="929"/>
    </row>
    <row r="12" spans="1:5" s="86" customFormat="1" ht="14.1" customHeight="1" x14ac:dyDescent="0.2">
      <c r="A12" s="84" t="s">
        <v>862</v>
      </c>
      <c r="B12" s="234" t="s">
        <v>846</v>
      </c>
      <c r="C12" s="85">
        <f>'1.1.sz.mell.'!E46</f>
        <v>0</v>
      </c>
      <c r="D12" s="85"/>
      <c r="E12" s="929"/>
    </row>
    <row r="13" spans="1:5" s="86" customFormat="1" x14ac:dyDescent="0.2">
      <c r="A13" s="84" t="s">
        <v>863</v>
      </c>
      <c r="B13" s="236" t="s">
        <v>847</v>
      </c>
      <c r="C13" s="85"/>
      <c r="D13" s="85"/>
      <c r="E13" s="929"/>
    </row>
    <row r="14" spans="1:5" s="86" customFormat="1" ht="14.1" customHeight="1" thickBot="1" x14ac:dyDescent="0.25">
      <c r="A14" s="84" t="s">
        <v>864</v>
      </c>
      <c r="B14" s="234" t="s">
        <v>848</v>
      </c>
      <c r="C14" s="85"/>
      <c r="D14" s="85"/>
      <c r="E14" s="929"/>
    </row>
    <row r="15" spans="1:5" s="80" customFormat="1" ht="15.95" customHeight="1" thickBot="1" x14ac:dyDescent="0.25">
      <c r="A15" s="79" t="s">
        <v>865</v>
      </c>
      <c r="B15" s="37" t="s">
        <v>51</v>
      </c>
      <c r="C15" s="88">
        <f>SUM(C6:C14)</f>
        <v>318813</v>
      </c>
      <c r="D15" s="88">
        <f>SUM(D6:D14)</f>
        <v>290000</v>
      </c>
      <c r="E15" s="89">
        <f>SUM(E6:E14)</f>
        <v>290000</v>
      </c>
    </row>
    <row r="16" spans="1:5" s="80" customFormat="1" ht="15" customHeight="1" thickBot="1" x14ac:dyDescent="0.25">
      <c r="A16" s="79" t="s">
        <v>866</v>
      </c>
      <c r="B16" s="1766" t="s">
        <v>1</v>
      </c>
      <c r="C16" s="1767"/>
      <c r="D16" s="1767"/>
      <c r="E16" s="1768"/>
    </row>
    <row r="17" spans="1:5" s="86" customFormat="1" ht="14.1" customHeight="1" x14ac:dyDescent="0.2">
      <c r="A17" s="90" t="s">
        <v>867</v>
      </c>
      <c r="B17" s="237" t="s">
        <v>13</v>
      </c>
      <c r="C17" s="87">
        <f>'1.1.sz.mell.'!E74</f>
        <v>128480</v>
      </c>
      <c r="D17" s="87">
        <v>135000</v>
      </c>
      <c r="E17" s="930">
        <v>135000</v>
      </c>
    </row>
    <row r="18" spans="1:5" s="86" customFormat="1" ht="22.5" x14ac:dyDescent="0.2">
      <c r="A18" s="84" t="s">
        <v>868</v>
      </c>
      <c r="B18" s="236" t="s">
        <v>144</v>
      </c>
      <c r="C18" s="85">
        <f>'1.1.sz.mell.'!E75</f>
        <v>33112</v>
      </c>
      <c r="D18" s="85">
        <f>D17*0.27</f>
        <v>36450</v>
      </c>
      <c r="E18" s="929">
        <v>36450</v>
      </c>
    </row>
    <row r="19" spans="1:5" s="86" customFormat="1" x14ac:dyDescent="0.2">
      <c r="A19" s="84" t="s">
        <v>869</v>
      </c>
      <c r="B19" s="234" t="s">
        <v>70</v>
      </c>
      <c r="C19" s="85">
        <f>'1.1.sz.mell.'!E76</f>
        <v>88289</v>
      </c>
      <c r="D19" s="85">
        <v>80000</v>
      </c>
      <c r="E19" s="929">
        <v>80000</v>
      </c>
    </row>
    <row r="20" spans="1:5" s="86" customFormat="1" x14ac:dyDescent="0.2">
      <c r="A20" s="84" t="s">
        <v>870</v>
      </c>
      <c r="B20" s="234" t="s">
        <v>145</v>
      </c>
      <c r="C20" s="85">
        <f>'1.1.sz.mell.'!E77</f>
        <v>9584</v>
      </c>
      <c r="D20" s="85">
        <v>12000</v>
      </c>
      <c r="E20" s="929">
        <v>12000</v>
      </c>
    </row>
    <row r="21" spans="1:5" s="86" customFormat="1" x14ac:dyDescent="0.2">
      <c r="A21" s="84" t="s">
        <v>871</v>
      </c>
      <c r="B21" s="234" t="s">
        <v>849</v>
      </c>
      <c r="C21" s="85">
        <f>'1.1.sz.mell.'!E78</f>
        <v>6287</v>
      </c>
      <c r="D21" s="85">
        <v>2757</v>
      </c>
      <c r="E21" s="929">
        <v>2757</v>
      </c>
    </row>
    <row r="22" spans="1:5" s="86" customFormat="1" x14ac:dyDescent="0.2">
      <c r="A22" s="84" t="s">
        <v>872</v>
      </c>
      <c r="B22" s="234" t="s">
        <v>250</v>
      </c>
      <c r="C22" s="85">
        <f>'1.1.sz.mell.'!E88</f>
        <v>9602</v>
      </c>
      <c r="D22" s="85">
        <f>282000-266207+8000</f>
        <v>23793</v>
      </c>
      <c r="E22" s="929">
        <v>23793</v>
      </c>
    </row>
    <row r="23" spans="1:5" s="86" customFormat="1" x14ac:dyDescent="0.2">
      <c r="A23" s="84" t="s">
        <v>873</v>
      </c>
      <c r="B23" s="236" t="s">
        <v>148</v>
      </c>
      <c r="C23" s="85">
        <f>'1.1.sz.mell.'!E89</f>
        <v>36867</v>
      </c>
      <c r="D23" s="85"/>
      <c r="E23" s="929"/>
    </row>
    <row r="24" spans="1:5" s="86" customFormat="1" x14ac:dyDescent="0.2">
      <c r="A24" s="84" t="s">
        <v>874</v>
      </c>
      <c r="B24" s="234" t="s">
        <v>281</v>
      </c>
      <c r="C24" s="85">
        <v>0</v>
      </c>
      <c r="D24" s="85"/>
      <c r="E24" s="929"/>
    </row>
    <row r="25" spans="1:5" s="86" customFormat="1" x14ac:dyDescent="0.2">
      <c r="A25" s="84" t="s">
        <v>875</v>
      </c>
      <c r="B25" s="234" t="s">
        <v>887</v>
      </c>
      <c r="C25" s="85">
        <f>'1.1.sz.mell.'!E98</f>
        <v>6592</v>
      </c>
      <c r="D25" s="85"/>
      <c r="E25" s="929"/>
    </row>
    <row r="26" spans="1:5" s="86" customFormat="1" x14ac:dyDescent="0.2">
      <c r="A26" s="84" t="s">
        <v>876</v>
      </c>
      <c r="B26" s="234" t="s">
        <v>850</v>
      </c>
      <c r="C26" s="85"/>
      <c r="D26" s="85"/>
      <c r="E26" s="929"/>
    </row>
    <row r="27" spans="1:5" s="86" customFormat="1" ht="16.5" thickBot="1" x14ac:dyDescent="0.25">
      <c r="A27" s="84" t="s">
        <v>877</v>
      </c>
      <c r="B27" s="234" t="s">
        <v>851</v>
      </c>
      <c r="C27" s="85"/>
      <c r="D27" s="85"/>
      <c r="E27" s="929"/>
    </row>
    <row r="28" spans="1:5" s="80" customFormat="1" ht="16.5" thickBot="1" x14ac:dyDescent="0.25">
      <c r="A28" s="91" t="s">
        <v>878</v>
      </c>
      <c r="B28" s="37" t="s">
        <v>52</v>
      </c>
      <c r="C28" s="88">
        <f>SUM(C17:C27)</f>
        <v>318813</v>
      </c>
      <c r="D28" s="88">
        <f>SUM(D17:D27)</f>
        <v>290000</v>
      </c>
      <c r="E28" s="89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L94"/>
  <sheetViews>
    <sheetView workbookViewId="0">
      <selection activeCell="K48" sqref="K48"/>
    </sheetView>
  </sheetViews>
  <sheetFormatPr defaultColWidth="9.33203125" defaultRowHeight="12.75" x14ac:dyDescent="0.2"/>
  <cols>
    <col min="1" max="1" width="3.83203125" style="44" bestFit="1" customWidth="1"/>
    <col min="2" max="2" width="2.33203125" style="44" bestFit="1" customWidth="1"/>
    <col min="3" max="3" width="4.5" style="853" customWidth="1"/>
    <col min="4" max="4" width="61.1640625" style="44" bestFit="1" customWidth="1"/>
    <col min="5" max="7" width="12.6640625" style="44" bestFit="1" customWidth="1"/>
    <col min="8" max="8" width="10.5" style="44" bestFit="1" customWidth="1"/>
    <col min="9" max="12" width="9.33203125" style="44"/>
    <col min="13" max="13" width="9.33203125" style="44" customWidth="1"/>
    <col min="14" max="16384" width="9.33203125" style="44"/>
  </cols>
  <sheetData>
    <row r="1" spans="1:8" ht="13.5" x14ac:dyDescent="0.25">
      <c r="A1" s="1770" t="s">
        <v>1055</v>
      </c>
      <c r="B1" s="1770"/>
      <c r="C1" s="1770"/>
      <c r="D1" s="1770"/>
      <c r="E1" s="1770"/>
      <c r="F1" s="1770"/>
      <c r="G1" s="1770"/>
    </row>
    <row r="2" spans="1:8" ht="32.25" customHeight="1" x14ac:dyDescent="0.2">
      <c r="A2" s="1820" t="s">
        <v>944</v>
      </c>
      <c r="B2" s="1820"/>
      <c r="C2" s="1820"/>
      <c r="D2" s="1820"/>
      <c r="E2" s="1820"/>
      <c r="F2" s="1820"/>
      <c r="G2" s="1820"/>
    </row>
    <row r="3" spans="1:8" s="45" customFormat="1" ht="13.5" thickBot="1" x14ac:dyDescent="0.25">
      <c r="A3" s="426"/>
      <c r="B3" s="426"/>
      <c r="C3" s="840"/>
      <c r="D3" s="426"/>
    </row>
    <row r="4" spans="1:8" s="46" customFormat="1" ht="26.25" thickBot="1" x14ac:dyDescent="0.25">
      <c r="A4" s="1814" t="s">
        <v>889</v>
      </c>
      <c r="B4" s="1815"/>
      <c r="C4" s="1815"/>
      <c r="D4" s="1816"/>
      <c r="E4" s="439" t="s">
        <v>926</v>
      </c>
      <c r="F4" s="439" t="s">
        <v>914</v>
      </c>
      <c r="G4" s="439" t="s">
        <v>943</v>
      </c>
    </row>
    <row r="5" spans="1:8" ht="14.25" customHeight="1" x14ac:dyDescent="0.2">
      <c r="A5" s="1821" t="s">
        <v>549</v>
      </c>
      <c r="B5" s="1824">
        <v>1</v>
      </c>
      <c r="C5" s="1826" t="s">
        <v>550</v>
      </c>
      <c r="D5" s="1827"/>
      <c r="E5" s="839">
        <f>E6+E9+E10+E13</f>
        <v>51035884</v>
      </c>
      <c r="F5" s="839">
        <f>F6+F9+F10+F13</f>
        <v>65287243</v>
      </c>
      <c r="G5" s="839">
        <f>G6+G9+G10+G13+G14</f>
        <v>77091476</v>
      </c>
      <c r="H5" s="44">
        <v>77091476</v>
      </c>
    </row>
    <row r="6" spans="1:8" ht="25.5" customHeight="1" x14ac:dyDescent="0.2">
      <c r="A6" s="1822"/>
      <c r="B6" s="1825"/>
      <c r="C6" s="841" t="s">
        <v>551</v>
      </c>
      <c r="D6" s="548" t="s">
        <v>552</v>
      </c>
      <c r="E6" s="433">
        <f>E7+E8</f>
        <v>38014000</v>
      </c>
      <c r="F6" s="433">
        <v>39754400</v>
      </c>
      <c r="G6" s="433">
        <v>40166600</v>
      </c>
      <c r="H6" s="765"/>
    </row>
    <row r="7" spans="1:8" ht="153" hidden="1" customHeight="1" x14ac:dyDescent="0.2">
      <c r="A7" s="1822"/>
      <c r="B7" s="1825"/>
      <c r="C7" s="841"/>
      <c r="D7" s="549" t="s">
        <v>553</v>
      </c>
      <c r="E7" s="434">
        <v>38014000</v>
      </c>
      <c r="F7" s="434">
        <v>38014000</v>
      </c>
      <c r="G7" s="434">
        <v>38014000</v>
      </c>
      <c r="H7" s="765"/>
    </row>
    <row r="8" spans="1:8" ht="102" hidden="1" customHeight="1" x14ac:dyDescent="0.2">
      <c r="A8" s="1822"/>
      <c r="B8" s="1825"/>
      <c r="C8" s="841"/>
      <c r="D8" s="549" t="s">
        <v>554</v>
      </c>
      <c r="E8" s="434">
        <v>0</v>
      </c>
      <c r="F8" s="434">
        <v>0</v>
      </c>
      <c r="G8" s="434">
        <v>0</v>
      </c>
      <c r="H8" s="765"/>
    </row>
    <row r="9" spans="1:8" x14ac:dyDescent="0.2">
      <c r="A9" s="1822"/>
      <c r="B9" s="1825"/>
      <c r="C9" s="841" t="s">
        <v>555</v>
      </c>
      <c r="D9" s="548" t="s">
        <v>556</v>
      </c>
      <c r="E9" s="433">
        <v>12448359</v>
      </c>
      <c r="F9" s="433">
        <v>16814543</v>
      </c>
      <c r="G9" s="433">
        <v>18067916</v>
      </c>
      <c r="H9" s="765"/>
    </row>
    <row r="10" spans="1:8" x14ac:dyDescent="0.2">
      <c r="A10" s="1822"/>
      <c r="B10" s="1825"/>
      <c r="C10" s="841"/>
      <c r="D10" s="548" t="s">
        <v>945</v>
      </c>
      <c r="E10" s="433">
        <v>-8071875</v>
      </c>
      <c r="F10" s="433"/>
      <c r="G10" s="433">
        <v>10055410</v>
      </c>
      <c r="H10" s="765"/>
    </row>
    <row r="11" spans="1:8" ht="165.75" hidden="1" customHeight="1" x14ac:dyDescent="0.2">
      <c r="A11" s="1822"/>
      <c r="B11" s="1825"/>
      <c r="C11" s="842"/>
      <c r="D11" s="546" t="s">
        <v>558</v>
      </c>
      <c r="E11" s="547">
        <v>42390484</v>
      </c>
      <c r="F11" s="828">
        <v>42390484</v>
      </c>
      <c r="G11" s="828">
        <v>42390484</v>
      </c>
      <c r="H11" s="765"/>
    </row>
    <row r="12" spans="1:8" ht="63.75" hidden="1" customHeight="1" x14ac:dyDescent="0.2">
      <c r="A12" s="1822"/>
      <c r="B12" s="1825"/>
      <c r="C12" s="842"/>
      <c r="D12" s="546" t="s">
        <v>559</v>
      </c>
      <c r="E12" s="547">
        <v>0</v>
      </c>
      <c r="F12" s="828">
        <v>0</v>
      </c>
      <c r="G12" s="828">
        <v>0</v>
      </c>
      <c r="H12" s="765"/>
    </row>
    <row r="13" spans="1:8" x14ac:dyDescent="0.2">
      <c r="A13" s="1822"/>
      <c r="B13" s="1825"/>
      <c r="C13" s="843" t="s">
        <v>557</v>
      </c>
      <c r="D13" s="544" t="s">
        <v>561</v>
      </c>
      <c r="E13" s="545">
        <v>8645400</v>
      </c>
      <c r="F13" s="550">
        <v>8718300</v>
      </c>
      <c r="G13" s="550">
        <v>8793900</v>
      </c>
      <c r="H13" s="765"/>
    </row>
    <row r="14" spans="1:8" x14ac:dyDescent="0.2">
      <c r="A14" s="1822"/>
      <c r="B14" s="835"/>
      <c r="C14" s="844" t="s">
        <v>560</v>
      </c>
      <c r="D14" s="836" t="s">
        <v>625</v>
      </c>
      <c r="E14" s="837"/>
      <c r="F14" s="838"/>
      <c r="G14" s="838">
        <v>7650</v>
      </c>
      <c r="H14" s="765"/>
    </row>
    <row r="15" spans="1:8" ht="13.5" thickBot="1" x14ac:dyDescent="0.25">
      <c r="A15" s="1822"/>
      <c r="B15" s="444">
        <v>6</v>
      </c>
      <c r="C15" s="1828" t="s">
        <v>946</v>
      </c>
      <c r="D15" s="1829"/>
      <c r="E15" s="445">
        <v>0</v>
      </c>
      <c r="F15" s="829">
        <v>0</v>
      </c>
      <c r="G15" s="829">
        <v>62611</v>
      </c>
      <c r="H15" s="765">
        <v>62611</v>
      </c>
    </row>
    <row r="16" spans="1:8" ht="31.5" customHeight="1" thickBot="1" x14ac:dyDescent="0.25">
      <c r="A16" s="1823"/>
      <c r="B16" s="1788" t="s">
        <v>1058</v>
      </c>
      <c r="C16" s="1830"/>
      <c r="D16" s="1831"/>
      <c r="E16" s="446">
        <f>E5+E15</f>
        <v>51035884</v>
      </c>
      <c r="F16" s="449">
        <f>F5+F15</f>
        <v>65287243</v>
      </c>
      <c r="G16" s="449">
        <f>G5+G15</f>
        <v>77154087</v>
      </c>
      <c r="H16" s="765"/>
    </row>
    <row r="17" spans="1:8" x14ac:dyDescent="0.2">
      <c r="A17" s="1791" t="s">
        <v>562</v>
      </c>
      <c r="B17" s="1819">
        <v>1</v>
      </c>
      <c r="C17" s="1803" t="s">
        <v>909</v>
      </c>
      <c r="D17" s="1803"/>
      <c r="E17" s="763">
        <f>E18+E21</f>
        <v>33648000</v>
      </c>
      <c r="F17" s="832">
        <f>F18+F21</f>
        <v>49017600</v>
      </c>
      <c r="G17" s="832">
        <f>G18+G21+G24</f>
        <v>51957800</v>
      </c>
      <c r="H17" s="765"/>
    </row>
    <row r="18" spans="1:8" x14ac:dyDescent="0.2">
      <c r="A18" s="1792"/>
      <c r="B18" s="1798"/>
      <c r="C18" s="843" t="s">
        <v>947</v>
      </c>
      <c r="D18" s="544" t="s">
        <v>563</v>
      </c>
      <c r="E18" s="545">
        <f>E19+E20</f>
        <v>25488000</v>
      </c>
      <c r="F18" s="550">
        <f>F19+F20</f>
        <v>36417600</v>
      </c>
      <c r="G18" s="550">
        <v>39028800</v>
      </c>
      <c r="H18" s="765">
        <f>13009600+26019200</f>
        <v>39028800</v>
      </c>
    </row>
    <row r="19" spans="1:8" s="755" customFormat="1" ht="12.75" hidden="1" customHeight="1" x14ac:dyDescent="0.2">
      <c r="A19" s="1792"/>
      <c r="B19" s="1798"/>
      <c r="C19" s="845"/>
      <c r="D19" s="753" t="s">
        <v>565</v>
      </c>
      <c r="E19" s="754">
        <v>16992000</v>
      </c>
      <c r="F19" s="830">
        <v>24072000</v>
      </c>
      <c r="G19" s="830">
        <v>24072000</v>
      </c>
      <c r="H19" s="765"/>
    </row>
    <row r="20" spans="1:8" s="755" customFormat="1" ht="12.75" hidden="1" customHeight="1" x14ac:dyDescent="0.2">
      <c r="A20" s="1792"/>
      <c r="B20" s="1798"/>
      <c r="C20" s="845"/>
      <c r="D20" s="753" t="s">
        <v>922</v>
      </c>
      <c r="E20" s="754">
        <v>8496000</v>
      </c>
      <c r="F20" s="830">
        <f>12036000+309600</f>
        <v>12345600</v>
      </c>
      <c r="G20" s="830">
        <f>12036000+309600</f>
        <v>12345600</v>
      </c>
      <c r="H20" s="765"/>
    </row>
    <row r="21" spans="1:8" ht="25.5" x14ac:dyDescent="0.2">
      <c r="A21" s="1792"/>
      <c r="B21" s="1798"/>
      <c r="C21" s="843" t="s">
        <v>948</v>
      </c>
      <c r="D21" s="544" t="s">
        <v>912</v>
      </c>
      <c r="E21" s="545">
        <f>E22+E23</f>
        <v>8160000</v>
      </c>
      <c r="F21" s="550">
        <f>F22+F23</f>
        <v>12600000</v>
      </c>
      <c r="G21" s="550">
        <f>G22+G23</f>
        <v>12600000</v>
      </c>
      <c r="H21" s="765">
        <f>4200000+8400000</f>
        <v>12600000</v>
      </c>
    </row>
    <row r="22" spans="1:8" s="755" customFormat="1" ht="12.75" hidden="1" customHeight="1" x14ac:dyDescent="0.2">
      <c r="A22" s="1792"/>
      <c r="B22" s="1798"/>
      <c r="C22" s="845"/>
      <c r="D22" s="753" t="s">
        <v>565</v>
      </c>
      <c r="E22" s="754">
        <v>5440000</v>
      </c>
      <c r="F22" s="830">
        <v>8400000</v>
      </c>
      <c r="G22" s="830">
        <v>8400000</v>
      </c>
      <c r="H22" s="765"/>
    </row>
    <row r="23" spans="1:8" s="755" customFormat="1" ht="12.75" hidden="1" customHeight="1" x14ac:dyDescent="0.2">
      <c r="A23" s="1792"/>
      <c r="B23" s="1798"/>
      <c r="C23" s="845"/>
      <c r="D23" s="753" t="s">
        <v>922</v>
      </c>
      <c r="E23" s="754">
        <v>2720000</v>
      </c>
      <c r="F23" s="830">
        <v>4200000</v>
      </c>
      <c r="G23" s="830">
        <v>4200000</v>
      </c>
      <c r="H23" s="765"/>
    </row>
    <row r="24" spans="1:8" s="752" customFormat="1" x14ac:dyDescent="0.2">
      <c r="A24" s="1792"/>
      <c r="B24" s="1799"/>
      <c r="C24" s="843" t="s">
        <v>949</v>
      </c>
      <c r="D24" s="544" t="s">
        <v>950</v>
      </c>
      <c r="E24" s="547"/>
      <c r="F24" s="828"/>
      <c r="G24" s="550">
        <v>329000</v>
      </c>
      <c r="H24" s="765">
        <v>329000</v>
      </c>
    </row>
    <row r="25" spans="1:8" ht="12.75" customHeight="1" x14ac:dyDescent="0.2">
      <c r="A25" s="1792"/>
      <c r="B25" s="1817">
        <v>2</v>
      </c>
      <c r="C25" s="855" t="s">
        <v>951</v>
      </c>
      <c r="D25" s="856" t="s">
        <v>910</v>
      </c>
      <c r="E25" s="760">
        <f>E26+E27</f>
        <v>5400000</v>
      </c>
      <c r="F25" s="833">
        <f>SUM(F26:F27)</f>
        <v>5600000</v>
      </c>
      <c r="G25" s="833">
        <v>7210000</v>
      </c>
      <c r="H25" s="765">
        <f>2403333+4806667</f>
        <v>7210000</v>
      </c>
    </row>
    <row r="26" spans="1:8" s="756" customFormat="1" ht="12.75" hidden="1" customHeight="1" x14ac:dyDescent="0.2">
      <c r="A26" s="1792"/>
      <c r="B26" s="1817"/>
      <c r="C26" s="855"/>
      <c r="D26" s="857" t="s">
        <v>565</v>
      </c>
      <c r="E26" s="858">
        <v>3600000</v>
      </c>
      <c r="F26" s="859">
        <v>3733333</v>
      </c>
      <c r="G26" s="859">
        <v>3733333</v>
      </c>
    </row>
    <row r="27" spans="1:8" s="755" customFormat="1" ht="12.75" hidden="1" customHeight="1" x14ac:dyDescent="0.2">
      <c r="A27" s="1792"/>
      <c r="B27" s="1817"/>
      <c r="C27" s="855"/>
      <c r="D27" s="857" t="s">
        <v>922</v>
      </c>
      <c r="E27" s="858">
        <v>1800000</v>
      </c>
      <c r="F27" s="859">
        <v>1866667</v>
      </c>
      <c r="G27" s="859">
        <v>1866667</v>
      </c>
    </row>
    <row r="28" spans="1:8" s="854" customFormat="1" x14ac:dyDescent="0.2">
      <c r="A28" s="1792"/>
      <c r="B28" s="860">
        <v>5</v>
      </c>
      <c r="C28" s="855" t="s">
        <v>947</v>
      </c>
      <c r="D28" s="856" t="s">
        <v>952</v>
      </c>
      <c r="E28" s="760"/>
      <c r="F28" s="833"/>
      <c r="G28" s="833">
        <v>352000</v>
      </c>
      <c r="H28" s="854">
        <v>352000</v>
      </c>
    </row>
    <row r="29" spans="1:8" x14ac:dyDescent="0.2">
      <c r="A29" s="1792"/>
      <c r="B29" s="1797">
        <v>3</v>
      </c>
      <c r="C29" s="1802" t="s">
        <v>911</v>
      </c>
      <c r="D29" s="1802"/>
      <c r="E29" s="760">
        <f>E30+E31</f>
        <v>8160000</v>
      </c>
      <c r="F29" s="550"/>
      <c r="G29" s="550"/>
    </row>
    <row r="30" spans="1:8" ht="25.5" hidden="1" x14ac:dyDescent="0.2">
      <c r="A30" s="1792"/>
      <c r="B30" s="1798"/>
      <c r="C30" s="843" t="s">
        <v>551</v>
      </c>
      <c r="D30" s="544" t="s">
        <v>566</v>
      </c>
      <c r="E30" s="545">
        <v>0</v>
      </c>
      <c r="F30" s="550">
        <v>0</v>
      </c>
      <c r="G30" s="550">
        <v>0</v>
      </c>
    </row>
    <row r="31" spans="1:8" x14ac:dyDescent="0.2">
      <c r="A31" s="1792"/>
      <c r="B31" s="1799"/>
      <c r="C31" s="843" t="s">
        <v>555</v>
      </c>
      <c r="D31" s="544" t="s">
        <v>567</v>
      </c>
      <c r="E31" s="545">
        <v>8160000</v>
      </c>
      <c r="F31" s="550"/>
      <c r="G31" s="550"/>
    </row>
    <row r="32" spans="1:8" s="752" customFormat="1" ht="13.5" thickBot="1" x14ac:dyDescent="0.25">
      <c r="A32" s="1792"/>
      <c r="B32" s="1800">
        <v>4</v>
      </c>
      <c r="C32" s="1818" t="s">
        <v>925</v>
      </c>
      <c r="D32" s="1818"/>
      <c r="E32" s="759">
        <f>E33+E34</f>
        <v>0</v>
      </c>
      <c r="F32" s="551">
        <f>F33+F34</f>
        <v>0</v>
      </c>
      <c r="G32" s="551">
        <f>G33+G34</f>
        <v>0</v>
      </c>
    </row>
    <row r="33" spans="1:12" s="755" customFormat="1" ht="38.25" hidden="1" customHeight="1" x14ac:dyDescent="0.2">
      <c r="A33" s="1792"/>
      <c r="B33" s="1800"/>
      <c r="C33" s="846"/>
      <c r="D33" s="753" t="s">
        <v>564</v>
      </c>
      <c r="E33" s="754">
        <v>0</v>
      </c>
      <c r="F33" s="830">
        <v>0</v>
      </c>
      <c r="G33" s="830">
        <v>0</v>
      </c>
    </row>
    <row r="34" spans="1:12" s="755" customFormat="1" ht="39" hidden="1" customHeight="1" thickBot="1" x14ac:dyDescent="0.25">
      <c r="A34" s="1792"/>
      <c r="B34" s="1801"/>
      <c r="C34" s="847"/>
      <c r="D34" s="758" t="s">
        <v>565</v>
      </c>
      <c r="E34" s="757">
        <v>0</v>
      </c>
      <c r="F34" s="831">
        <v>0</v>
      </c>
      <c r="G34" s="831">
        <v>0</v>
      </c>
    </row>
    <row r="35" spans="1:12" ht="28.5" customHeight="1" thickBot="1" x14ac:dyDescent="0.25">
      <c r="A35" s="1793"/>
      <c r="B35" s="1813" t="s">
        <v>568</v>
      </c>
      <c r="C35" s="1789"/>
      <c r="D35" s="1790"/>
      <c r="E35" s="446">
        <f>E17+E25+E29+E32</f>
        <v>47208000</v>
      </c>
      <c r="F35" s="449">
        <f>F17+F25+F29+F32</f>
        <v>54617600</v>
      </c>
      <c r="G35" s="449">
        <f>G17+G25+G29+G32+G28</f>
        <v>59519800</v>
      </c>
      <c r="J35" s="44" t="s">
        <v>1064</v>
      </c>
      <c r="K35" s="44" t="s">
        <v>1065</v>
      </c>
      <c r="L35" s="44" t="s">
        <v>1066</v>
      </c>
    </row>
    <row r="36" spans="1:12" s="761" customFormat="1" x14ac:dyDescent="0.2">
      <c r="A36" s="1784" t="s">
        <v>569</v>
      </c>
      <c r="B36" s="762">
        <v>2</v>
      </c>
      <c r="C36" s="1782" t="s">
        <v>433</v>
      </c>
      <c r="D36" s="1783"/>
      <c r="E36" s="763">
        <v>5246099</v>
      </c>
      <c r="F36" s="832">
        <v>4674526</v>
      </c>
      <c r="G36" s="832">
        <v>12494470</v>
      </c>
      <c r="H36" s="761">
        <f>12494470+J36+K36+L36</f>
        <v>14562021</v>
      </c>
      <c r="J36" s="761">
        <v>575776</v>
      </c>
      <c r="K36" s="761">
        <v>657900</v>
      </c>
      <c r="L36" s="761">
        <v>833875</v>
      </c>
    </row>
    <row r="37" spans="1:12" s="761" customFormat="1" x14ac:dyDescent="0.2">
      <c r="A37" s="1785"/>
      <c r="B37" s="1794">
        <v>3</v>
      </c>
      <c r="C37" s="1795" t="s">
        <v>570</v>
      </c>
      <c r="D37" s="1796"/>
      <c r="E37" s="760">
        <v>1214196</v>
      </c>
      <c r="F37" s="833">
        <f>SUM(F38:F49)</f>
        <v>2550910</v>
      </c>
      <c r="G37" s="833">
        <f>SUM(G38:G49)</f>
        <v>2573030</v>
      </c>
      <c r="H37" s="761">
        <v>2573030</v>
      </c>
    </row>
    <row r="38" spans="1:12" x14ac:dyDescent="0.2">
      <c r="A38" s="1785"/>
      <c r="B38" s="1794"/>
      <c r="C38" s="843" t="s">
        <v>551</v>
      </c>
      <c r="D38" s="544" t="s">
        <v>571</v>
      </c>
      <c r="E38" s="545">
        <v>0</v>
      </c>
      <c r="F38" s="550">
        <v>1275455</v>
      </c>
      <c r="G38" s="550">
        <v>1286515</v>
      </c>
    </row>
    <row r="39" spans="1:12" x14ac:dyDescent="0.2">
      <c r="A39" s="1785"/>
      <c r="B39" s="1794"/>
      <c r="C39" s="843" t="s">
        <v>555</v>
      </c>
      <c r="D39" s="544" t="s">
        <v>572</v>
      </c>
      <c r="E39" s="545">
        <v>0</v>
      </c>
      <c r="F39" s="550">
        <v>1275455</v>
      </c>
      <c r="G39" s="550">
        <v>1286515</v>
      </c>
    </row>
    <row r="40" spans="1:12" x14ac:dyDescent="0.2">
      <c r="A40" s="1785"/>
      <c r="B40" s="1794"/>
      <c r="C40" s="843" t="s">
        <v>557</v>
      </c>
      <c r="D40" s="544" t="s">
        <v>573</v>
      </c>
      <c r="E40" s="545">
        <v>0</v>
      </c>
      <c r="F40" s="550">
        <v>0</v>
      </c>
      <c r="G40" s="550">
        <v>0</v>
      </c>
    </row>
    <row r="41" spans="1:12" x14ac:dyDescent="0.2">
      <c r="A41" s="1785"/>
      <c r="B41" s="1794"/>
      <c r="C41" s="843" t="s">
        <v>560</v>
      </c>
      <c r="D41" s="544" t="s">
        <v>574</v>
      </c>
      <c r="E41" s="545">
        <v>0</v>
      </c>
      <c r="F41" s="550">
        <v>0</v>
      </c>
      <c r="G41" s="550">
        <v>0</v>
      </c>
    </row>
    <row r="42" spans="1:12" x14ac:dyDescent="0.2">
      <c r="A42" s="1785"/>
      <c r="B42" s="1794"/>
      <c r="C42" s="843" t="s">
        <v>575</v>
      </c>
      <c r="D42" s="544" t="s">
        <v>576</v>
      </c>
      <c r="E42" s="550">
        <v>0</v>
      </c>
      <c r="F42" s="550">
        <v>0</v>
      </c>
      <c r="G42" s="550">
        <v>0</v>
      </c>
    </row>
    <row r="43" spans="1:12" x14ac:dyDescent="0.2">
      <c r="A43" s="1785"/>
      <c r="B43" s="1794"/>
      <c r="C43" s="843" t="s">
        <v>577</v>
      </c>
      <c r="D43" s="544" t="s">
        <v>578</v>
      </c>
      <c r="E43" s="550">
        <v>0</v>
      </c>
      <c r="F43" s="550">
        <v>0</v>
      </c>
      <c r="G43" s="550">
        <v>0</v>
      </c>
    </row>
    <row r="44" spans="1:12" x14ac:dyDescent="0.2">
      <c r="A44" s="1785"/>
      <c r="B44" s="1794"/>
      <c r="C44" s="843" t="s">
        <v>579</v>
      </c>
      <c r="D44" s="544" t="s">
        <v>580</v>
      </c>
      <c r="E44" s="550">
        <v>0</v>
      </c>
      <c r="F44" s="550">
        <v>0</v>
      </c>
      <c r="G44" s="550">
        <v>0</v>
      </c>
    </row>
    <row r="45" spans="1:12" x14ac:dyDescent="0.2">
      <c r="A45" s="1785"/>
      <c r="B45" s="1794"/>
      <c r="C45" s="843" t="s">
        <v>581</v>
      </c>
      <c r="D45" s="544" t="s">
        <v>582</v>
      </c>
      <c r="E45" s="550">
        <v>0</v>
      </c>
      <c r="F45" s="550">
        <v>0</v>
      </c>
      <c r="G45" s="550">
        <v>0</v>
      </c>
    </row>
    <row r="46" spans="1:12" x14ac:dyDescent="0.2">
      <c r="A46" s="1785"/>
      <c r="B46" s="1794"/>
      <c r="C46" s="843" t="s">
        <v>583</v>
      </c>
      <c r="D46" s="544" t="s">
        <v>584</v>
      </c>
      <c r="E46" s="550">
        <v>0</v>
      </c>
      <c r="F46" s="550">
        <v>0</v>
      </c>
      <c r="G46" s="550">
        <v>0</v>
      </c>
    </row>
    <row r="47" spans="1:12" x14ac:dyDescent="0.2">
      <c r="A47" s="1785"/>
      <c r="B47" s="1794"/>
      <c r="C47" s="843" t="s">
        <v>585</v>
      </c>
      <c r="D47" s="544" t="s">
        <v>586</v>
      </c>
      <c r="E47" s="550">
        <v>0</v>
      </c>
      <c r="F47" s="550">
        <v>0</v>
      </c>
      <c r="G47" s="550">
        <v>0</v>
      </c>
    </row>
    <row r="48" spans="1:12" x14ac:dyDescent="0.2">
      <c r="A48" s="1785"/>
      <c r="B48" s="1794"/>
      <c r="C48" s="843" t="s">
        <v>587</v>
      </c>
      <c r="D48" s="544" t="s">
        <v>588</v>
      </c>
      <c r="E48" s="550">
        <v>0</v>
      </c>
      <c r="F48" s="550">
        <v>0</v>
      </c>
      <c r="G48" s="550">
        <v>0</v>
      </c>
    </row>
    <row r="49" spans="1:8" x14ac:dyDescent="0.2">
      <c r="A49" s="1785"/>
      <c r="B49" s="1794"/>
      <c r="C49" s="843" t="s">
        <v>589</v>
      </c>
      <c r="D49" s="544" t="s">
        <v>590</v>
      </c>
      <c r="E49" s="550">
        <v>0</v>
      </c>
      <c r="F49" s="550">
        <v>0</v>
      </c>
      <c r="G49" s="550">
        <v>0</v>
      </c>
    </row>
    <row r="50" spans="1:8" x14ac:dyDescent="0.2">
      <c r="A50" s="1785"/>
      <c r="B50" s="1787">
        <v>5</v>
      </c>
      <c r="C50" s="1771" t="s">
        <v>923</v>
      </c>
      <c r="D50" s="1773"/>
      <c r="E50" s="436">
        <f>E51+E52</f>
        <v>0</v>
      </c>
      <c r="F50" s="436">
        <f>F51+F52</f>
        <v>11030574</v>
      </c>
      <c r="G50" s="436">
        <f>G51+G52</f>
        <v>11485081</v>
      </c>
    </row>
    <row r="51" spans="1:8" x14ac:dyDescent="0.2">
      <c r="A51" s="1785"/>
      <c r="B51" s="1787"/>
      <c r="C51" s="848" t="s">
        <v>551</v>
      </c>
      <c r="D51" s="543" t="s">
        <v>924</v>
      </c>
      <c r="E51" s="435">
        <v>0</v>
      </c>
      <c r="F51" s="435">
        <v>4944960</v>
      </c>
      <c r="G51" s="435">
        <v>7507200</v>
      </c>
      <c r="H51" s="943">
        <v>7507200</v>
      </c>
    </row>
    <row r="52" spans="1:8" ht="13.5" thickBot="1" x14ac:dyDescent="0.25">
      <c r="A52" s="1785"/>
      <c r="B52" s="1787"/>
      <c r="C52" s="849" t="s">
        <v>555</v>
      </c>
      <c r="D52" s="447" t="s">
        <v>591</v>
      </c>
      <c r="E52" s="448">
        <v>0</v>
      </c>
      <c r="F52" s="448">
        <v>6085614</v>
      </c>
      <c r="G52" s="448">
        <v>3977881</v>
      </c>
      <c r="H52" s="943">
        <v>3977881</v>
      </c>
    </row>
    <row r="53" spans="1:8" ht="37.9" customHeight="1" thickBot="1" x14ac:dyDescent="0.25">
      <c r="A53" s="1786"/>
      <c r="B53" s="1788" t="s">
        <v>954</v>
      </c>
      <c r="C53" s="1789"/>
      <c r="D53" s="1790"/>
      <c r="E53" s="449">
        <f>E36+E37+E50</f>
        <v>6460295</v>
      </c>
      <c r="F53" s="449">
        <f>F36+F37+F50</f>
        <v>18256010</v>
      </c>
      <c r="G53" s="449">
        <f>G36+G37+G50</f>
        <v>26552581</v>
      </c>
    </row>
    <row r="54" spans="1:8" x14ac:dyDescent="0.2">
      <c r="A54" s="1784" t="s">
        <v>592</v>
      </c>
      <c r="B54" s="1807">
        <v>1</v>
      </c>
      <c r="C54" s="1809" t="s">
        <v>594</v>
      </c>
      <c r="D54" s="1810"/>
      <c r="E54" s="861">
        <f>SUM(E55:E62)</f>
        <v>3650280</v>
      </c>
      <c r="F54" s="861">
        <f>SUM(F55:F62)</f>
        <v>3681060</v>
      </c>
      <c r="G54" s="861">
        <f>SUM(G55:G62)</f>
        <v>3712980</v>
      </c>
    </row>
    <row r="55" spans="1:8" ht="191.25" hidden="1" customHeight="1" x14ac:dyDescent="0.2">
      <c r="A55" s="1785"/>
      <c r="B55" s="1808"/>
      <c r="C55" s="850" t="s">
        <v>551</v>
      </c>
      <c r="D55" s="543" t="s">
        <v>595</v>
      </c>
      <c r="E55" s="551">
        <v>0</v>
      </c>
      <c r="F55" s="551">
        <v>0</v>
      </c>
      <c r="G55" s="551">
        <v>0</v>
      </c>
    </row>
    <row r="56" spans="1:8" ht="140.25" hidden="1" customHeight="1" x14ac:dyDescent="0.2">
      <c r="A56" s="1785"/>
      <c r="B56" s="1808"/>
      <c r="C56" s="850" t="s">
        <v>555</v>
      </c>
      <c r="D56" s="543" t="s">
        <v>596</v>
      </c>
      <c r="E56" s="551">
        <v>0</v>
      </c>
      <c r="F56" s="551">
        <v>0</v>
      </c>
      <c r="G56" s="551">
        <v>0</v>
      </c>
    </row>
    <row r="57" spans="1:8" ht="178.5" hidden="1" customHeight="1" x14ac:dyDescent="0.2">
      <c r="A57" s="1785"/>
      <c r="B57" s="1808"/>
      <c r="C57" s="850" t="s">
        <v>557</v>
      </c>
      <c r="D57" s="543" t="s">
        <v>597</v>
      </c>
      <c r="E57" s="551">
        <v>0</v>
      </c>
      <c r="F57" s="551">
        <v>0</v>
      </c>
      <c r="G57" s="551">
        <v>0</v>
      </c>
    </row>
    <row r="58" spans="1:8" ht="26.25" thickBot="1" x14ac:dyDescent="0.25">
      <c r="A58" s="1785"/>
      <c r="B58" s="1808"/>
      <c r="C58" s="850" t="s">
        <v>560</v>
      </c>
      <c r="D58" s="543" t="s">
        <v>598</v>
      </c>
      <c r="E58" s="551">
        <v>3650280</v>
      </c>
      <c r="F58" s="551">
        <v>3681060</v>
      </c>
      <c r="G58" s="551">
        <v>3712980</v>
      </c>
    </row>
    <row r="59" spans="1:8" ht="140.25" hidden="1" customHeight="1" x14ac:dyDescent="0.2">
      <c r="A59" s="1785"/>
      <c r="B59" s="1808"/>
      <c r="C59" s="850" t="s">
        <v>575</v>
      </c>
      <c r="D59" s="543" t="s">
        <v>599</v>
      </c>
      <c r="E59" s="551">
        <v>0</v>
      </c>
      <c r="F59" s="551">
        <v>0</v>
      </c>
      <c r="G59" s="551">
        <v>0</v>
      </c>
    </row>
    <row r="60" spans="1:8" ht="153" hidden="1" customHeight="1" x14ac:dyDescent="0.2">
      <c r="A60" s="1785"/>
      <c r="B60" s="1808"/>
      <c r="C60" s="850" t="s">
        <v>577</v>
      </c>
      <c r="D60" s="543" t="s">
        <v>600</v>
      </c>
      <c r="E60" s="551">
        <v>0</v>
      </c>
      <c r="F60" s="551">
        <v>0</v>
      </c>
      <c r="G60" s="551">
        <v>0</v>
      </c>
    </row>
    <row r="61" spans="1:8" ht="76.5" hidden="1" customHeight="1" x14ac:dyDescent="0.2">
      <c r="A61" s="1785"/>
      <c r="B61" s="1808"/>
      <c r="C61" s="850" t="s">
        <v>579</v>
      </c>
      <c r="D61" s="543" t="s">
        <v>601</v>
      </c>
      <c r="E61" s="551">
        <v>0</v>
      </c>
      <c r="F61" s="551">
        <v>0</v>
      </c>
      <c r="G61" s="551">
        <v>0</v>
      </c>
    </row>
    <row r="62" spans="1:8" ht="216.75" hidden="1" customHeight="1" x14ac:dyDescent="0.2">
      <c r="A62" s="1785"/>
      <c r="B62" s="1808"/>
      <c r="C62" s="850" t="s">
        <v>581</v>
      </c>
      <c r="D62" s="543" t="s">
        <v>602</v>
      </c>
      <c r="E62" s="551">
        <v>0</v>
      </c>
      <c r="F62" s="551">
        <v>0</v>
      </c>
      <c r="G62" s="551">
        <v>0</v>
      </c>
    </row>
    <row r="63" spans="1:8" ht="13.5" hidden="1" thickBot="1" x14ac:dyDescent="0.25">
      <c r="A63" s="1785"/>
      <c r="B63" s="1811">
        <v>2</v>
      </c>
      <c r="C63" s="1778" t="s">
        <v>603</v>
      </c>
      <c r="D63" s="1773"/>
      <c r="E63" s="436">
        <f>E64+E71+E76</f>
        <v>0</v>
      </c>
      <c r="F63" s="436">
        <f>F64+F71+F76</f>
        <v>0</v>
      </c>
      <c r="G63" s="436">
        <f>G64+G71+G76</f>
        <v>0</v>
      </c>
    </row>
    <row r="64" spans="1:8" ht="409.5" hidden="1" customHeight="1" x14ac:dyDescent="0.2">
      <c r="A64" s="1785"/>
      <c r="B64" s="1811"/>
      <c r="C64" s="848" t="s">
        <v>551</v>
      </c>
      <c r="D64" s="427" t="s">
        <v>604</v>
      </c>
      <c r="E64" s="435">
        <f>E65+E68</f>
        <v>0</v>
      </c>
      <c r="F64" s="435">
        <f>F65+F68</f>
        <v>0</v>
      </c>
      <c r="G64" s="435">
        <f>G65+G68</f>
        <v>0</v>
      </c>
    </row>
    <row r="65" spans="1:7" ht="216.75" hidden="1" customHeight="1" x14ac:dyDescent="0.2">
      <c r="A65" s="1785"/>
      <c r="B65" s="1811"/>
      <c r="C65" s="848"/>
      <c r="D65" s="428" t="s">
        <v>605</v>
      </c>
      <c r="E65" s="437">
        <f>E66+E67</f>
        <v>0</v>
      </c>
      <c r="F65" s="437">
        <f>F66+F67</f>
        <v>0</v>
      </c>
      <c r="G65" s="437">
        <f>G66+G67</f>
        <v>0</v>
      </c>
    </row>
    <row r="66" spans="1:7" ht="409.5" hidden="1" customHeight="1" x14ac:dyDescent="0.2">
      <c r="A66" s="1785"/>
      <c r="B66" s="1811"/>
      <c r="C66" s="848"/>
      <c r="D66" s="429" t="s">
        <v>606</v>
      </c>
      <c r="E66" s="437">
        <v>0</v>
      </c>
      <c r="F66" s="437">
        <v>0</v>
      </c>
      <c r="G66" s="437">
        <v>0</v>
      </c>
    </row>
    <row r="67" spans="1:7" ht="409.5" hidden="1" customHeight="1" x14ac:dyDescent="0.2">
      <c r="A67" s="1785"/>
      <c r="B67" s="1811"/>
      <c r="C67" s="848"/>
      <c r="D67" s="429" t="s">
        <v>607</v>
      </c>
      <c r="E67" s="437">
        <v>0</v>
      </c>
      <c r="F67" s="437">
        <v>0</v>
      </c>
      <c r="G67" s="437">
        <v>0</v>
      </c>
    </row>
    <row r="68" spans="1:7" ht="76.5" hidden="1" customHeight="1" x14ac:dyDescent="0.2">
      <c r="A68" s="1785"/>
      <c r="B68" s="1811"/>
      <c r="C68" s="848"/>
      <c r="D68" s="428" t="s">
        <v>608</v>
      </c>
      <c r="E68" s="437">
        <f>E69+E70</f>
        <v>0</v>
      </c>
      <c r="F68" s="437">
        <f>F69+F70</f>
        <v>0</v>
      </c>
      <c r="G68" s="437">
        <f>G69+G70</f>
        <v>0</v>
      </c>
    </row>
    <row r="69" spans="1:7" ht="216.75" hidden="1" customHeight="1" x14ac:dyDescent="0.2">
      <c r="A69" s="1785"/>
      <c r="B69" s="1811"/>
      <c r="C69" s="848"/>
      <c r="D69" s="429" t="s">
        <v>609</v>
      </c>
      <c r="E69" s="437">
        <v>0</v>
      </c>
      <c r="F69" s="437">
        <v>0</v>
      </c>
      <c r="G69" s="437">
        <v>0</v>
      </c>
    </row>
    <row r="70" spans="1:7" ht="318.75" hidden="1" customHeight="1" x14ac:dyDescent="0.2">
      <c r="A70" s="1785"/>
      <c r="B70" s="1811"/>
      <c r="C70" s="848"/>
      <c r="D70" s="429" t="s">
        <v>610</v>
      </c>
      <c r="E70" s="437">
        <v>0</v>
      </c>
      <c r="F70" s="437">
        <v>0</v>
      </c>
      <c r="G70" s="437">
        <v>0</v>
      </c>
    </row>
    <row r="71" spans="1:7" ht="216.75" hidden="1" customHeight="1" x14ac:dyDescent="0.2">
      <c r="A71" s="1785"/>
      <c r="B71" s="1811"/>
      <c r="C71" s="848" t="s">
        <v>555</v>
      </c>
      <c r="D71" s="427" t="s">
        <v>611</v>
      </c>
      <c r="E71" s="435">
        <f>SUM(E72:E75)</f>
        <v>0</v>
      </c>
      <c r="F71" s="435">
        <f>SUM(F72:F75)</f>
        <v>0</v>
      </c>
      <c r="G71" s="435">
        <f>SUM(G72:G75)</f>
        <v>0</v>
      </c>
    </row>
    <row r="72" spans="1:7" ht="318.75" hidden="1" customHeight="1" x14ac:dyDescent="0.2">
      <c r="A72" s="1785"/>
      <c r="B72" s="1811"/>
      <c r="C72" s="848"/>
      <c r="D72" s="428" t="s">
        <v>612</v>
      </c>
      <c r="E72" s="437">
        <v>0</v>
      </c>
      <c r="F72" s="437">
        <v>0</v>
      </c>
      <c r="G72" s="437">
        <v>0</v>
      </c>
    </row>
    <row r="73" spans="1:7" ht="76.5" hidden="1" customHeight="1" x14ac:dyDescent="0.2">
      <c r="A73" s="1785"/>
      <c r="B73" s="1811"/>
      <c r="C73" s="848"/>
      <c r="D73" s="428" t="s">
        <v>613</v>
      </c>
      <c r="E73" s="437">
        <v>0</v>
      </c>
      <c r="F73" s="437">
        <v>0</v>
      </c>
      <c r="G73" s="437">
        <v>0</v>
      </c>
    </row>
    <row r="74" spans="1:7" ht="76.5" hidden="1" customHeight="1" x14ac:dyDescent="0.2">
      <c r="A74" s="1785"/>
      <c r="B74" s="1811"/>
      <c r="C74" s="848"/>
      <c r="D74" s="428" t="s">
        <v>614</v>
      </c>
      <c r="E74" s="437">
        <v>0</v>
      </c>
      <c r="F74" s="437">
        <v>0</v>
      </c>
      <c r="G74" s="437">
        <v>0</v>
      </c>
    </row>
    <row r="75" spans="1:7" ht="369.75" hidden="1" customHeight="1" x14ac:dyDescent="0.2">
      <c r="A75" s="1785"/>
      <c r="B75" s="1811"/>
      <c r="C75" s="848"/>
      <c r="D75" s="428" t="s">
        <v>615</v>
      </c>
      <c r="E75" s="437">
        <v>0</v>
      </c>
      <c r="F75" s="437">
        <v>0</v>
      </c>
      <c r="G75" s="437">
        <v>0</v>
      </c>
    </row>
    <row r="76" spans="1:7" ht="369.75" hidden="1" customHeight="1" x14ac:dyDescent="0.2">
      <c r="A76" s="1785"/>
      <c r="B76" s="1811"/>
      <c r="C76" s="848" t="s">
        <v>557</v>
      </c>
      <c r="D76" s="427" t="s">
        <v>616</v>
      </c>
      <c r="E76" s="435">
        <f>E77+E80</f>
        <v>0</v>
      </c>
      <c r="F76" s="435">
        <f>F77+F80</f>
        <v>0</v>
      </c>
      <c r="G76" s="435">
        <f>G77+G80</f>
        <v>0</v>
      </c>
    </row>
    <row r="77" spans="1:7" ht="76.5" hidden="1" customHeight="1" x14ac:dyDescent="0.2">
      <c r="A77" s="1785"/>
      <c r="B77" s="1811"/>
      <c r="C77" s="848"/>
      <c r="D77" s="428" t="s">
        <v>617</v>
      </c>
      <c r="E77" s="437">
        <f>E78+E79</f>
        <v>0</v>
      </c>
      <c r="F77" s="437">
        <f>F78+F79</f>
        <v>0</v>
      </c>
      <c r="G77" s="437">
        <f>G78+G79</f>
        <v>0</v>
      </c>
    </row>
    <row r="78" spans="1:7" ht="382.5" hidden="1" customHeight="1" x14ac:dyDescent="0.2">
      <c r="A78" s="1785"/>
      <c r="B78" s="1811"/>
      <c r="C78" s="848"/>
      <c r="D78" s="429" t="s">
        <v>618</v>
      </c>
      <c r="E78" s="437">
        <v>0</v>
      </c>
      <c r="F78" s="437">
        <v>0</v>
      </c>
      <c r="G78" s="437">
        <v>0</v>
      </c>
    </row>
    <row r="79" spans="1:7" ht="382.5" hidden="1" customHeight="1" x14ac:dyDescent="0.2">
      <c r="A79" s="1785"/>
      <c r="B79" s="1811"/>
      <c r="C79" s="848"/>
      <c r="D79" s="429" t="s">
        <v>619</v>
      </c>
      <c r="E79" s="437">
        <v>0</v>
      </c>
      <c r="F79" s="437">
        <v>0</v>
      </c>
      <c r="G79" s="437">
        <v>0</v>
      </c>
    </row>
    <row r="80" spans="1:7" ht="230.25" hidden="1" customHeight="1" thickBot="1" x14ac:dyDescent="0.25">
      <c r="A80" s="1785"/>
      <c r="B80" s="1811"/>
      <c r="C80" s="848"/>
      <c r="D80" s="428" t="s">
        <v>620</v>
      </c>
      <c r="E80" s="437">
        <f>E81+E82</f>
        <v>0</v>
      </c>
      <c r="F80" s="437">
        <f>F81+F82</f>
        <v>0</v>
      </c>
      <c r="G80" s="437">
        <f>G81+G82</f>
        <v>0</v>
      </c>
    </row>
    <row r="81" spans="1:7" ht="178.5" hidden="1" customHeight="1" x14ac:dyDescent="0.2">
      <c r="A81" s="1785"/>
      <c r="B81" s="1811"/>
      <c r="C81" s="848"/>
      <c r="D81" s="429" t="s">
        <v>621</v>
      </c>
      <c r="E81" s="437">
        <v>0</v>
      </c>
      <c r="F81" s="437">
        <v>0</v>
      </c>
      <c r="G81" s="437">
        <v>0</v>
      </c>
    </row>
    <row r="82" spans="1:7" ht="14.25" hidden="1" customHeight="1" thickBot="1" x14ac:dyDescent="0.25">
      <c r="A82" s="1785"/>
      <c r="B82" s="1812"/>
      <c r="C82" s="849"/>
      <c r="D82" s="450" t="s">
        <v>622</v>
      </c>
      <c r="E82" s="451">
        <v>0</v>
      </c>
      <c r="F82" s="451">
        <v>0</v>
      </c>
      <c r="G82" s="451">
        <v>0</v>
      </c>
    </row>
    <row r="83" spans="1:7" ht="13.5" thickBot="1" x14ac:dyDescent="0.25">
      <c r="A83" s="1786"/>
      <c r="B83" s="1813" t="s">
        <v>623</v>
      </c>
      <c r="C83" s="1789"/>
      <c r="D83" s="1790"/>
      <c r="E83" s="449">
        <f>E54+E63</f>
        <v>3650280</v>
      </c>
      <c r="F83" s="449">
        <f>F54+F63</f>
        <v>3681060</v>
      </c>
      <c r="G83" s="449">
        <f>G54+G63</f>
        <v>3712980</v>
      </c>
    </row>
    <row r="84" spans="1:7" ht="13.5" thickBot="1" x14ac:dyDescent="0.25">
      <c r="A84" s="430"/>
      <c r="B84" s="431"/>
      <c r="C84" s="851"/>
      <c r="D84" s="431"/>
      <c r="E84" s="432"/>
      <c r="F84" s="432"/>
      <c r="G84" s="432"/>
    </row>
    <row r="85" spans="1:7" ht="13.5" customHeight="1" thickBot="1" x14ac:dyDescent="0.25">
      <c r="A85" s="1804" t="s">
        <v>626</v>
      </c>
      <c r="B85" s="1805"/>
      <c r="C85" s="1805"/>
      <c r="D85" s="1806"/>
      <c r="E85" s="452">
        <f>E83+E53+E35+E16</f>
        <v>108354459</v>
      </c>
      <c r="F85" s="452">
        <f>F83+F53+F35+F16</f>
        <v>141841913</v>
      </c>
      <c r="G85" s="452">
        <f>G83+G53+G35+G16</f>
        <v>166939448</v>
      </c>
    </row>
    <row r="86" spans="1:7" x14ac:dyDescent="0.2">
      <c r="A86" s="430"/>
      <c r="B86" s="431"/>
      <c r="C86" s="851"/>
      <c r="D86" s="431"/>
      <c r="F86" s="765"/>
      <c r="G86" s="765"/>
    </row>
    <row r="87" spans="1:7" ht="46.5" customHeight="1" x14ac:dyDescent="0.2">
      <c r="A87" s="1777" t="s">
        <v>953</v>
      </c>
      <c r="B87" s="1777"/>
      <c r="C87" s="1777"/>
      <c r="D87" s="1777"/>
      <c r="E87" s="1777"/>
      <c r="F87" s="1777"/>
      <c r="G87" s="1777"/>
    </row>
    <row r="88" spans="1:7" ht="14.25" customHeight="1" thickBot="1" x14ac:dyDescent="0.25">
      <c r="A88" s="430"/>
      <c r="B88" s="430"/>
      <c r="C88" s="852"/>
      <c r="D88" s="441"/>
    </row>
    <row r="89" spans="1:7" ht="26.25" thickBot="1" x14ac:dyDescent="0.25">
      <c r="A89" s="1814" t="s">
        <v>12</v>
      </c>
      <c r="B89" s="1815"/>
      <c r="C89" s="1815"/>
      <c r="D89" s="1816"/>
      <c r="E89" s="439" t="s">
        <v>935</v>
      </c>
      <c r="F89" s="439" t="s">
        <v>914</v>
      </c>
      <c r="G89" s="439" t="s">
        <v>914</v>
      </c>
    </row>
    <row r="90" spans="1:7" x14ac:dyDescent="0.2">
      <c r="A90" s="442">
        <v>15</v>
      </c>
      <c r="B90" s="1779" t="s">
        <v>624</v>
      </c>
      <c r="C90" s="1780"/>
      <c r="D90" s="1781"/>
      <c r="E90" s="440">
        <v>0</v>
      </c>
      <c r="F90" s="440">
        <v>0</v>
      </c>
      <c r="G90" s="440">
        <v>0</v>
      </c>
    </row>
    <row r="91" spans="1:7" x14ac:dyDescent="0.2">
      <c r="A91" s="768">
        <v>16</v>
      </c>
      <c r="B91" s="1778" t="s">
        <v>934</v>
      </c>
      <c r="C91" s="1772"/>
      <c r="D91" s="1773"/>
      <c r="E91" s="769"/>
      <c r="F91" s="769">
        <v>1800000</v>
      </c>
      <c r="G91" s="769"/>
    </row>
    <row r="92" spans="1:7" x14ac:dyDescent="0.2">
      <c r="A92" s="940">
        <v>17</v>
      </c>
      <c r="B92" s="1778" t="s">
        <v>625</v>
      </c>
      <c r="C92" s="1772"/>
      <c r="D92" s="1773"/>
      <c r="E92" s="436">
        <v>7765</v>
      </c>
      <c r="F92" s="833">
        <v>7711</v>
      </c>
      <c r="G92" s="833"/>
    </row>
    <row r="93" spans="1:7" x14ac:dyDescent="0.2">
      <c r="A93" s="940"/>
      <c r="B93" s="1771" t="s">
        <v>1061</v>
      </c>
      <c r="C93" s="1772"/>
      <c r="D93" s="1773"/>
      <c r="E93" s="436"/>
      <c r="F93" s="833">
        <v>128524</v>
      </c>
      <c r="G93" s="833"/>
    </row>
    <row r="94" spans="1:7" ht="13.5" thickBot="1" x14ac:dyDescent="0.25">
      <c r="A94" s="443"/>
      <c r="B94" s="1774" t="s">
        <v>1062</v>
      </c>
      <c r="C94" s="1775"/>
      <c r="D94" s="1776"/>
      <c r="E94" s="438"/>
      <c r="F94" s="834">
        <v>7000</v>
      </c>
      <c r="G94" s="834"/>
    </row>
  </sheetData>
  <mergeCells count="38">
    <mergeCell ref="A2:G2"/>
    <mergeCell ref="A4:D4"/>
    <mergeCell ref="A5:A16"/>
    <mergeCell ref="B5:B13"/>
    <mergeCell ref="C5:D5"/>
    <mergeCell ref="C15:D15"/>
    <mergeCell ref="B16:D16"/>
    <mergeCell ref="C29:D29"/>
    <mergeCell ref="C17:D17"/>
    <mergeCell ref="B92:D92"/>
    <mergeCell ref="A85:D85"/>
    <mergeCell ref="A54:A83"/>
    <mergeCell ref="B54:B62"/>
    <mergeCell ref="C54:D54"/>
    <mergeCell ref="B63:B82"/>
    <mergeCell ref="C63:D63"/>
    <mergeCell ref="B83:D83"/>
    <mergeCell ref="A89:D89"/>
    <mergeCell ref="B25:B27"/>
    <mergeCell ref="C32:D32"/>
    <mergeCell ref="B35:D35"/>
    <mergeCell ref="B17:B24"/>
    <mergeCell ref="B93:D93"/>
    <mergeCell ref="B94:D94"/>
    <mergeCell ref="A1:G1"/>
    <mergeCell ref="A87:G87"/>
    <mergeCell ref="B91:D91"/>
    <mergeCell ref="B90:D90"/>
    <mergeCell ref="C36:D36"/>
    <mergeCell ref="A36:A53"/>
    <mergeCell ref="B50:B52"/>
    <mergeCell ref="C50:D50"/>
    <mergeCell ref="B53:D53"/>
    <mergeCell ref="A17:A35"/>
    <mergeCell ref="B37:B49"/>
    <mergeCell ref="C37:D37"/>
    <mergeCell ref="B29:B31"/>
    <mergeCell ref="B32:B3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J144"/>
  <sheetViews>
    <sheetView view="pageLayout" topLeftCell="B1" zoomScaleNormal="100" zoomScaleSheetLayoutView="100" workbookViewId="0">
      <selection activeCell="G43" sqref="G43"/>
    </sheetView>
  </sheetViews>
  <sheetFormatPr defaultColWidth="9.33203125" defaultRowHeight="15.75" x14ac:dyDescent="0.25"/>
  <cols>
    <col min="1" max="1" width="9.6640625" style="355" bestFit="1" customWidth="1"/>
    <col min="2" max="2" width="84.83203125" style="355" customWidth="1"/>
    <col min="3" max="4" width="14.83203125" style="613" hidden="1" customWidth="1"/>
    <col min="5" max="8" width="14.83203125" style="613" customWidth="1"/>
    <col min="9" max="16384" width="9.33203125" style="38"/>
  </cols>
  <sheetData>
    <row r="1" spans="1:8" ht="36" customHeight="1" x14ac:dyDescent="0.25">
      <c r="A1" s="1612" t="s">
        <v>852</v>
      </c>
      <c r="B1" s="1612"/>
      <c r="C1" s="1612"/>
      <c r="D1" s="1612"/>
      <c r="E1" s="1612"/>
      <c r="F1" s="1612"/>
      <c r="G1" s="1612"/>
      <c r="H1" s="1612"/>
    </row>
    <row r="2" spans="1:8" ht="15.95" customHeight="1" thickBot="1" x14ac:dyDescent="0.3">
      <c r="A2" s="1617" t="s">
        <v>80</v>
      </c>
      <c r="B2" s="1617"/>
      <c r="C2" s="266"/>
      <c r="D2" s="266"/>
      <c r="E2" s="266"/>
      <c r="G2" s="267"/>
      <c r="H2" s="266" t="s">
        <v>270</v>
      </c>
    </row>
    <row r="3" spans="1:8" ht="38.1" customHeight="1" thickBot="1" x14ac:dyDescent="0.3">
      <c r="A3" s="28" t="s">
        <v>16</v>
      </c>
      <c r="B3" s="29" t="s">
        <v>854</v>
      </c>
      <c r="C3" s="556" t="s">
        <v>998</v>
      </c>
      <c r="D3" s="557" t="s">
        <v>999</v>
      </c>
      <c r="E3" s="1021" t="s">
        <v>943</v>
      </c>
      <c r="F3" s="1025" t="s">
        <v>1067</v>
      </c>
      <c r="G3" s="1025" t="s">
        <v>1093</v>
      </c>
      <c r="H3" s="1025" t="s">
        <v>1094</v>
      </c>
    </row>
    <row r="4" spans="1:8" s="39" customFormat="1" ht="12" customHeight="1" thickBot="1" x14ac:dyDescent="0.25">
      <c r="A4" s="33">
        <v>1</v>
      </c>
      <c r="B4" s="34">
        <v>2</v>
      </c>
      <c r="C4" s="556">
        <v>3</v>
      </c>
      <c r="D4" s="557">
        <v>4</v>
      </c>
      <c r="E4" s="1021">
        <v>3</v>
      </c>
      <c r="F4" s="1025">
        <v>4</v>
      </c>
      <c r="G4" s="1025">
        <v>5</v>
      </c>
      <c r="H4" s="1025">
        <v>6</v>
      </c>
    </row>
    <row r="5" spans="1:8" s="1" customFormat="1" ht="12" customHeight="1" thickBot="1" x14ac:dyDescent="0.25">
      <c r="A5" s="25" t="s">
        <v>855</v>
      </c>
      <c r="B5" s="24" t="s">
        <v>105</v>
      </c>
      <c r="C5" s="558">
        <f>+C6+C11+C20</f>
        <v>116870</v>
      </c>
      <c r="D5" s="559">
        <f>+D6+D11+D20</f>
        <v>100553</v>
      </c>
      <c r="E5" s="1022">
        <f>+E6+E11+E20</f>
        <v>129230</v>
      </c>
      <c r="F5" s="1026">
        <f>+F6+F11+F20</f>
        <v>124875</v>
      </c>
      <c r="G5" s="1026">
        <v>120381</v>
      </c>
      <c r="H5" s="1254">
        <f>G5/F5</f>
        <v>0.96401201201201203</v>
      </c>
    </row>
    <row r="6" spans="1:8" s="1" customFormat="1" ht="12" customHeight="1" thickBot="1" x14ac:dyDescent="0.25">
      <c r="A6" s="23" t="s">
        <v>856</v>
      </c>
      <c r="B6" s="245" t="s">
        <v>341</v>
      </c>
      <c r="C6" s="561">
        <f>+C7+C8+C9+C10</f>
        <v>95825</v>
      </c>
      <c r="D6" s="562">
        <f>+D7+D8+D9+D10</f>
        <v>79070</v>
      </c>
      <c r="E6" s="561">
        <f>+E7+E8+E9+E10</f>
        <v>98689</v>
      </c>
      <c r="F6" s="607">
        <f>+F7+F8+F9+F10</f>
        <v>92798</v>
      </c>
      <c r="G6" s="607">
        <v>92161</v>
      </c>
      <c r="H6" s="1232">
        <f t="shared" ref="H6:H67" si="0">G6/F6</f>
        <v>0.99313562792301557</v>
      </c>
    </row>
    <row r="7" spans="1:8" s="1" customFormat="1" ht="12" customHeight="1" x14ac:dyDescent="0.2">
      <c r="A7" s="16" t="s">
        <v>46</v>
      </c>
      <c r="B7" s="339" t="s">
        <v>899</v>
      </c>
      <c r="C7" s="564">
        <f>'1.2.sz.mell. _köt'!C7+'1.3.sz.mell._önk'!C7+'1.4.sz.mell._állig'!C7</f>
        <v>92782</v>
      </c>
      <c r="D7" s="565">
        <f>'1.2.sz.mell. _köt'!D7+'1.3.sz.mell._önk'!D7+'1.4.sz.mell._állig'!D7</f>
        <v>76570</v>
      </c>
      <c r="E7" s="564">
        <f>'1.2.sz.mell. _köt'!E7+'1.3.sz.mell._önk'!E7+'1.4.sz.mell._állig'!E7</f>
        <v>96496</v>
      </c>
      <c r="F7" s="805">
        <f>'1.2.sz.mell. _köt'!F7+'1.3.sz.mell._önk'!H7+'1.4.sz.mell._állig'!H7</f>
        <v>89549</v>
      </c>
      <c r="G7" s="805">
        <v>89491</v>
      </c>
      <c r="H7" s="1236">
        <f t="shared" si="0"/>
        <v>0.99935230990854174</v>
      </c>
    </row>
    <row r="8" spans="1:8" s="1" customFormat="1" ht="12" customHeight="1" x14ac:dyDescent="0.2">
      <c r="A8" s="16" t="s">
        <v>47</v>
      </c>
      <c r="B8" s="259" t="s">
        <v>19</v>
      </c>
      <c r="C8" s="564">
        <f>'1.2.sz.mell. _köt'!C8+'1.3.sz.mell._önk'!C8+'1.4.sz.mell._állig'!C8</f>
        <v>0</v>
      </c>
      <c r="D8" s="565">
        <f>'1.2.sz.mell. _köt'!D8+'1.3.sz.mell._önk'!D8+'1.4.sz.mell._állig'!D8</f>
        <v>0</v>
      </c>
      <c r="E8" s="564">
        <f>'1.2.sz.mell. _köt'!E8+'1.3.sz.mell._önk'!E8+'1.4.sz.mell._állig'!E8</f>
        <v>0</v>
      </c>
      <c r="F8" s="805">
        <f>'1.2.sz.mell. _köt'!F8+'1.3.sz.mell._önk'!H8+'1.4.sz.mell._állig'!H8</f>
        <v>0</v>
      </c>
      <c r="G8" s="805"/>
      <c r="H8" s="1236"/>
    </row>
    <row r="9" spans="1:8" s="1" customFormat="1" ht="12" customHeight="1" x14ac:dyDescent="0.2">
      <c r="A9" s="16" t="s">
        <v>48</v>
      </c>
      <c r="B9" s="259" t="s">
        <v>106</v>
      </c>
      <c r="C9" s="564">
        <f>'1.2.sz.mell. _köt'!C9+'1.3.sz.mell._önk'!C9+'1.4.sz.mell._állig'!C9</f>
        <v>2094</v>
      </c>
      <c r="D9" s="565">
        <f>'1.2.sz.mell. _köt'!D9+'1.3.sz.mell._önk'!D9+'1.4.sz.mell._állig'!D9</f>
        <v>2000</v>
      </c>
      <c r="E9" s="564">
        <f>'1.2.sz.mell. _köt'!E9+'1.3.sz.mell._önk'!E9+'1.4.sz.mell._állig'!E9</f>
        <v>1592</v>
      </c>
      <c r="F9" s="805">
        <f>'1.2.sz.mell. _köt'!F9+'1.3.sz.mell._önk'!H9+'1.4.sz.mell._állig'!H9</f>
        <v>2648</v>
      </c>
      <c r="G9" s="805">
        <v>2298</v>
      </c>
      <c r="H9" s="1236">
        <f t="shared" si="0"/>
        <v>0.8678247734138973</v>
      </c>
    </row>
    <row r="10" spans="1:8" s="1" customFormat="1" ht="12" customHeight="1" thickBot="1" x14ac:dyDescent="0.25">
      <c r="A10" s="16" t="s">
        <v>49</v>
      </c>
      <c r="B10" s="340" t="s">
        <v>107</v>
      </c>
      <c r="C10" s="564">
        <f>'1.2.sz.mell. _köt'!C10+'1.3.sz.mell._önk'!C10+'1.4.sz.mell._állig'!C10</f>
        <v>949</v>
      </c>
      <c r="D10" s="565">
        <f>'1.2.sz.mell. _köt'!D10+'1.3.sz.mell._önk'!D10+'1.4.sz.mell._állig'!D10</f>
        <v>500</v>
      </c>
      <c r="E10" s="564">
        <f>'1.2.sz.mell. _köt'!E10+'1.3.sz.mell._önk'!E10+'1.4.sz.mell._állig'!E10</f>
        <v>601</v>
      </c>
      <c r="F10" s="805">
        <f>'1.2.sz.mell. _köt'!F10+'1.3.sz.mell._önk'!H10+'1.4.sz.mell._állig'!H10</f>
        <v>601</v>
      </c>
      <c r="G10" s="805">
        <v>372</v>
      </c>
      <c r="H10" s="1236">
        <f t="shared" si="0"/>
        <v>0.61896838602329451</v>
      </c>
    </row>
    <row r="11" spans="1:8" s="1" customFormat="1" ht="12" customHeight="1" thickBot="1" x14ac:dyDescent="0.25">
      <c r="A11" s="23" t="s">
        <v>857</v>
      </c>
      <c r="B11" s="24" t="s">
        <v>108</v>
      </c>
      <c r="C11" s="566">
        <f>+C12+C13+C14+C15+C16+C17+C18+C19</f>
        <v>13212</v>
      </c>
      <c r="D11" s="562">
        <f>+D12+D13+D14+D15+D16+D17+D18+D19</f>
        <v>13483</v>
      </c>
      <c r="E11" s="561">
        <f>+E12+E13+E14+E15+E16+E17+E18+E19</f>
        <v>22409</v>
      </c>
      <c r="F11" s="607">
        <f>+F12+F13+F14+F15+F16+F17+F18+F19</f>
        <v>23945</v>
      </c>
      <c r="G11" s="607">
        <v>20869</v>
      </c>
      <c r="H11" s="1232">
        <f t="shared" si="0"/>
        <v>0.87153894341198579</v>
      </c>
    </row>
    <row r="12" spans="1:8" s="1" customFormat="1" ht="12" customHeight="1" x14ac:dyDescent="0.2">
      <c r="A12" s="20" t="s">
        <v>20</v>
      </c>
      <c r="B12" s="12" t="s">
        <v>113</v>
      </c>
      <c r="C12" s="564">
        <f>'1.2.sz.mell. _köt'!C12+'1.3.sz.mell._önk'!C12+'1.4.sz.mell._állig'!C12</f>
        <v>0</v>
      </c>
      <c r="D12" s="565">
        <f>'1.2.sz.mell. _köt'!D12+'1.3.sz.mell._önk'!D12+'1.4.sz.mell._állig'!D12</f>
        <v>0</v>
      </c>
      <c r="E12" s="564">
        <f>'1.2.sz.mell. _köt'!E12+'1.3.sz.mell._önk'!E12+'1.4.sz.mell._állig'!E12</f>
        <v>696</v>
      </c>
      <c r="F12" s="805">
        <f>'1.2.sz.mell. _köt'!F12+'1.3.sz.mell._önk'!H12+'1.4.sz.mell._állig'!H12</f>
        <v>696</v>
      </c>
      <c r="G12" s="805">
        <v>117</v>
      </c>
      <c r="H12" s="1236">
        <f t="shared" si="0"/>
        <v>0.16810344827586207</v>
      </c>
    </row>
    <row r="13" spans="1:8" s="1" customFormat="1" ht="12" customHeight="1" x14ac:dyDescent="0.2">
      <c r="A13" s="16" t="s">
        <v>21</v>
      </c>
      <c r="B13" s="9" t="s">
        <v>114</v>
      </c>
      <c r="C13" s="564">
        <f>'1.2.sz.mell. _köt'!C13+'1.3.sz.mell._önk'!C13+'1.4.sz.mell._állig'!C13</f>
        <v>257</v>
      </c>
      <c r="D13" s="565">
        <f>'1.2.sz.mell. _köt'!D13+'1.3.sz.mell._önk'!D13+'1.4.sz.mell._állig'!D13</f>
        <v>50</v>
      </c>
      <c r="E13" s="564">
        <f>'1.2.sz.mell. _köt'!E13+'1.3.sz.mell._önk'!E13+'1.4.sz.mell._állig'!E13</f>
        <v>511</v>
      </c>
      <c r="F13" s="805">
        <f>'1.2.sz.mell. _köt'!F13+'1.3.sz.mell._önk'!H13+'1.4.sz.mell._állig'!H13</f>
        <v>1661</v>
      </c>
      <c r="G13" s="805">
        <v>1846</v>
      </c>
      <c r="H13" s="1236">
        <f t="shared" si="0"/>
        <v>1.1113786875376279</v>
      </c>
    </row>
    <row r="14" spans="1:8" s="1" customFormat="1" ht="12" customHeight="1" x14ac:dyDescent="0.2">
      <c r="A14" s="16" t="s">
        <v>22</v>
      </c>
      <c r="B14" s="9" t="s">
        <v>115</v>
      </c>
      <c r="C14" s="564">
        <f>'1.2.sz.mell. _köt'!C14+'1.3.sz.mell._önk'!C14+'1.4.sz.mell._állig'!C14</f>
        <v>6422</v>
      </c>
      <c r="D14" s="565">
        <f>'1.2.sz.mell. _köt'!D14+'1.3.sz.mell._önk'!D14+'1.4.sz.mell._állig'!D14</f>
        <v>7223</v>
      </c>
      <c r="E14" s="564">
        <f>'1.2.sz.mell. _köt'!E14+'1.3.sz.mell._önk'!E14+'1.4.sz.mell._állig'!E14</f>
        <v>16098</v>
      </c>
      <c r="F14" s="805">
        <f>'1.2.sz.mell. _köt'!F14+'1.3.sz.mell._önk'!H14+'1.4.sz.mell._állig'!H14</f>
        <v>16098</v>
      </c>
      <c r="G14" s="805">
        <v>13700</v>
      </c>
      <c r="H14" s="1236">
        <f t="shared" si="0"/>
        <v>0.85103739594980743</v>
      </c>
    </row>
    <row r="15" spans="1:8" s="1" customFormat="1" ht="12" customHeight="1" x14ac:dyDescent="0.2">
      <c r="A15" s="16" t="s">
        <v>23</v>
      </c>
      <c r="B15" s="9" t="s">
        <v>116</v>
      </c>
      <c r="C15" s="564">
        <f>'1.2.sz.mell. _köt'!C15+'1.3.sz.mell._önk'!C15+'1.4.sz.mell._állig'!C15</f>
        <v>6056</v>
      </c>
      <c r="D15" s="565">
        <f>'1.2.sz.mell. _köt'!D15+'1.3.sz.mell._önk'!D15+'1.4.sz.mell._állig'!D15</f>
        <v>4996</v>
      </c>
      <c r="E15" s="564">
        <f>'1.2.sz.mell. _köt'!E15+'1.3.sz.mell._önk'!E15+'1.4.sz.mell._állig'!E15</f>
        <v>4040</v>
      </c>
      <c r="F15" s="805">
        <f>'1.2.sz.mell. _köt'!F15+'1.3.sz.mell._önk'!H15+'1.4.sz.mell._állig'!H15</f>
        <v>4040</v>
      </c>
      <c r="G15" s="805">
        <v>3798</v>
      </c>
      <c r="H15" s="1236">
        <f t="shared" si="0"/>
        <v>0.94009900990099005</v>
      </c>
    </row>
    <row r="16" spans="1:8" s="1" customFormat="1" ht="12" customHeight="1" x14ac:dyDescent="0.2">
      <c r="A16" s="15" t="s">
        <v>109</v>
      </c>
      <c r="B16" s="8" t="s">
        <v>117</v>
      </c>
      <c r="C16" s="564">
        <f>'1.2.sz.mell. _köt'!C16+'1.3.sz.mell._önk'!C16+'1.4.sz.mell._állig'!C16</f>
        <v>0</v>
      </c>
      <c r="D16" s="565">
        <f>'1.2.sz.mell. _köt'!D16+'1.3.sz.mell._önk'!D16+'1.4.sz.mell._állig'!D16</f>
        <v>0</v>
      </c>
      <c r="E16" s="564">
        <f>'1.2.sz.mell. _köt'!E16+'1.3.sz.mell._önk'!E16+'1.4.sz.mell._állig'!E16</f>
        <v>0</v>
      </c>
      <c r="F16" s="805">
        <f>'1.2.sz.mell. _köt'!F16+'1.3.sz.mell._önk'!H16+'1.4.sz.mell._állig'!H16</f>
        <v>0</v>
      </c>
      <c r="G16" s="805"/>
      <c r="H16" s="1236"/>
    </row>
    <row r="17" spans="1:8" s="1" customFormat="1" ht="12" customHeight="1" x14ac:dyDescent="0.2">
      <c r="A17" s="16" t="s">
        <v>110</v>
      </c>
      <c r="B17" s="9" t="s">
        <v>210</v>
      </c>
      <c r="C17" s="564">
        <f>'1.2.sz.mell. _köt'!C17+'1.3.sz.mell._önk'!C17+'1.4.sz.mell._állig'!C17</f>
        <v>218</v>
      </c>
      <c r="D17" s="565">
        <f>'1.2.sz.mell. _köt'!D17+'1.3.sz.mell._önk'!D17+'1.4.sz.mell._állig'!D17</f>
        <v>1214</v>
      </c>
      <c r="E17" s="564">
        <f>'1.2.sz.mell. _köt'!E17+'1.3.sz.mell._önk'!E17+'1.4.sz.mell._állig'!E17</f>
        <v>1064</v>
      </c>
      <c r="F17" s="805">
        <f>'1.2.sz.mell. _köt'!F17+'1.3.sz.mell._önk'!H17+'1.4.sz.mell._állig'!H17</f>
        <v>1064</v>
      </c>
      <c r="G17" s="805">
        <v>1026</v>
      </c>
      <c r="H17" s="1236">
        <f t="shared" si="0"/>
        <v>0.9642857142857143</v>
      </c>
    </row>
    <row r="18" spans="1:8" s="1" customFormat="1" ht="12" customHeight="1" x14ac:dyDescent="0.2">
      <c r="A18" s="16" t="s">
        <v>111</v>
      </c>
      <c r="B18" s="9" t="s">
        <v>119</v>
      </c>
      <c r="C18" s="564">
        <f>'1.2.sz.mell. _köt'!C18+'1.3.sz.mell._önk'!C18+'1.4.sz.mell._állig'!C18</f>
        <v>0</v>
      </c>
      <c r="D18" s="565">
        <f>'1.2.sz.mell. _köt'!D18+'1.3.sz.mell._önk'!D18+'1.4.sz.mell._állig'!D18</f>
        <v>0</v>
      </c>
      <c r="E18" s="564">
        <f>'1.2.sz.mell. _köt'!E18+'1.3.sz.mell._önk'!E18+'1.4.sz.mell._állig'!E18</f>
        <v>0</v>
      </c>
      <c r="F18" s="805">
        <f>'1.2.sz.mell. _köt'!F18+'1.3.sz.mell._önk'!H18+'1.4.sz.mell._állig'!H18</f>
        <v>0</v>
      </c>
      <c r="G18" s="805">
        <v>12</v>
      </c>
      <c r="H18" s="1236"/>
    </row>
    <row r="19" spans="1:8" s="1" customFormat="1" ht="12" customHeight="1" thickBot="1" x14ac:dyDescent="0.25">
      <c r="A19" s="17" t="s">
        <v>112</v>
      </c>
      <c r="B19" s="10" t="s">
        <v>120</v>
      </c>
      <c r="C19" s="564">
        <f>'1.2.sz.mell. _köt'!C19+'1.3.sz.mell._önk'!C19+'1.4.sz.mell._állig'!C19</f>
        <v>259</v>
      </c>
      <c r="D19" s="565">
        <f>'1.2.sz.mell. _köt'!D19+'1.3.sz.mell._önk'!D19+'1.4.sz.mell._állig'!D19</f>
        <v>0</v>
      </c>
      <c r="E19" s="564">
        <f>'1.2.sz.mell. _köt'!E19+'1.3.sz.mell._önk'!E19+'1.4.sz.mell._állig'!E19</f>
        <v>0</v>
      </c>
      <c r="F19" s="805">
        <f>'1.2.sz.mell. _köt'!F19+'1.3.sz.mell._önk'!H19+'1.4.sz.mell._állig'!H19</f>
        <v>386</v>
      </c>
      <c r="G19" s="805">
        <v>370</v>
      </c>
      <c r="H19" s="1236">
        <f t="shared" si="0"/>
        <v>0.95854922279792742</v>
      </c>
    </row>
    <row r="20" spans="1:8" s="1" customFormat="1" ht="12" customHeight="1" thickBot="1" x14ac:dyDescent="0.25">
      <c r="A20" s="23" t="s">
        <v>121</v>
      </c>
      <c r="B20" s="24" t="s">
        <v>211</v>
      </c>
      <c r="C20" s="567">
        <f>'1.2.sz.mell. _köt'!C20+'1.3.sz.mell._önk'!C20+'1.4.sz.mell._állig'!C20</f>
        <v>7833</v>
      </c>
      <c r="D20" s="568">
        <f>'1.2.sz.mell. _köt'!D20+'1.3.sz.mell._önk'!D20+'1.4.sz.mell._állig'!D20</f>
        <v>8000</v>
      </c>
      <c r="E20" s="573">
        <f>'1.2.sz.mell. _köt'!E20+'1.3.sz.mell._önk'!E20+'1.4.sz.mell._állig'!E20</f>
        <v>8132</v>
      </c>
      <c r="F20" s="1027">
        <f>'1.2.sz.mell. _köt'!F20+'1.3.sz.mell._önk'!H20+'1.4.sz.mell._állig'!H20</f>
        <v>8132</v>
      </c>
      <c r="G20" s="1027">
        <v>7351</v>
      </c>
      <c r="H20" s="1243">
        <f t="shared" si="0"/>
        <v>0.90395966551893758</v>
      </c>
    </row>
    <row r="21" spans="1:8" s="1" customFormat="1" ht="12" customHeight="1" thickBot="1" x14ac:dyDescent="0.25">
      <c r="A21" s="23" t="s">
        <v>859</v>
      </c>
      <c r="B21" s="24" t="s">
        <v>123</v>
      </c>
      <c r="C21" s="566">
        <f>+C22+C23+C24+C25+C26+C27+C28+C29</f>
        <v>136964</v>
      </c>
      <c r="D21" s="562">
        <f>+D22+D23+D24+D25+D26+D27+D28+D29</f>
        <v>154410</v>
      </c>
      <c r="E21" s="561">
        <f>+E22+E23+E24+E25+E26+E27+E28+E29</f>
        <v>166940</v>
      </c>
      <c r="F21" s="607">
        <f>+F22+F23+F24+F25+F26+F27+F28+F29</f>
        <v>175811</v>
      </c>
      <c r="G21" s="607">
        <v>175811</v>
      </c>
      <c r="H21" s="1232">
        <f t="shared" si="0"/>
        <v>1</v>
      </c>
    </row>
    <row r="22" spans="1:8" s="1" customFormat="1" ht="12" customHeight="1" x14ac:dyDescent="0.2">
      <c r="A22" s="18" t="s">
        <v>24</v>
      </c>
      <c r="B22" s="11" t="s">
        <v>795</v>
      </c>
      <c r="C22" s="564">
        <f>'1.2.sz.mell. _köt'!C22+'1.3.sz.mell._önk'!C22+'1.4.sz.mell._állig'!C22</f>
        <v>122087</v>
      </c>
      <c r="D22" s="565">
        <f>'1.2.sz.mell. _köt'!D22+'1.3.sz.mell._önk'!D22+'1.4.sz.mell._állig'!D22</f>
        <v>149564</v>
      </c>
      <c r="E22" s="564">
        <f>'1.2.sz.mell. _köt'!E22+'1.3.sz.mell._önk'!E22+'1.4.sz.mell._állig'!E22</f>
        <v>166940</v>
      </c>
      <c r="F22" s="805">
        <f>'1.2.sz.mell. _köt'!F22+'1.3.sz.mell._önk'!H22+'1.4.sz.mell._állig'!H22</f>
        <v>173238</v>
      </c>
      <c r="G22" s="805">
        <v>173238</v>
      </c>
      <c r="H22" s="1236">
        <f t="shared" si="0"/>
        <v>1</v>
      </c>
    </row>
    <row r="23" spans="1:8" s="1" customFormat="1" ht="12" customHeight="1" x14ac:dyDescent="0.2">
      <c r="A23" s="16" t="s">
        <v>25</v>
      </c>
      <c r="B23" s="9" t="s">
        <v>129</v>
      </c>
      <c r="C23" s="564">
        <f>'1.2.sz.mell. _köt'!C23+'1.3.sz.mell._önk'!C23+'1.4.sz.mell._állig'!C23</f>
        <v>5457</v>
      </c>
      <c r="D23" s="565">
        <f>'1.2.sz.mell. _köt'!D23+'1.3.sz.mell._önk'!D23+'1.4.sz.mell._állig'!D23</f>
        <v>1943</v>
      </c>
      <c r="E23" s="564">
        <f>'1.2.sz.mell. _köt'!E23+'1.3.sz.mell._önk'!E23+'1.4.sz.mell._állig'!E23</f>
        <v>0</v>
      </c>
      <c r="F23" s="805">
        <f>'1.2.sz.mell. _köt'!F23+'1.3.sz.mell._önk'!H23+'1.4.sz.mell._állig'!H23</f>
        <v>0</v>
      </c>
      <c r="G23" s="805"/>
      <c r="H23" s="1236"/>
    </row>
    <row r="24" spans="1:8" s="1" customFormat="1" ht="12" customHeight="1" x14ac:dyDescent="0.2">
      <c r="A24" s="16" t="s">
        <v>26</v>
      </c>
      <c r="B24" s="9" t="s">
        <v>29</v>
      </c>
      <c r="C24" s="564">
        <f>'1.2.sz.mell. _köt'!C24+'1.3.sz.mell._önk'!C24+'1.4.sz.mell._állig'!C24</f>
        <v>0</v>
      </c>
      <c r="D24" s="565">
        <f>'1.2.sz.mell. _köt'!D24+'1.3.sz.mell._önk'!D24+'1.4.sz.mell._állig'!D24</f>
        <v>966</v>
      </c>
      <c r="E24" s="564">
        <f>'1.2.sz.mell. _köt'!E24+'1.3.sz.mell._önk'!E24+'1.4.sz.mell._állig'!E24</f>
        <v>0</v>
      </c>
      <c r="F24" s="805">
        <f>'1.2.sz.mell. _köt'!F24+'1.3.sz.mell._önk'!H24+'1.4.sz.mell._állig'!H24</f>
        <v>1769</v>
      </c>
      <c r="G24" s="805">
        <v>1769</v>
      </c>
      <c r="H24" s="1236">
        <f t="shared" si="0"/>
        <v>1</v>
      </c>
    </row>
    <row r="25" spans="1:8" s="1" customFormat="1" ht="12" customHeight="1" x14ac:dyDescent="0.2">
      <c r="A25" s="19" t="s">
        <v>124</v>
      </c>
      <c r="B25" s="9" t="s">
        <v>130</v>
      </c>
      <c r="C25" s="564">
        <f>'1.2.sz.mell. _köt'!C25+'1.3.sz.mell._önk'!C25+'1.4.sz.mell._állig'!C25</f>
        <v>9420</v>
      </c>
      <c r="D25" s="565">
        <f>'1.2.sz.mell. _köt'!D25+'1.3.sz.mell._önk'!D25+'1.4.sz.mell._állig'!D25</f>
        <v>0</v>
      </c>
      <c r="E25" s="564">
        <f>'1.2.sz.mell. _köt'!E25+'1.3.sz.mell._önk'!E25+'1.4.sz.mell._állig'!E25</f>
        <v>0</v>
      </c>
      <c r="F25" s="805">
        <f>'1.2.sz.mell. _köt'!F25+'1.3.sz.mell._önk'!H25+'1.4.sz.mell._állig'!H25</f>
        <v>0</v>
      </c>
      <c r="G25" s="805"/>
      <c r="H25" s="1236"/>
    </row>
    <row r="26" spans="1:8" s="1" customFormat="1" ht="12" customHeight="1" x14ac:dyDescent="0.2">
      <c r="A26" s="19" t="s">
        <v>125</v>
      </c>
      <c r="B26" s="9" t="s">
        <v>131</v>
      </c>
      <c r="C26" s="564">
        <f>'1.2.sz.mell. _köt'!C26+'1.3.sz.mell._önk'!C26+'1.4.sz.mell._állig'!C26</f>
        <v>0</v>
      </c>
      <c r="D26" s="565">
        <f>'1.2.sz.mell. _köt'!D26+'1.3.sz.mell._önk'!D26+'1.4.sz.mell._állig'!D26</f>
        <v>0</v>
      </c>
      <c r="E26" s="564">
        <f>'1.2.sz.mell. _köt'!E26+'1.3.sz.mell._önk'!E26+'1.4.sz.mell._állig'!E26</f>
        <v>0</v>
      </c>
      <c r="F26" s="805">
        <f>'1.2.sz.mell. _köt'!F26+'1.3.sz.mell._önk'!H26+'1.4.sz.mell._állig'!H26</f>
        <v>0</v>
      </c>
      <c r="G26" s="805"/>
      <c r="H26" s="1236"/>
    </row>
    <row r="27" spans="1:8" s="1" customFormat="1" ht="12" customHeight="1" x14ac:dyDescent="0.2">
      <c r="A27" s="16" t="s">
        <v>126</v>
      </c>
      <c r="B27" s="9" t="s">
        <v>132</v>
      </c>
      <c r="C27" s="564">
        <f>'1.2.sz.mell. _köt'!C27+'1.3.sz.mell._önk'!C27+'1.4.sz.mell._állig'!C27</f>
        <v>0</v>
      </c>
      <c r="D27" s="565">
        <f>'1.2.sz.mell. _köt'!D27+'1.3.sz.mell._önk'!D27+'1.4.sz.mell._állig'!D27</f>
        <v>0</v>
      </c>
      <c r="E27" s="564">
        <f>'1.2.sz.mell. _köt'!E27+'1.3.sz.mell._önk'!E27+'1.4.sz.mell._állig'!E27</f>
        <v>0</v>
      </c>
      <c r="F27" s="805">
        <f>'1.2.sz.mell. _köt'!F27+'1.3.sz.mell._önk'!H27+'1.4.sz.mell._állig'!H27</f>
        <v>0</v>
      </c>
      <c r="G27" s="805"/>
      <c r="H27" s="1236"/>
    </row>
    <row r="28" spans="1:8" s="1" customFormat="1" ht="12" customHeight="1" x14ac:dyDescent="0.2">
      <c r="A28" s="16" t="s">
        <v>127</v>
      </c>
      <c r="B28" s="9" t="s">
        <v>212</v>
      </c>
      <c r="C28" s="564">
        <f>'1.2.sz.mell. _köt'!C28+'1.3.sz.mell._önk'!C28+'1.4.sz.mell._állig'!C28</f>
        <v>0</v>
      </c>
      <c r="D28" s="565">
        <f>'1.2.sz.mell. _köt'!D28+'1.3.sz.mell._önk'!D28+'1.4.sz.mell._állig'!D28</f>
        <v>0</v>
      </c>
      <c r="E28" s="564">
        <f>'1.2.sz.mell. _köt'!E28+'1.3.sz.mell._önk'!E28+'1.4.sz.mell._állig'!E28</f>
        <v>0</v>
      </c>
      <c r="F28" s="805">
        <f>'9. sz. mell'!G31</f>
        <v>139</v>
      </c>
      <c r="G28" s="805">
        <v>139</v>
      </c>
      <c r="H28" s="1236">
        <f t="shared" si="0"/>
        <v>1</v>
      </c>
    </row>
    <row r="29" spans="1:8" s="1" customFormat="1" ht="12" customHeight="1" thickBot="1" x14ac:dyDescent="0.25">
      <c r="A29" s="16" t="s">
        <v>128</v>
      </c>
      <c r="B29" s="14" t="s">
        <v>133</v>
      </c>
      <c r="C29" s="564">
        <f>'1.2.sz.mell. _köt'!C29+'1.3.sz.mell._önk'!C29+'1.4.sz.mell._állig'!C29</f>
        <v>0</v>
      </c>
      <c r="D29" s="565">
        <f>'1.2.sz.mell. _köt'!D29+'1.3.sz.mell._önk'!D29+'1.4.sz.mell._állig'!D29</f>
        <v>1937</v>
      </c>
      <c r="E29" s="564">
        <f>'1.2.sz.mell. _köt'!E29+'1.3.sz.mell._önk'!E29+'1.4.sz.mell._állig'!E29</f>
        <v>0</v>
      </c>
      <c r="F29" s="805">
        <f>'1.2.sz.mell. _köt'!F29+'1.3.sz.mell._önk'!H29+'1.4.sz.mell._állig'!H29</f>
        <v>665</v>
      </c>
      <c r="G29" s="805">
        <v>665</v>
      </c>
      <c r="H29" s="1236">
        <f t="shared" si="0"/>
        <v>1</v>
      </c>
    </row>
    <row r="30" spans="1:8" s="1" customFormat="1" ht="12" customHeight="1" thickBot="1" x14ac:dyDescent="0.25">
      <c r="A30" s="238" t="s">
        <v>860</v>
      </c>
      <c r="B30" s="24" t="s">
        <v>342</v>
      </c>
      <c r="C30" s="561">
        <f>+C31+C37</f>
        <v>16051</v>
      </c>
      <c r="D30" s="562">
        <f>+D31+D37</f>
        <v>37895</v>
      </c>
      <c r="E30" s="561">
        <f>+E31+E37</f>
        <v>22434</v>
      </c>
      <c r="F30" s="607">
        <f>+F31+F37</f>
        <v>130210</v>
      </c>
      <c r="G30" s="607">
        <v>128233</v>
      </c>
      <c r="H30" s="1232">
        <f t="shared" si="0"/>
        <v>0.98481683434452039</v>
      </c>
    </row>
    <row r="31" spans="1:8" s="1" customFormat="1" ht="12" customHeight="1" x14ac:dyDescent="0.2">
      <c r="A31" s="239" t="s">
        <v>27</v>
      </c>
      <c r="B31" s="341" t="s">
        <v>343</v>
      </c>
      <c r="C31" s="569">
        <f>+C32+C33+C34+C35+C36</f>
        <v>14598</v>
      </c>
      <c r="D31" s="570">
        <f>+D32+D33+D34+D35+D36</f>
        <v>22134</v>
      </c>
      <c r="E31" s="569">
        <f>+E32+E33+E34+E35+E36</f>
        <v>10419</v>
      </c>
      <c r="F31" s="1028">
        <f>+F32+F33+F34+F35+F36</f>
        <v>10419</v>
      </c>
      <c r="G31" s="1028">
        <v>14925</v>
      </c>
      <c r="H31" s="1286">
        <f t="shared" si="0"/>
        <v>1.4324791246760726</v>
      </c>
    </row>
    <row r="32" spans="1:8" s="1" customFormat="1" ht="12" customHeight="1" x14ac:dyDescent="0.2">
      <c r="A32" s="240" t="s">
        <v>30</v>
      </c>
      <c r="B32" s="246" t="s">
        <v>213</v>
      </c>
      <c r="C32" s="564">
        <f>'1.2.sz.mell. _köt'!C32+'1.3.sz.mell._önk'!C32+'1.4.sz.mell._állig'!C32</f>
        <v>4192</v>
      </c>
      <c r="D32" s="565">
        <f>'1.2.sz.mell. _köt'!D32+'1.3.sz.mell._önk'!D32+'1.4.sz.mell._állig'!D32</f>
        <v>3996</v>
      </c>
      <c r="E32" s="564">
        <f>'1.2.sz.mell. _köt'!E32+'1.3.sz.mell._önk'!E32+'1.4.sz.mell._állig'!E32</f>
        <v>4696</v>
      </c>
      <c r="F32" s="805">
        <f>'1.2.sz.mell. _köt'!F32+'1.3.sz.mell._önk'!H32+'1.4.sz.mell._állig'!H32</f>
        <v>4696</v>
      </c>
      <c r="G32" s="805">
        <v>4690</v>
      </c>
      <c r="H32" s="1236">
        <f t="shared" si="0"/>
        <v>0.99872231686541735</v>
      </c>
    </row>
    <row r="33" spans="1:8" s="1" customFormat="1" ht="12" customHeight="1" x14ac:dyDescent="0.2">
      <c r="A33" s="240" t="s">
        <v>31</v>
      </c>
      <c r="B33" s="246" t="s">
        <v>214</v>
      </c>
      <c r="C33" s="564">
        <f>'1.2.sz.mell. _köt'!C33+'1.3.sz.mell._önk'!C33+'1.4.sz.mell._állig'!C33</f>
        <v>0</v>
      </c>
      <c r="D33" s="565">
        <f>'1.2.sz.mell. _köt'!D33+'1.3.sz.mell._önk'!D33+'1.4.sz.mell._állig'!D33</f>
        <v>0</v>
      </c>
      <c r="E33" s="564">
        <f>'1.2.sz.mell. _köt'!E33+'1.3.sz.mell._önk'!E33+'1.4.sz.mell._állig'!E33</f>
        <v>0</v>
      </c>
      <c r="F33" s="805">
        <f>'1.2.sz.mell. _köt'!F33+'1.3.sz.mell._önk'!H33+'1.4.sz.mell._állig'!H33</f>
        <v>0</v>
      </c>
      <c r="G33" s="805"/>
      <c r="H33" s="1236"/>
    </row>
    <row r="34" spans="1:8" s="1" customFormat="1" ht="12" customHeight="1" x14ac:dyDescent="0.2">
      <c r="A34" s="240" t="s">
        <v>32</v>
      </c>
      <c r="B34" s="246" t="s">
        <v>215</v>
      </c>
      <c r="C34" s="564">
        <f>'1.2.sz.mell. _köt'!C34+'1.3.sz.mell._önk'!C34+'1.4.sz.mell._állig'!C34</f>
        <v>0</v>
      </c>
      <c r="D34" s="565">
        <f>'1.2.sz.mell. _köt'!D34+'1.3.sz.mell._önk'!D34+'1.4.sz.mell._állig'!D34</f>
        <v>0</v>
      </c>
      <c r="E34" s="564">
        <f>'1.2.sz.mell. _köt'!E34+'1.3.sz.mell._önk'!E34+'1.4.sz.mell._állig'!E34</f>
        <v>0</v>
      </c>
      <c r="F34" s="805">
        <f>'1.2.sz.mell. _köt'!F34+'1.3.sz.mell._önk'!H34+'1.4.sz.mell._állig'!H34</f>
        <v>0</v>
      </c>
      <c r="G34" s="805"/>
      <c r="H34" s="1236"/>
    </row>
    <row r="35" spans="1:8" s="1" customFormat="1" ht="12" customHeight="1" x14ac:dyDescent="0.2">
      <c r="A35" s="240" t="s">
        <v>33</v>
      </c>
      <c r="B35" s="246" t="s">
        <v>216</v>
      </c>
      <c r="C35" s="564">
        <f>'1.2.sz.mell. _köt'!C35+'1.3.sz.mell._önk'!C35+'1.4.sz.mell._állig'!C35</f>
        <v>0</v>
      </c>
      <c r="D35" s="565">
        <f>'1.2.sz.mell. _köt'!D35+'1.3.sz.mell._önk'!D35+'1.4.sz.mell._állig'!D35</f>
        <v>0</v>
      </c>
      <c r="E35" s="564">
        <f>'1.2.sz.mell. _köt'!E35+'1.3.sz.mell._önk'!E35+'1.4.sz.mell._állig'!E35</f>
        <v>0</v>
      </c>
      <c r="F35" s="805">
        <f>'1.2.sz.mell. _köt'!F35+'1.3.sz.mell._önk'!H35+'1.4.sz.mell._állig'!H35</f>
        <v>0</v>
      </c>
      <c r="G35" s="805"/>
      <c r="H35" s="1236"/>
    </row>
    <row r="36" spans="1:8" s="1" customFormat="1" ht="12" customHeight="1" x14ac:dyDescent="0.2">
      <c r="A36" s="240" t="s">
        <v>134</v>
      </c>
      <c r="B36" s="246" t="s">
        <v>344</v>
      </c>
      <c r="C36" s="564">
        <f>'1.2.sz.mell. _köt'!C36+'1.3.sz.mell._önk'!C36+'1.4.sz.mell._állig'!C36</f>
        <v>10406</v>
      </c>
      <c r="D36" s="565">
        <f>'1.2.sz.mell. _köt'!D36+'1.3.sz.mell._önk'!D36+'1.4.sz.mell._állig'!D36</f>
        <v>18138</v>
      </c>
      <c r="E36" s="564">
        <f>'1.2.sz.mell. _köt'!E36+'1.3.sz.mell._önk'!E36+'1.4.sz.mell._állig'!E36</f>
        <v>5723</v>
      </c>
      <c r="F36" s="805">
        <f>'1.2.sz.mell. _köt'!F36+'1.3.sz.mell._önk'!H36+'1.4.sz.mell._állig'!H36</f>
        <v>5723</v>
      </c>
      <c r="G36" s="805">
        <v>10235</v>
      </c>
      <c r="H36" s="1236">
        <f t="shared" si="0"/>
        <v>1.788397693517386</v>
      </c>
    </row>
    <row r="37" spans="1:8" s="1" customFormat="1" ht="12" customHeight="1" x14ac:dyDescent="0.2">
      <c r="A37" s="240" t="s">
        <v>28</v>
      </c>
      <c r="B37" s="247" t="s">
        <v>345</v>
      </c>
      <c r="C37" s="571">
        <f>+C38+C39+C40+C41+C42</f>
        <v>1453</v>
      </c>
      <c r="D37" s="572">
        <f>+D38+D39+D40+D41+D42</f>
        <v>15761</v>
      </c>
      <c r="E37" s="571">
        <f>+E38+E39+E40+E41+E42</f>
        <v>12015</v>
      </c>
      <c r="F37" s="1029">
        <f>+F38+F39+F40+F41+F42</f>
        <v>119791</v>
      </c>
      <c r="G37" s="1029">
        <v>113308</v>
      </c>
      <c r="H37" s="1287">
        <f t="shared" si="0"/>
        <v>0.9458807422928267</v>
      </c>
    </row>
    <row r="38" spans="1:8" s="1" customFormat="1" ht="12" customHeight="1" x14ac:dyDescent="0.2">
      <c r="A38" s="240" t="s">
        <v>36</v>
      </c>
      <c r="B38" s="246" t="s">
        <v>213</v>
      </c>
      <c r="C38" s="564">
        <f>'1.2.sz.mell. _köt'!C38+'1.3.sz.mell._önk'!C38+'1.4.sz.mell._állig'!C38</f>
        <v>0</v>
      </c>
      <c r="D38" s="565">
        <f>'1.2.sz.mell. _köt'!D38+'1.3.sz.mell._önk'!D38+'1.4.sz.mell._állig'!D38</f>
        <v>0</v>
      </c>
      <c r="E38" s="564">
        <f>'1.2.sz.mell. _köt'!E38+'1.3.sz.mell._önk'!E38+'1.4.sz.mell._állig'!E38</f>
        <v>0</v>
      </c>
      <c r="F38" s="805">
        <f>'1.2.sz.mell. _köt'!F38+'1.3.sz.mell._önk'!H38+'1.4.sz.mell._állig'!H38</f>
        <v>0</v>
      </c>
      <c r="G38" s="805"/>
      <c r="H38" s="1236"/>
    </row>
    <row r="39" spans="1:8" s="1" customFormat="1" ht="12" customHeight="1" x14ac:dyDescent="0.2">
      <c r="A39" s="240" t="s">
        <v>37</v>
      </c>
      <c r="B39" s="246" t="s">
        <v>214</v>
      </c>
      <c r="C39" s="564">
        <f>'1.2.sz.mell. _köt'!C39+'1.3.sz.mell._önk'!C39+'1.4.sz.mell._állig'!C39</f>
        <v>0</v>
      </c>
      <c r="D39" s="565">
        <f>'1.2.sz.mell. _köt'!D39+'1.3.sz.mell._önk'!D39+'1.4.sz.mell._állig'!D39</f>
        <v>0</v>
      </c>
      <c r="E39" s="564">
        <f>'1.2.sz.mell. _köt'!E39+'1.3.sz.mell._önk'!E39+'1.4.sz.mell._állig'!E39</f>
        <v>0</v>
      </c>
      <c r="F39" s="805">
        <f>'1.2.sz.mell. _köt'!F39+'1.3.sz.mell._önk'!H39+'1.4.sz.mell._állig'!H39</f>
        <v>0</v>
      </c>
      <c r="G39" s="805"/>
      <c r="H39" s="1236"/>
    </row>
    <row r="40" spans="1:8" s="1" customFormat="1" ht="12" customHeight="1" x14ac:dyDescent="0.2">
      <c r="A40" s="240" t="s">
        <v>38</v>
      </c>
      <c r="B40" s="246" t="s">
        <v>215</v>
      </c>
      <c r="C40" s="564">
        <f>'1.2.sz.mell. _köt'!C40+'1.3.sz.mell._önk'!C40+'1.4.sz.mell._állig'!C40</f>
        <v>0</v>
      </c>
      <c r="D40" s="565">
        <f>'1.2.sz.mell. _köt'!D40+'1.3.sz.mell._önk'!D40+'1.4.sz.mell._állig'!D40</f>
        <v>0</v>
      </c>
      <c r="E40" s="564">
        <f>'1.2.sz.mell. _köt'!E40+'1.3.sz.mell._önk'!E40+'1.4.sz.mell._állig'!E40</f>
        <v>0</v>
      </c>
      <c r="F40" s="805">
        <f>'1.2.sz.mell. _köt'!F40+'1.3.sz.mell._önk'!H40+'1.4.sz.mell._állig'!H40</f>
        <v>0</v>
      </c>
      <c r="G40" s="805"/>
      <c r="H40" s="1236"/>
    </row>
    <row r="41" spans="1:8" s="1" customFormat="1" ht="12" customHeight="1" x14ac:dyDescent="0.2">
      <c r="A41" s="240" t="s">
        <v>39</v>
      </c>
      <c r="B41" s="248" t="s">
        <v>216</v>
      </c>
      <c r="C41" s="564">
        <f>'1.2.sz.mell. _köt'!C41+'1.3.sz.mell._önk'!C41+'1.4.sz.mell._állig'!C41</f>
        <v>1453</v>
      </c>
      <c r="D41" s="565">
        <f>'1.2.sz.mell. _köt'!D41+'1.3.sz.mell._önk'!D41+'1.4.sz.mell._állig'!D41</f>
        <v>15111</v>
      </c>
      <c r="E41" s="564">
        <f>'1.2.sz.mell. _köt'!E41+'1.3.sz.mell._önk'!E41+'1.4.sz.mell._állig'!E41</f>
        <v>5532</v>
      </c>
      <c r="F41" s="805">
        <f>'1.2.sz.mell. _köt'!F41+'1.3.sz.mell._önk'!H41+'1.4.sz.mell._állig'!H41</f>
        <v>113308</v>
      </c>
      <c r="G41" s="805">
        <f>105481+7827</f>
        <v>113308</v>
      </c>
      <c r="H41" s="1236">
        <f t="shared" si="0"/>
        <v>1</v>
      </c>
    </row>
    <row r="42" spans="1:8" s="1" customFormat="1" ht="12" customHeight="1" thickBot="1" x14ac:dyDescent="0.25">
      <c r="A42" s="241" t="s">
        <v>135</v>
      </c>
      <c r="B42" s="249" t="s">
        <v>346</v>
      </c>
      <c r="C42" s="564">
        <f>'1.2.sz.mell. _köt'!C42+'1.3.sz.mell._önk'!C42+'1.4.sz.mell._állig'!C42</f>
        <v>0</v>
      </c>
      <c r="D42" s="565">
        <f>'1.2.sz.mell. _köt'!D42+'1.3.sz.mell._önk'!D42+'1.4.sz.mell._állig'!D42</f>
        <v>650</v>
      </c>
      <c r="E42" s="564">
        <f>'1.2.sz.mell. _köt'!E42+'1.3.sz.mell._önk'!E42+'1.4.sz.mell._állig'!E42</f>
        <v>6483</v>
      </c>
      <c r="F42" s="805">
        <f>'1.2.sz.mell. _köt'!F42+'1.3.sz.mell._önk'!H42+'1.4.sz.mell._állig'!H42</f>
        <v>6483</v>
      </c>
      <c r="G42" s="805">
        <v>0</v>
      </c>
      <c r="H42" s="1236">
        <f t="shared" si="0"/>
        <v>0</v>
      </c>
    </row>
    <row r="43" spans="1:8" s="1" customFormat="1" ht="12" customHeight="1" thickBot="1" x14ac:dyDescent="0.25">
      <c r="A43" s="23" t="s">
        <v>136</v>
      </c>
      <c r="B43" s="342" t="s">
        <v>217</v>
      </c>
      <c r="C43" s="561">
        <f>+C44+C45</f>
        <v>1037</v>
      </c>
      <c r="D43" s="562">
        <f>+D44+D45</f>
        <v>0</v>
      </c>
      <c r="E43" s="561">
        <f>+E44+E45</f>
        <v>209</v>
      </c>
      <c r="F43" s="607">
        <f>+F44+F45</f>
        <v>209</v>
      </c>
      <c r="G43" s="607">
        <v>209</v>
      </c>
      <c r="H43" s="1232">
        <f t="shared" si="0"/>
        <v>1</v>
      </c>
    </row>
    <row r="44" spans="1:8" s="1" customFormat="1" ht="12" customHeight="1" x14ac:dyDescent="0.2">
      <c r="A44" s="18" t="s">
        <v>34</v>
      </c>
      <c r="B44" s="259" t="s">
        <v>218</v>
      </c>
      <c r="C44" s="564">
        <f>'1.2.sz.mell. _köt'!C44+'1.3.sz.mell._önk'!C44+'1.4.sz.mell._állig'!C44</f>
        <v>1037</v>
      </c>
      <c r="D44" s="565">
        <f>'1.2.sz.mell. _köt'!D44+'1.3.sz.mell._önk'!D44+'1.4.sz.mell._állig'!D44</f>
        <v>0</v>
      </c>
      <c r="E44" s="564">
        <f>'1.2.sz.mell. _köt'!E44+'1.3.sz.mell._önk'!E44+'1.4.sz.mell._állig'!E44</f>
        <v>209</v>
      </c>
      <c r="F44" s="805">
        <f>'1.2.sz.mell. _köt'!F44+'1.3.sz.mell._önk'!H44+'1.4.sz.mell._állig'!H44</f>
        <v>209</v>
      </c>
      <c r="G44" s="805">
        <v>209</v>
      </c>
      <c r="H44" s="1236">
        <f t="shared" si="0"/>
        <v>1</v>
      </c>
    </row>
    <row r="45" spans="1:8" s="1" customFormat="1" ht="12" customHeight="1" thickBot="1" x14ac:dyDescent="0.25">
      <c r="A45" s="15" t="s">
        <v>35</v>
      </c>
      <c r="B45" s="254" t="s">
        <v>222</v>
      </c>
      <c r="C45" s="564">
        <f>'1.2.sz.mell. _köt'!C45+'1.3.sz.mell._önk'!C45+'1.4.sz.mell._állig'!C45</f>
        <v>0</v>
      </c>
      <c r="D45" s="565">
        <f>'1.2.sz.mell. _köt'!D45+'1.3.sz.mell._önk'!D45+'1.4.sz.mell._állig'!D45</f>
        <v>0</v>
      </c>
      <c r="E45" s="564">
        <f>'1.2.sz.mell. _köt'!E45+'1.3.sz.mell._önk'!E45+'1.4.sz.mell._állig'!E45</f>
        <v>0</v>
      </c>
      <c r="F45" s="805">
        <f>'1.2.sz.mell. _köt'!F45+'1.3.sz.mell._önk'!H45+'1.4.sz.mell._állig'!H45</f>
        <v>0</v>
      </c>
      <c r="G45" s="805"/>
      <c r="H45" s="1236"/>
    </row>
    <row r="46" spans="1:8" s="1" customFormat="1" ht="12" customHeight="1" thickBot="1" x14ac:dyDescent="0.25">
      <c r="A46" s="23" t="s">
        <v>862</v>
      </c>
      <c r="B46" s="342" t="s">
        <v>221</v>
      </c>
      <c r="C46" s="561">
        <f>+C47+C48+C49</f>
        <v>7184</v>
      </c>
      <c r="D46" s="562">
        <f>+D47+D48+D49</f>
        <v>414</v>
      </c>
      <c r="E46" s="561">
        <f>+E47+E48+E49</f>
        <v>0</v>
      </c>
      <c r="F46" s="607">
        <f>+F47+F48+F49</f>
        <v>0</v>
      </c>
      <c r="G46" s="607">
        <v>414</v>
      </c>
      <c r="H46" s="1232"/>
    </row>
    <row r="47" spans="1:8" s="1" customFormat="1" ht="12" customHeight="1" x14ac:dyDescent="0.2">
      <c r="A47" s="18" t="s">
        <v>139</v>
      </c>
      <c r="B47" s="259" t="s">
        <v>137</v>
      </c>
      <c r="C47" s="564">
        <f>'1.2.sz.mell. _köt'!C47+'1.3.sz.mell._önk'!C47+'1.4.sz.mell._állig'!C47</f>
        <v>7184</v>
      </c>
      <c r="D47" s="565">
        <f>'1.2.sz.mell. _köt'!D47+'1.3.sz.mell._önk'!D47+'1.4.sz.mell._állig'!D47</f>
        <v>0</v>
      </c>
      <c r="E47" s="564">
        <f>'1.2.sz.mell. _köt'!E47+'1.3.sz.mell._önk'!E47+'1.4.sz.mell._állig'!E47</f>
        <v>0</v>
      </c>
      <c r="F47" s="805">
        <f>'1.2.sz.mell. _köt'!F47+'1.3.sz.mell._önk'!H47+'1.4.sz.mell._állig'!H47</f>
        <v>0</v>
      </c>
      <c r="G47" s="805">
        <v>414</v>
      </c>
      <c r="H47" s="1236"/>
    </row>
    <row r="48" spans="1:8" s="1" customFormat="1" ht="12" customHeight="1" x14ac:dyDescent="0.2">
      <c r="A48" s="16" t="s">
        <v>140</v>
      </c>
      <c r="B48" s="246" t="s">
        <v>917</v>
      </c>
      <c r="C48" s="564">
        <f>'1.2.sz.mell. _köt'!C48+'1.3.sz.mell._önk'!C48+'1.4.sz.mell._állig'!C48</f>
        <v>0</v>
      </c>
      <c r="D48" s="565">
        <f>'1.2.sz.mell. _köt'!D48+'1.3.sz.mell._önk'!D48+'1.4.sz.mell._állig'!D48</f>
        <v>414</v>
      </c>
      <c r="E48" s="564">
        <f>'1.2.sz.mell. _köt'!E48+'1.3.sz.mell._önk'!E48+'1.4.sz.mell._állig'!E48</f>
        <v>0</v>
      </c>
      <c r="F48" s="805">
        <f>'1.2.sz.mell. _köt'!F48+'1.3.sz.mell._önk'!H48+'1.4.sz.mell._állig'!H48</f>
        <v>0</v>
      </c>
      <c r="G48" s="805"/>
      <c r="H48" s="1236"/>
    </row>
    <row r="49" spans="1:8" s="1" customFormat="1" ht="12" customHeight="1" thickBot="1" x14ac:dyDescent="0.25">
      <c r="A49" s="15" t="s">
        <v>279</v>
      </c>
      <c r="B49" s="254" t="s">
        <v>219</v>
      </c>
      <c r="C49" s="564">
        <f>'1.2.sz.mell. _köt'!C49+'1.3.sz.mell._önk'!C49+'1.4.sz.mell._állig'!C49</f>
        <v>0</v>
      </c>
      <c r="D49" s="565">
        <f>'1.2.sz.mell. _köt'!D49+'1.3.sz.mell._önk'!D49+'1.4.sz.mell._állig'!D49</f>
        <v>0</v>
      </c>
      <c r="E49" s="564">
        <f>'1.2.sz.mell. _köt'!E49+'1.3.sz.mell._önk'!E49+'1.4.sz.mell._állig'!E49</f>
        <v>0</v>
      </c>
      <c r="F49" s="805">
        <f>'1.2.sz.mell. _köt'!F49+'1.3.sz.mell._önk'!H49+'1.4.sz.mell._állig'!H49</f>
        <v>0</v>
      </c>
      <c r="G49" s="805"/>
      <c r="H49" s="1236"/>
    </row>
    <row r="50" spans="1:8" s="1" customFormat="1" ht="17.25" customHeight="1" thickBot="1" x14ac:dyDescent="0.25">
      <c r="A50" s="23" t="s">
        <v>141</v>
      </c>
      <c r="B50" s="343" t="s">
        <v>220</v>
      </c>
      <c r="C50" s="573">
        <f>'1.2.sz.mell. _köt'!C50+'1.3.sz.mell._önk'!C50+'1.4.sz.mell._állig'!C50</f>
        <v>0</v>
      </c>
      <c r="D50" s="568">
        <f>'1.2.sz.mell. _köt'!D50+'1.3.sz.mell._önk'!D50+'1.4.sz.mell._állig'!D50</f>
        <v>0</v>
      </c>
      <c r="E50" s="573">
        <f>'1.2.sz.mell. _köt'!E50+'1.3.sz.mell._önk'!E50+'1.4.sz.mell._állig'!E50</f>
        <v>0</v>
      </c>
      <c r="F50" s="1027">
        <f>'1.2.sz.mell. _köt'!F50+'1.3.sz.mell._önk'!H50+'1.4.sz.mell._állig'!H50</f>
        <v>0</v>
      </c>
      <c r="G50" s="1027"/>
      <c r="H50" s="1243"/>
    </row>
    <row r="51" spans="1:8" s="1" customFormat="1" ht="12" customHeight="1" thickBot="1" x14ac:dyDescent="0.25">
      <c r="A51" s="23" t="s">
        <v>864</v>
      </c>
      <c r="B51" s="27" t="s">
        <v>142</v>
      </c>
      <c r="C51" s="574">
        <f>+C6+C11+C20+C21+C30+C43+C46+C50</f>
        <v>278106</v>
      </c>
      <c r="D51" s="575">
        <f>+D6+D11+D20+D21+D30+D43+D46+D50</f>
        <v>293272</v>
      </c>
      <c r="E51" s="1023">
        <f>+E6+E11+E20+E21+E30+E43+E46+E50</f>
        <v>318813</v>
      </c>
      <c r="F51" s="1030">
        <f>+F6+F11+F20+F21+F30+F43+F46+F50</f>
        <v>431105</v>
      </c>
      <c r="G51" s="1030">
        <v>425048</v>
      </c>
      <c r="H51" s="1288">
        <f t="shared" si="0"/>
        <v>0.98595005857041784</v>
      </c>
    </row>
    <row r="52" spans="1:8" s="1" customFormat="1" ht="12" customHeight="1" thickBot="1" x14ac:dyDescent="0.25">
      <c r="A52" s="250" t="s">
        <v>865</v>
      </c>
      <c r="B52" s="245" t="s">
        <v>223</v>
      </c>
      <c r="C52" s="576">
        <f>+C53+C59</f>
        <v>52597</v>
      </c>
      <c r="D52" s="577">
        <f>+D53+D59</f>
        <v>48271</v>
      </c>
      <c r="E52" s="1024">
        <f>+E53+E59</f>
        <v>0</v>
      </c>
      <c r="F52" s="1031">
        <f>+F53+F59</f>
        <v>60405</v>
      </c>
      <c r="G52" s="1031">
        <v>66582</v>
      </c>
      <c r="H52" s="1230">
        <f t="shared" si="0"/>
        <v>1.1022597467097095</v>
      </c>
    </row>
    <row r="53" spans="1:8" s="1" customFormat="1" ht="12" customHeight="1" x14ac:dyDescent="0.2">
      <c r="A53" s="344" t="s">
        <v>73</v>
      </c>
      <c r="B53" s="341" t="s">
        <v>308</v>
      </c>
      <c r="C53" s="578">
        <f>+C54+C55+C56+C57+C58</f>
        <v>52597</v>
      </c>
      <c r="D53" s="570">
        <f>+D54+D55+D56+D57+D58</f>
        <v>48271</v>
      </c>
      <c r="E53" s="569">
        <f>+E54+E55+E56+E57+E58</f>
        <v>0</v>
      </c>
      <c r="F53" s="1028">
        <f>+F54+F55+F56+F57+F58</f>
        <v>60405</v>
      </c>
      <c r="G53" s="1028">
        <v>60397</v>
      </c>
      <c r="H53" s="1286">
        <f t="shared" si="0"/>
        <v>0.99986756063239801</v>
      </c>
    </row>
    <row r="54" spans="1:8" s="1" customFormat="1" ht="12" customHeight="1" x14ac:dyDescent="0.2">
      <c r="A54" s="251" t="s">
        <v>239</v>
      </c>
      <c r="B54" s="246" t="s">
        <v>225</v>
      </c>
      <c r="C54" s="564">
        <f>'1.2.sz.mell. _köt'!C54+'1.3.sz.mell._önk'!C54+'1.4.sz.mell._állig'!C54</f>
        <v>52597</v>
      </c>
      <c r="D54" s="565">
        <f>'1.2.sz.mell. _köt'!D54+'1.3.sz.mell._önk'!D54+'1.4.sz.mell._állig'!D54</f>
        <v>48271</v>
      </c>
      <c r="E54" s="564">
        <f>'1.2.sz.mell. _köt'!E54+'1.3.sz.mell._önk'!E54+'1.4.sz.mell._állig'!E54</f>
        <v>0</v>
      </c>
      <c r="F54" s="805">
        <f>'1.2.sz.mell. _köt'!F54+'1.3.sz.mell._önk'!H54+'1.4.sz.mell._állig'!H54</f>
        <v>60405</v>
      </c>
      <c r="G54" s="805">
        <v>60397</v>
      </c>
      <c r="H54" s="1236">
        <f t="shared" si="0"/>
        <v>0.99986756063239801</v>
      </c>
    </row>
    <row r="55" spans="1:8" s="1" customFormat="1" ht="12" customHeight="1" x14ac:dyDescent="0.2">
      <c r="A55" s="251" t="s">
        <v>240</v>
      </c>
      <c r="B55" s="246" t="s">
        <v>226</v>
      </c>
      <c r="C55" s="564">
        <f>'1.2.sz.mell. _köt'!C55+'1.3.sz.mell._önk'!C55+'1.4.sz.mell._állig'!C55</f>
        <v>0</v>
      </c>
      <c r="D55" s="565">
        <f>'1.2.sz.mell. _köt'!D55+'1.3.sz.mell._önk'!D55+'1.4.sz.mell._állig'!D55</f>
        <v>0</v>
      </c>
      <c r="E55" s="564">
        <f>'1.2.sz.mell. _köt'!E55+'1.3.sz.mell._önk'!E55+'1.4.sz.mell._állig'!E55</f>
        <v>0</v>
      </c>
      <c r="F55" s="805">
        <f>'1.2.sz.mell. _köt'!F55+'1.3.sz.mell._önk'!H55+'1.4.sz.mell._állig'!H55</f>
        <v>0</v>
      </c>
      <c r="G55" s="805"/>
      <c r="H55" s="1236"/>
    </row>
    <row r="56" spans="1:8" s="1" customFormat="1" ht="12" customHeight="1" x14ac:dyDescent="0.2">
      <c r="A56" s="251" t="s">
        <v>241</v>
      </c>
      <c r="B56" s="246" t="s">
        <v>227</v>
      </c>
      <c r="C56" s="564">
        <f>'1.2.sz.mell. _köt'!C56+'1.3.sz.mell._önk'!C56+'1.4.sz.mell._állig'!C56</f>
        <v>0</v>
      </c>
      <c r="D56" s="565">
        <f>'1.2.sz.mell. _köt'!D56+'1.3.sz.mell._önk'!D56+'1.4.sz.mell._állig'!D56</f>
        <v>0</v>
      </c>
      <c r="E56" s="564">
        <f>'1.2.sz.mell. _köt'!E56+'1.3.sz.mell._önk'!E56+'1.4.sz.mell._állig'!E56</f>
        <v>0</v>
      </c>
      <c r="F56" s="805">
        <f>'1.2.sz.mell. _köt'!F56+'1.3.sz.mell._önk'!H56+'1.4.sz.mell._állig'!H56</f>
        <v>0</v>
      </c>
      <c r="G56" s="805"/>
      <c r="H56" s="1236"/>
    </row>
    <row r="57" spans="1:8" s="1" customFormat="1" ht="12" customHeight="1" x14ac:dyDescent="0.2">
      <c r="A57" s="251" t="s">
        <v>242</v>
      </c>
      <c r="B57" s="246" t="s">
        <v>228</v>
      </c>
      <c r="C57" s="564">
        <f>'1.2.sz.mell. _köt'!C57+'1.3.sz.mell._önk'!C57+'1.4.sz.mell._állig'!C57</f>
        <v>0</v>
      </c>
      <c r="D57" s="565">
        <f>'1.2.sz.mell. _köt'!D57+'1.3.sz.mell._önk'!D57+'1.4.sz.mell._állig'!D57</f>
        <v>0</v>
      </c>
      <c r="E57" s="564">
        <f>'1.2.sz.mell. _köt'!E57+'1.3.sz.mell._önk'!E57+'1.4.sz.mell._állig'!E57</f>
        <v>0</v>
      </c>
      <c r="F57" s="805">
        <f>'1.2.sz.mell. _köt'!F57+'1.3.sz.mell._önk'!H57+'1.4.sz.mell._állig'!H57</f>
        <v>0</v>
      </c>
      <c r="G57" s="805"/>
      <c r="H57" s="1236"/>
    </row>
    <row r="58" spans="1:8" s="1" customFormat="1" ht="12" customHeight="1" x14ac:dyDescent="0.2">
      <c r="A58" s="251" t="s">
        <v>243</v>
      </c>
      <c r="B58" s="246" t="s">
        <v>229</v>
      </c>
      <c r="C58" s="564">
        <f>'1.2.sz.mell. _köt'!C58+'1.3.sz.mell._önk'!C58+'1.4.sz.mell._állig'!C58</f>
        <v>0</v>
      </c>
      <c r="D58" s="565">
        <f>'1.2.sz.mell. _köt'!D58+'1.3.sz.mell._önk'!D58+'1.4.sz.mell._állig'!D58</f>
        <v>0</v>
      </c>
      <c r="E58" s="564">
        <f>'1.2.sz.mell. _köt'!E58+'1.3.sz.mell._önk'!E58+'1.4.sz.mell._állig'!E58</f>
        <v>0</v>
      </c>
      <c r="F58" s="805">
        <f>'1.2.sz.mell. _köt'!F58+'1.3.sz.mell._önk'!H58+'1.4.sz.mell._állig'!H58</f>
        <v>0</v>
      </c>
      <c r="G58" s="805"/>
      <c r="H58" s="1236"/>
    </row>
    <row r="59" spans="1:8" s="1" customFormat="1" ht="12" customHeight="1" x14ac:dyDescent="0.2">
      <c r="A59" s="252" t="s">
        <v>74</v>
      </c>
      <c r="B59" s="247" t="s">
        <v>307</v>
      </c>
      <c r="C59" s="579">
        <f>+C60+C61+C62+C63+C64</f>
        <v>0</v>
      </c>
      <c r="D59" s="572">
        <f>+D60+D61+D62+D63+D64</f>
        <v>0</v>
      </c>
      <c r="E59" s="571">
        <f>+E60+E61+E62+E63+E64</f>
        <v>0</v>
      </c>
      <c r="F59" s="1029">
        <f>+F60+F61+F62+F63+F64</f>
        <v>0</v>
      </c>
      <c r="G59" s="1029">
        <v>6185</v>
      </c>
      <c r="H59" s="1287"/>
    </row>
    <row r="60" spans="1:8" s="1" customFormat="1" ht="12" customHeight="1" x14ac:dyDescent="0.2">
      <c r="A60" s="251" t="s">
        <v>244</v>
      </c>
      <c r="B60" s="246" t="s">
        <v>231</v>
      </c>
      <c r="C60" s="564">
        <f>'1.2.sz.mell. _köt'!C60+'1.3.sz.mell._önk'!C60+'1.4.sz.mell._állig'!C60</f>
        <v>0</v>
      </c>
      <c r="D60" s="565">
        <f>'1.2.sz.mell. _köt'!D60+'1.3.sz.mell._önk'!D60+'1.4.sz.mell._állig'!D60</f>
        <v>0</v>
      </c>
      <c r="E60" s="564">
        <f>'1.2.sz.mell. _köt'!E60+'1.3.sz.mell._önk'!E60+'1.4.sz.mell._állig'!E60</f>
        <v>0</v>
      </c>
      <c r="F60" s="805">
        <f>'1.2.sz.mell. _köt'!F60+'1.3.sz.mell._önk'!H60+'1.4.sz.mell._állig'!H60</f>
        <v>0</v>
      </c>
      <c r="G60" s="805"/>
      <c r="H60" s="1236"/>
    </row>
    <row r="61" spans="1:8" s="1" customFormat="1" ht="12" customHeight="1" x14ac:dyDescent="0.2">
      <c r="A61" s="251" t="s">
        <v>245</v>
      </c>
      <c r="B61" s="246" t="s">
        <v>232</v>
      </c>
      <c r="C61" s="564">
        <f>'1.2.sz.mell. _köt'!C61+'1.3.sz.mell._önk'!C61+'1.4.sz.mell._állig'!C61</f>
        <v>0</v>
      </c>
      <c r="D61" s="565">
        <f>'1.2.sz.mell. _köt'!D61+'1.3.sz.mell._önk'!D61+'1.4.sz.mell._állig'!D61</f>
        <v>0</v>
      </c>
      <c r="E61" s="564">
        <f>'1.2.sz.mell. _köt'!E61+'1.3.sz.mell._önk'!E61+'1.4.sz.mell._állig'!E61</f>
        <v>0</v>
      </c>
      <c r="F61" s="805">
        <f>'1.2.sz.mell. _köt'!F61+'1.3.sz.mell._önk'!H61+'1.4.sz.mell._állig'!H61</f>
        <v>0</v>
      </c>
      <c r="G61" s="805"/>
      <c r="H61" s="1236"/>
    </row>
    <row r="62" spans="1:8" s="1" customFormat="1" ht="12" customHeight="1" x14ac:dyDescent="0.2">
      <c r="A62" s="251" t="s">
        <v>246</v>
      </c>
      <c r="B62" s="246" t="s">
        <v>233</v>
      </c>
      <c r="C62" s="564">
        <f>'1.2.sz.mell. _köt'!C62+'1.3.sz.mell._önk'!C62+'1.4.sz.mell._állig'!C62</f>
        <v>0</v>
      </c>
      <c r="D62" s="565">
        <f>'1.2.sz.mell. _köt'!D62+'1.3.sz.mell._önk'!D62+'1.4.sz.mell._állig'!D62</f>
        <v>0</v>
      </c>
      <c r="E62" s="564">
        <f>'1.2.sz.mell. _köt'!E62+'1.3.sz.mell._önk'!E62+'1.4.sz.mell._állig'!E62</f>
        <v>0</v>
      </c>
      <c r="F62" s="805">
        <f>'1.2.sz.mell. _köt'!F62+'1.3.sz.mell._önk'!H62+'1.4.sz.mell._állig'!H62</f>
        <v>0</v>
      </c>
      <c r="G62" s="805"/>
      <c r="H62" s="1236"/>
    </row>
    <row r="63" spans="1:8" s="1" customFormat="1" ht="12" customHeight="1" x14ac:dyDescent="0.2">
      <c r="A63" s="251" t="s">
        <v>247</v>
      </c>
      <c r="B63" s="246" t="s">
        <v>234</v>
      </c>
      <c r="C63" s="564">
        <f>'1.2.sz.mell. _köt'!C63+'1.3.sz.mell._önk'!C63+'1.4.sz.mell._állig'!C63</f>
        <v>0</v>
      </c>
      <c r="D63" s="565">
        <f>'1.2.sz.mell. _köt'!D63+'1.3.sz.mell._önk'!D63+'1.4.sz.mell._állig'!D63</f>
        <v>0</v>
      </c>
      <c r="E63" s="564">
        <f>'1.2.sz.mell. _köt'!E63+'1.3.sz.mell._önk'!E63+'1.4.sz.mell._állig'!E63</f>
        <v>0</v>
      </c>
      <c r="F63" s="805">
        <f>'1.2.sz.mell. _köt'!F63+'1.3.sz.mell._önk'!H63+'1.4.sz.mell._állig'!H63</f>
        <v>0</v>
      </c>
      <c r="G63" s="805"/>
      <c r="H63" s="1236"/>
    </row>
    <row r="64" spans="1:8" s="1" customFormat="1" ht="12" customHeight="1" thickBot="1" x14ac:dyDescent="0.25">
      <c r="A64" s="253" t="s">
        <v>248</v>
      </c>
      <c r="B64" s="254" t="s">
        <v>235</v>
      </c>
      <c r="C64" s="564">
        <f>'1.2.sz.mell. _köt'!C64+'1.3.sz.mell._önk'!C64+'1.4.sz.mell._állig'!C64</f>
        <v>0</v>
      </c>
      <c r="D64" s="565">
        <f>'1.2.sz.mell. _köt'!D64+'1.3.sz.mell._önk'!D64+'1.4.sz.mell._állig'!D64</f>
        <v>0</v>
      </c>
      <c r="E64" s="564">
        <f>'1.2.sz.mell. _köt'!E64+'1.3.sz.mell._önk'!E64+'1.4.sz.mell._állig'!E64</f>
        <v>0</v>
      </c>
      <c r="F64" s="805">
        <f>'1.2.sz.mell. _köt'!F64+'1.3.sz.mell._önk'!H64+'1.4.sz.mell._állig'!H64</f>
        <v>0</v>
      </c>
      <c r="G64" s="805">
        <v>6185</v>
      </c>
      <c r="H64" s="1236"/>
    </row>
    <row r="65" spans="1:8" s="1" customFormat="1" ht="12" customHeight="1" thickBot="1" x14ac:dyDescent="0.25">
      <c r="A65" s="255" t="s">
        <v>866</v>
      </c>
      <c r="B65" s="345" t="s">
        <v>305</v>
      </c>
      <c r="C65" s="576">
        <f>+C51+C52</f>
        <v>330703</v>
      </c>
      <c r="D65" s="577">
        <f>+D51+D52</f>
        <v>341543</v>
      </c>
      <c r="E65" s="1024">
        <f>+E51+E52</f>
        <v>318813</v>
      </c>
      <c r="F65" s="1031">
        <f>+F51+F52</f>
        <v>491510</v>
      </c>
      <c r="G65" s="1031">
        <v>491630</v>
      </c>
      <c r="H65" s="1230">
        <f t="shared" si="0"/>
        <v>1.0002441455921547</v>
      </c>
    </row>
    <row r="66" spans="1:8" s="1" customFormat="1" ht="13.5" customHeight="1" thickBot="1" x14ac:dyDescent="0.25">
      <c r="A66" s="256" t="s">
        <v>867</v>
      </c>
      <c r="B66" s="346" t="s">
        <v>237</v>
      </c>
      <c r="C66" s="564">
        <f>'1.2.sz.mell. _köt'!C66+'1.3.sz.mell._önk'!C66+'1.4.sz.mell._állig'!C66</f>
        <v>341</v>
      </c>
      <c r="D66" s="565"/>
      <c r="E66" s="564">
        <f>'1.2.sz.mell. _köt'!E66+'1.3.sz.mell._önk'!E66+'1.4.sz.mell._állig'!E66</f>
        <v>0</v>
      </c>
      <c r="F66" s="805">
        <f>'1.2.sz.mell. _köt'!F66+'1.3.sz.mell._önk'!H66+'1.4.sz.mell._állig'!H66</f>
        <v>0</v>
      </c>
      <c r="G66" s="805"/>
      <c r="H66" s="1236"/>
    </row>
    <row r="67" spans="1:8" s="1" customFormat="1" ht="12" customHeight="1" thickBot="1" x14ac:dyDescent="0.25">
      <c r="A67" s="255" t="s">
        <v>868</v>
      </c>
      <c r="B67" s="345" t="s">
        <v>306</v>
      </c>
      <c r="C67" s="576">
        <f>+C65+C66</f>
        <v>331044</v>
      </c>
      <c r="D67" s="577">
        <f>+D65+D66</f>
        <v>341543</v>
      </c>
      <c r="E67" s="1024">
        <f>+E65+E66</f>
        <v>318813</v>
      </c>
      <c r="F67" s="1031">
        <f>+F65+F66</f>
        <v>491510</v>
      </c>
      <c r="G67" s="1031">
        <v>491630</v>
      </c>
      <c r="H67" s="1230">
        <f t="shared" si="0"/>
        <v>1.0002441455921547</v>
      </c>
    </row>
    <row r="68" spans="1:8" s="1" customFormat="1" ht="21" customHeight="1" x14ac:dyDescent="0.2">
      <c r="A68" s="6"/>
      <c r="B68" s="7"/>
      <c r="C68" s="580"/>
      <c r="D68" s="580"/>
      <c r="E68" s="580"/>
      <c r="F68" s="580"/>
      <c r="G68" s="580"/>
      <c r="H68" s="580"/>
    </row>
    <row r="69" spans="1:8" ht="16.5" customHeight="1" x14ac:dyDescent="0.25">
      <c r="A69" s="1613" t="s">
        <v>884</v>
      </c>
      <c r="B69" s="1613"/>
      <c r="C69" s="1613"/>
      <c r="D69" s="1613"/>
      <c r="E69" s="1613"/>
      <c r="F69" s="1613"/>
      <c r="G69" s="1613"/>
      <c r="H69" s="1613"/>
    </row>
    <row r="70" spans="1:8" s="268" customFormat="1" ht="16.5" customHeight="1" thickBot="1" x14ac:dyDescent="0.3">
      <c r="A70" s="1618" t="s">
        <v>81</v>
      </c>
      <c r="B70" s="1618"/>
      <c r="C70" s="111"/>
      <c r="D70" s="111"/>
      <c r="E70" s="111"/>
      <c r="G70" s="673"/>
      <c r="H70" s="111" t="s">
        <v>270</v>
      </c>
    </row>
    <row r="71" spans="1:8" ht="38.1" customHeight="1" thickBot="1" x14ac:dyDescent="0.3">
      <c r="A71" s="28" t="s">
        <v>853</v>
      </c>
      <c r="B71" s="29" t="s">
        <v>885</v>
      </c>
      <c r="C71" s="556" t="s">
        <v>998</v>
      </c>
      <c r="D71" s="557" t="s">
        <v>999</v>
      </c>
      <c r="E71" s="1021" t="s">
        <v>943</v>
      </c>
      <c r="F71" s="1025" t="s">
        <v>1067</v>
      </c>
      <c r="G71" s="1025" t="s">
        <v>1093</v>
      </c>
      <c r="H71" s="1025" t="s">
        <v>1094</v>
      </c>
    </row>
    <row r="72" spans="1:8" s="39" customFormat="1" ht="12" customHeight="1" thickBot="1" x14ac:dyDescent="0.25">
      <c r="A72" s="33">
        <v>1</v>
      </c>
      <c r="B72" s="34">
        <v>2</v>
      </c>
      <c r="C72" s="556">
        <v>3</v>
      </c>
      <c r="D72" s="557">
        <v>4</v>
      </c>
      <c r="E72" s="1021">
        <v>3</v>
      </c>
      <c r="F72" s="1025">
        <v>4</v>
      </c>
      <c r="G72" s="1025">
        <v>5</v>
      </c>
      <c r="H72" s="1025">
        <v>6</v>
      </c>
    </row>
    <row r="73" spans="1:8" ht="12" customHeight="1" thickBot="1" x14ac:dyDescent="0.3">
      <c r="A73" s="25" t="s">
        <v>855</v>
      </c>
      <c r="B73" s="31" t="s">
        <v>143</v>
      </c>
      <c r="C73" s="558">
        <f>+C74+C75+C76+C77+C78</f>
        <v>262638</v>
      </c>
      <c r="D73" s="559">
        <f>+D74+D75+D76+D77+D78</f>
        <v>307667</v>
      </c>
      <c r="E73" s="1022">
        <f>+E74+E75+E76+E77+E78</f>
        <v>265752</v>
      </c>
      <c r="F73" s="1026">
        <f>+F74+F75+F76+F77+F78</f>
        <v>319515</v>
      </c>
      <c r="G73" s="1026">
        <v>285879</v>
      </c>
      <c r="H73" s="1254">
        <f>G73/F73</f>
        <v>0.89472794704473968</v>
      </c>
    </row>
    <row r="74" spans="1:8" ht="12" customHeight="1" x14ac:dyDescent="0.25">
      <c r="A74" s="20" t="s">
        <v>40</v>
      </c>
      <c r="B74" s="12" t="s">
        <v>886</v>
      </c>
      <c r="C74" s="581">
        <f>'1.2.sz.mell. _köt'!C74+'1.3.sz.mell._önk'!C74+'1.4.sz.mell._állig'!C74</f>
        <v>108275</v>
      </c>
      <c r="D74" s="582">
        <f>'1.2.sz.mell. _köt'!D74+'1.3.sz.mell._önk'!D74+'1.4.sz.mell._állig'!D74</f>
        <v>143462</v>
      </c>
      <c r="E74" s="1032">
        <f>'1.2.sz.mell. _köt'!E74+'1.3.sz.mell._önk'!E74+'1.4.sz.mell._állig'!E74</f>
        <v>128480</v>
      </c>
      <c r="F74" s="804">
        <f>'1.2.sz.mell. _köt'!F74+'1.3.sz.mell._önk'!H74+'1.4.sz.mell._állig'!H74</f>
        <v>131129</v>
      </c>
      <c r="G74" s="804">
        <v>122052</v>
      </c>
      <c r="H74" s="1255">
        <f>G74/F74</f>
        <v>0.93077808875229739</v>
      </c>
    </row>
    <row r="75" spans="1:8" ht="12" customHeight="1" x14ac:dyDescent="0.25">
      <c r="A75" s="16" t="s">
        <v>41</v>
      </c>
      <c r="B75" s="9" t="s">
        <v>144</v>
      </c>
      <c r="C75" s="583">
        <f>'1.2.sz.mell. _köt'!C75+'1.3.sz.mell._önk'!C75+'1.4.sz.mell._állig'!C75</f>
        <v>25837</v>
      </c>
      <c r="D75" s="565">
        <f>'1.2.sz.mell. _köt'!D75+'1.3.sz.mell._önk'!D75+'1.4.sz.mell._állig'!D75</f>
        <v>37659</v>
      </c>
      <c r="E75" s="564">
        <f>'1.2.sz.mell. _köt'!E75+'1.3.sz.mell._önk'!E75+'1.4.sz.mell._állig'!E75</f>
        <v>33112</v>
      </c>
      <c r="F75" s="805">
        <f>'1.2.sz.mell. _köt'!F75+'1.3.sz.mell._önk'!H75+'1.4.sz.mell._állig'!H75</f>
        <v>34639</v>
      </c>
      <c r="G75" s="805">
        <v>32751</v>
      </c>
      <c r="H75" s="1236">
        <f t="shared" ref="H75:H123" si="1">G75/F75</f>
        <v>0.94549496232570229</v>
      </c>
    </row>
    <row r="76" spans="1:8" ht="12" customHeight="1" x14ac:dyDescent="0.25">
      <c r="A76" s="16" t="s">
        <v>42</v>
      </c>
      <c r="B76" s="9" t="s">
        <v>70</v>
      </c>
      <c r="C76" s="584">
        <f>'1.2.sz.mell. _köt'!C76+'1.3.sz.mell._önk'!C76+'1.4.sz.mell._állig'!C76</f>
        <v>102127</v>
      </c>
      <c r="D76" s="585">
        <f>'1.2.sz.mell. _köt'!D76+'1.3.sz.mell._önk'!D76+'1.4.sz.mell._állig'!D76</f>
        <v>105330</v>
      </c>
      <c r="E76" s="591">
        <f>'1.2.sz.mell. _köt'!E76+'1.3.sz.mell._önk'!E76+'1.4.sz.mell._állig'!E76</f>
        <v>88289</v>
      </c>
      <c r="F76" s="1040">
        <f>'1.2.sz.mell. _köt'!F76+'1.3.sz.mell._önk'!H76+'1.4.sz.mell._állig'!H76</f>
        <v>129141</v>
      </c>
      <c r="G76" s="1040">
        <v>115604</v>
      </c>
      <c r="H76" s="1289">
        <f t="shared" si="1"/>
        <v>0.89517658992883742</v>
      </c>
    </row>
    <row r="77" spans="1:8" ht="12" customHeight="1" x14ac:dyDescent="0.25">
      <c r="A77" s="16" t="s">
        <v>43</v>
      </c>
      <c r="B77" s="13" t="s">
        <v>145</v>
      </c>
      <c r="C77" s="584">
        <f>'1.2.sz.mell. _köt'!C77+'1.3.sz.mell._önk'!C77+'1.4.sz.mell._állig'!C77</f>
        <v>17819</v>
      </c>
      <c r="D77" s="585">
        <f>'1.2.sz.mell. _köt'!D77+'1.3.sz.mell._önk'!D77+'1.4.sz.mell._állig'!D77</f>
        <v>13626</v>
      </c>
      <c r="E77" s="591">
        <f>'1.2.sz.mell. _köt'!E77+'1.3.sz.mell._önk'!E77+'1.4.sz.mell._állig'!E77</f>
        <v>9584</v>
      </c>
      <c r="F77" s="1040">
        <f>'1.2.sz.mell. _köt'!F77+'1.3.sz.mell._önk'!H77+'1.4.sz.mell._állig'!H77</f>
        <v>11297</v>
      </c>
      <c r="G77" s="1040">
        <v>9120</v>
      </c>
      <c r="H77" s="1289">
        <f t="shared" si="1"/>
        <v>0.80729397185093388</v>
      </c>
    </row>
    <row r="78" spans="1:8" ht="12" customHeight="1" x14ac:dyDescent="0.25">
      <c r="A78" s="16" t="s">
        <v>53</v>
      </c>
      <c r="B78" s="22" t="s">
        <v>146</v>
      </c>
      <c r="C78" s="584">
        <f>'1.2.sz.mell. _köt'!C78+'1.3.sz.mell._önk'!C78+'1.4.sz.mell._állig'!C78</f>
        <v>8580</v>
      </c>
      <c r="D78" s="585">
        <f>'1.2.sz.mell. _köt'!D78+'1.3.sz.mell._önk'!D78+'1.4.sz.mell._állig'!D78</f>
        <v>7590</v>
      </c>
      <c r="E78" s="591">
        <f>'1.2.sz.mell. _köt'!E78+'1.3.sz.mell._önk'!E78+'1.4.sz.mell._állig'!E78</f>
        <v>6287</v>
      </c>
      <c r="F78" s="1040">
        <f>'1.2.sz.mell. _köt'!F78+'1.3.sz.mell._önk'!H78+'1.4.sz.mell._állig'!H78</f>
        <v>13309</v>
      </c>
      <c r="G78" s="1040">
        <v>6352</v>
      </c>
      <c r="H78" s="1289">
        <f t="shared" si="1"/>
        <v>0.47727101961078972</v>
      </c>
    </row>
    <row r="79" spans="1:8" ht="12" customHeight="1" x14ac:dyDescent="0.25">
      <c r="A79" s="16" t="s">
        <v>44</v>
      </c>
      <c r="B79" s="9" t="s">
        <v>168</v>
      </c>
      <c r="C79" s="584">
        <f>'1.2.sz.mell. _köt'!C79+'1.3.sz.mell._önk'!C79+'1.4.sz.mell._állig'!C79</f>
        <v>0</v>
      </c>
      <c r="D79" s="585">
        <f>'1.2.sz.mell. _köt'!D79+'1.3.sz.mell._önk'!D79+'1.4.sz.mell._állig'!D79</f>
        <v>0</v>
      </c>
      <c r="E79" s="591">
        <f>'1.2.sz.mell. _köt'!E79+'1.3.sz.mell._önk'!E79+'1.4.sz.mell._állig'!E79</f>
        <v>0</v>
      </c>
      <c r="F79" s="1040">
        <f>'1.2.sz.mell. _köt'!F79+'1.3.sz.mell._önk'!H79+'1.4.sz.mell._állig'!H79</f>
        <v>0</v>
      </c>
      <c r="G79" s="1040">
        <f>'1.2.sz.mell. _köt'!H79+'1.3.sz.mell._önk'!I79+'1.4.sz.mell._állig'!I79</f>
        <v>0</v>
      </c>
      <c r="H79" s="1289"/>
    </row>
    <row r="80" spans="1:8" ht="12" customHeight="1" x14ac:dyDescent="0.25">
      <c r="A80" s="16" t="s">
        <v>45</v>
      </c>
      <c r="B80" s="114" t="s">
        <v>169</v>
      </c>
      <c r="C80" s="584">
        <f>'1.2.sz.mell. _köt'!C80+'1.3.sz.mell._önk'!C80+'1.4.sz.mell._állig'!C80</f>
        <v>0</v>
      </c>
      <c r="D80" s="585">
        <f>'1.2.sz.mell. _köt'!D80+'1.3.sz.mell._önk'!D80+'1.4.sz.mell._állig'!D80</f>
        <v>0</v>
      </c>
      <c r="E80" s="591">
        <f>'1.2.sz.mell. _köt'!E80+'1.3.sz.mell._önk'!E80+'1.4.sz.mell._állig'!E80</f>
        <v>0</v>
      </c>
      <c r="F80" s="1040">
        <f>'1.2.sz.mell. _köt'!F80+'1.3.sz.mell._önk'!H80+'1.4.sz.mell._állig'!H80</f>
        <v>0</v>
      </c>
      <c r="G80" s="1040">
        <f>'1.2.sz.mell. _köt'!H80+'1.3.sz.mell._önk'!I80+'1.4.sz.mell._állig'!I80</f>
        <v>0</v>
      </c>
      <c r="H80" s="1289"/>
    </row>
    <row r="81" spans="1:8" ht="12" customHeight="1" x14ac:dyDescent="0.25">
      <c r="A81" s="16" t="s">
        <v>54</v>
      </c>
      <c r="B81" s="114" t="s">
        <v>249</v>
      </c>
      <c r="C81" s="584">
        <f>'1.2.sz.mell. _köt'!C81+'1.3.sz.mell._önk'!C81+'1.4.sz.mell._állig'!C81</f>
        <v>0</v>
      </c>
      <c r="D81" s="585">
        <f>'1.2.sz.mell. _köt'!D81+'1.3.sz.mell._önk'!D81+'1.4.sz.mell._állig'!D81</f>
        <v>0</v>
      </c>
      <c r="E81" s="591">
        <f>'1.2.sz.mell. _köt'!E81+'1.3.sz.mell._önk'!E81+'1.4.sz.mell._állig'!E81</f>
        <v>302</v>
      </c>
      <c r="F81" s="1040">
        <f>'1.2.sz.mell. _köt'!F81+'1.3.sz.mell._önk'!H81+'1.4.sz.mell._állig'!H81</f>
        <v>302</v>
      </c>
      <c r="G81" s="1040">
        <v>302</v>
      </c>
      <c r="H81" s="1289">
        <f t="shared" si="1"/>
        <v>1</v>
      </c>
    </row>
    <row r="82" spans="1:8" ht="12" customHeight="1" x14ac:dyDescent="0.25">
      <c r="A82" s="16" t="s">
        <v>55</v>
      </c>
      <c r="B82" s="115" t="s">
        <v>170</v>
      </c>
      <c r="C82" s="584">
        <f>'1.2.sz.mell. _köt'!C82+'1.3.sz.mell._önk'!C82+'1.4.sz.mell._állig'!C82</f>
        <v>6325</v>
      </c>
      <c r="D82" s="585">
        <f>'1.2.sz.mell. _köt'!D82+'1.3.sz.mell._önk'!D82+'1.4.sz.mell._állig'!D82</f>
        <v>5960</v>
      </c>
      <c r="E82" s="591">
        <f>'1.2.sz.mell. _köt'!E82+'1.3.sz.mell._önk'!E82+'1.4.sz.mell._állig'!E82+'9. sz. mell'!F74</f>
        <v>5679</v>
      </c>
      <c r="F82" s="1040">
        <f>'1.2.sz.mell. _köt'!F82+'1.3.sz.mell._önk'!H82+'1.4.sz.mell._állig'!H82+'9. sz. mell'!G74</f>
        <v>6053</v>
      </c>
      <c r="G82" s="1040">
        <v>4594</v>
      </c>
      <c r="H82" s="1289">
        <f t="shared" si="1"/>
        <v>0.75896249793490833</v>
      </c>
    </row>
    <row r="83" spans="1:8" ht="12" customHeight="1" x14ac:dyDescent="0.25">
      <c r="A83" s="15" t="s">
        <v>56</v>
      </c>
      <c r="B83" s="116" t="s">
        <v>1082</v>
      </c>
      <c r="C83" s="584">
        <f>'1.2.sz.mell. _köt'!C84+'1.3.sz.mell._önk'!C83+'1.4.sz.mell._állig'!C83</f>
        <v>0</v>
      </c>
      <c r="D83" s="585">
        <f>'1.2.sz.mell. _köt'!D84+'1.3.sz.mell._önk'!D83+'1.4.sz.mell._állig'!D83</f>
        <v>0</v>
      </c>
      <c r="E83" s="591">
        <f>'1.2.sz.mell. _köt'!E83+'1.3.sz.mell._önk'!E83+'1.4.sz.mell._állig'!E83</f>
        <v>1000</v>
      </c>
      <c r="F83" s="1040">
        <f>'1.2.sz.mell. _köt'!F83+'1.3.sz.mell._önk'!H83+'1.4.sz.mell._állig'!H83</f>
        <v>1000</v>
      </c>
      <c r="G83" s="1040">
        <v>1000</v>
      </c>
      <c r="H83" s="1289">
        <f t="shared" si="1"/>
        <v>1</v>
      </c>
    </row>
    <row r="84" spans="1:8" ht="12" customHeight="1" x14ac:dyDescent="0.25">
      <c r="A84" s="15"/>
      <c r="B84" s="116" t="s">
        <v>171</v>
      </c>
      <c r="C84" s="584"/>
      <c r="D84" s="585"/>
      <c r="E84" s="591"/>
      <c r="F84" s="1040">
        <f>'1.2.sz.mell. _köt'!F84+'1.3.sz.mell._önk'!H84+'1.4.sz.mell._állig'!H84</f>
        <v>6548</v>
      </c>
      <c r="G84" s="1040">
        <f>'1.2.sz.mell. _köt'!H84+'1.3.sz.mell._önk'!I84+'1.4.sz.mell._állig'!I84</f>
        <v>0</v>
      </c>
      <c r="H84" s="1289">
        <f t="shared" si="1"/>
        <v>0</v>
      </c>
    </row>
    <row r="85" spans="1:8" ht="12" customHeight="1" x14ac:dyDescent="0.25">
      <c r="A85" s="16" t="s">
        <v>57</v>
      </c>
      <c r="B85" s="116" t="s">
        <v>172</v>
      </c>
      <c r="C85" s="584">
        <f>'1.2.sz.mell. _köt'!C85+'1.3.sz.mell._önk'!C84+'1.4.sz.mell._állig'!C84</f>
        <v>1964</v>
      </c>
      <c r="D85" s="585">
        <f>'1.2.sz.mell. _köt'!D85+'1.3.sz.mell._önk'!D84+'1.4.sz.mell._állig'!D84</f>
        <v>130</v>
      </c>
      <c r="E85" s="591">
        <f>'1.2.sz.mell. _köt'!E84+'1.3.sz.mell._önk'!E84+'1.4.sz.mell._állig'!E84</f>
        <v>0</v>
      </c>
      <c r="F85" s="1040">
        <f>'1.2.sz.mell. _köt'!F85+'1.3.sz.mell._önk'!H85+'1.4.sz.mell._állig'!H85</f>
        <v>100</v>
      </c>
      <c r="G85" s="1040">
        <v>168</v>
      </c>
      <c r="H85" s="1289">
        <f t="shared" si="1"/>
        <v>1.68</v>
      </c>
    </row>
    <row r="86" spans="1:8" ht="12" customHeight="1" thickBot="1" x14ac:dyDescent="0.3">
      <c r="A86" s="21" t="s">
        <v>59</v>
      </c>
      <c r="B86" s="117" t="s">
        <v>173</v>
      </c>
      <c r="C86" s="587">
        <f>'1.2.sz.mell. _köt'!C86+'1.3.sz.mell._önk'!C85+'1.4.sz.mell._állig'!C85</f>
        <v>0</v>
      </c>
      <c r="D86" s="588">
        <f>'1.2.sz.mell. _köt'!D86+'1.3.sz.mell._önk'!D85+'1.4.sz.mell._állig'!D85</f>
        <v>1500</v>
      </c>
      <c r="E86" s="1033">
        <f>'1.2.sz.mell. _köt'!E86+'1.3.sz.mell._önk'!E85+'1.4.sz.mell._állig'!E85</f>
        <v>306</v>
      </c>
      <c r="F86" s="1041">
        <f>'1.2.sz.mell. _köt'!F86+'1.3.sz.mell._önk'!H85+'1.4.sz.mell._állig'!H85</f>
        <v>306</v>
      </c>
      <c r="G86" s="1041">
        <v>288</v>
      </c>
      <c r="H86" s="1256">
        <f t="shared" si="1"/>
        <v>0.94117647058823528</v>
      </c>
    </row>
    <row r="87" spans="1:8" ht="12" customHeight="1" thickBot="1" x14ac:dyDescent="0.3">
      <c r="A87" s="23" t="s">
        <v>856</v>
      </c>
      <c r="B87" s="30" t="s">
        <v>280</v>
      </c>
      <c r="C87" s="566">
        <f>+C88+C89+C90</f>
        <v>17724</v>
      </c>
      <c r="D87" s="562">
        <f>+D88+D89+D90</f>
        <v>18175</v>
      </c>
      <c r="E87" s="561">
        <f>+E88+E89+E90</f>
        <v>46469</v>
      </c>
      <c r="F87" s="607">
        <f>+F88+F89+F90</f>
        <v>143030</v>
      </c>
      <c r="G87" s="607">
        <v>110861</v>
      </c>
      <c r="H87" s="1232">
        <f t="shared" si="1"/>
        <v>0.77508914213801305</v>
      </c>
    </row>
    <row r="88" spans="1:8" ht="12" customHeight="1" x14ac:dyDescent="0.25">
      <c r="A88" s="18" t="s">
        <v>46</v>
      </c>
      <c r="B88" s="9" t="s">
        <v>250</v>
      </c>
      <c r="C88" s="589">
        <f>'1.2.sz.mell. _köt'!C88+'1.3.sz.mell._önk'!C87+'1.4.sz.mell._állig'!C87</f>
        <v>14406</v>
      </c>
      <c r="D88" s="590">
        <f>'1.2.sz.mell. _köt'!D88+'1.3.sz.mell._önk'!D87+'1.4.sz.mell._állig'!D87</f>
        <v>10099</v>
      </c>
      <c r="E88" s="625">
        <f>'1.2.sz.mell. _köt'!E88+'1.3.sz.mell._önk'!E87+'1.4.sz.mell._állig'!E87</f>
        <v>9602</v>
      </c>
      <c r="F88" s="1042">
        <f>'1.2.sz.mell. _köt'!F88+'1.3.sz.mell._önk'!H87+'1.4.sz.mell._állig'!H87</f>
        <v>26046</v>
      </c>
      <c r="G88" s="1042">
        <v>5370</v>
      </c>
      <c r="H88" s="1240">
        <f t="shared" si="1"/>
        <v>0.20617369269753513</v>
      </c>
    </row>
    <row r="89" spans="1:8" ht="12" customHeight="1" x14ac:dyDescent="0.25">
      <c r="A89" s="18" t="s">
        <v>47</v>
      </c>
      <c r="B89" s="14" t="s">
        <v>148</v>
      </c>
      <c r="C89" s="583">
        <f>'1.2.sz.mell. _köt'!C89+'1.3.sz.mell._önk'!C88+'1.4.sz.mell._állig'!C88</f>
        <v>3307</v>
      </c>
      <c r="D89" s="565">
        <f>'1.2.sz.mell. _köt'!D89+'1.3.sz.mell._önk'!D88+'1.4.sz.mell._állig'!D88</f>
        <v>8076</v>
      </c>
      <c r="E89" s="564">
        <f>'1.2.sz.mell. _köt'!E89+'1.3.sz.mell._önk'!E88+'1.4.sz.mell._állig'!E88</f>
        <v>36867</v>
      </c>
      <c r="F89" s="805">
        <f>'1.2.sz.mell. _köt'!F89+'1.3.sz.mell._önk'!H88+'1.4.sz.mell._állig'!H88</f>
        <v>114931</v>
      </c>
      <c r="G89" s="805">
        <v>103413</v>
      </c>
      <c r="H89" s="1236">
        <f t="shared" si="1"/>
        <v>0.89978334826983142</v>
      </c>
    </row>
    <row r="90" spans="1:8" ht="12" customHeight="1" x14ac:dyDescent="0.25">
      <c r="A90" s="18" t="s">
        <v>48</v>
      </c>
      <c r="B90" s="246" t="s">
        <v>281</v>
      </c>
      <c r="C90" s="564">
        <f>'1.2.sz.mell. _köt'!C90+'1.3.sz.mell._önk'!C89+'1.4.sz.mell._állig'!C89</f>
        <v>11</v>
      </c>
      <c r="D90" s="565">
        <f>'1.2.sz.mell. _köt'!D90+'1.3.sz.mell._önk'!D89+'1.4.sz.mell._állig'!D89</f>
        <v>0</v>
      </c>
      <c r="E90" s="564">
        <f>'1.2.sz.mell. _köt'!E90+'1.3.sz.mell._önk'!E89+'1.4.sz.mell._állig'!E89</f>
        <v>0</v>
      </c>
      <c r="F90" s="805">
        <f>'1.2.sz.mell. _köt'!F90+'1.3.sz.mell._önk'!H89+'1.4.sz.mell._állig'!H89</f>
        <v>2053</v>
      </c>
      <c r="G90" s="805">
        <v>2078</v>
      </c>
      <c r="H90" s="1236">
        <f t="shared" si="1"/>
        <v>1.0121773015099853</v>
      </c>
    </row>
    <row r="91" spans="1:8" ht="12" customHeight="1" x14ac:dyDescent="0.25">
      <c r="A91" s="18" t="s">
        <v>49</v>
      </c>
      <c r="B91" s="246" t="s">
        <v>347</v>
      </c>
      <c r="C91" s="564">
        <f>'1.2.sz.mell. _köt'!C91+'1.3.sz.mell._önk'!C90+'1.4.sz.mell._állig'!C90</f>
        <v>0</v>
      </c>
      <c r="D91" s="565">
        <f>'1.2.sz.mell. _köt'!D91+'1.3.sz.mell._önk'!D90+'1.4.sz.mell._állig'!D90</f>
        <v>0</v>
      </c>
      <c r="E91" s="564">
        <f>'1.2.sz.mell. _köt'!E91+'1.3.sz.mell._önk'!E90+'1.4.sz.mell._állig'!E90</f>
        <v>0</v>
      </c>
      <c r="F91" s="805">
        <f>'1.2.sz.mell. _köt'!F91+'1.3.sz.mell._önk'!H90+'1.4.sz.mell._állig'!H90</f>
        <v>209</v>
      </c>
      <c r="G91" s="805">
        <v>209</v>
      </c>
      <c r="H91" s="1236">
        <f t="shared" si="1"/>
        <v>1</v>
      </c>
    </row>
    <row r="92" spans="1:8" ht="12" customHeight="1" x14ac:dyDescent="0.25">
      <c r="A92" s="18" t="s">
        <v>50</v>
      </c>
      <c r="B92" s="246" t="s">
        <v>282</v>
      </c>
      <c r="C92" s="564">
        <f>'1.2.sz.mell. _köt'!C92+'1.3.sz.mell._önk'!C91+'1.4.sz.mell._állig'!C91</f>
        <v>0</v>
      </c>
      <c r="D92" s="565">
        <f>'1.2.sz.mell. _köt'!D92+'1.3.sz.mell._önk'!D91+'1.4.sz.mell._állig'!D91</f>
        <v>0</v>
      </c>
      <c r="E92" s="564">
        <f>'1.2.sz.mell. _köt'!E92+'1.3.sz.mell._önk'!E91+'1.4.sz.mell._állig'!E91</f>
        <v>0</v>
      </c>
      <c r="F92" s="805">
        <f>'1.2.sz.mell. _köt'!F92+'1.3.sz.mell._önk'!H91+'1.4.sz.mell._állig'!H91</f>
        <v>0</v>
      </c>
      <c r="G92" s="805">
        <f>'1.2.sz.mell. _köt'!H92+'1.3.sz.mell._önk'!I91+'1.4.sz.mell._állig'!I91</f>
        <v>0</v>
      </c>
      <c r="H92" s="1236"/>
    </row>
    <row r="93" spans="1:8" x14ac:dyDescent="0.25">
      <c r="A93" s="18" t="s">
        <v>58</v>
      </c>
      <c r="B93" s="246" t="s">
        <v>283</v>
      </c>
      <c r="C93" s="564">
        <f>'1.2.sz.mell. _köt'!C93+'1.3.sz.mell._önk'!C92+'1.4.sz.mell._állig'!C92</f>
        <v>11</v>
      </c>
      <c r="D93" s="565">
        <f>'1.2.sz.mell. _köt'!D93+'1.3.sz.mell._önk'!D92+'1.4.sz.mell._állig'!D92</f>
        <v>0</v>
      </c>
      <c r="E93" s="564">
        <f>'1.2.sz.mell. _köt'!E93+'1.3.sz.mell._önk'!E92+'1.4.sz.mell._állig'!E92</f>
        <v>0</v>
      </c>
      <c r="F93" s="805">
        <f>'1.2.sz.mell. _köt'!F93+'1.3.sz.mell._önk'!H92+'1.4.sz.mell._állig'!H92</f>
        <v>0</v>
      </c>
      <c r="G93" s="805">
        <f>'1.2.sz.mell. _köt'!H93+'1.3.sz.mell._önk'!I92+'1.4.sz.mell._állig'!I92</f>
        <v>0</v>
      </c>
      <c r="H93" s="1236"/>
    </row>
    <row r="94" spans="1:8" ht="12" customHeight="1" x14ac:dyDescent="0.25">
      <c r="A94" s="18" t="s">
        <v>60</v>
      </c>
      <c r="B94" s="347" t="s">
        <v>254</v>
      </c>
      <c r="C94" s="564">
        <f>'1.2.sz.mell. _köt'!C94+'1.3.sz.mell._önk'!C93+'1.4.sz.mell._állig'!C93</f>
        <v>0</v>
      </c>
      <c r="D94" s="565">
        <f>'1.2.sz.mell. _köt'!D94+'1.3.sz.mell._önk'!D93+'1.4.sz.mell._állig'!D93</f>
        <v>0</v>
      </c>
      <c r="E94" s="564">
        <f>'1.2.sz.mell. _köt'!E94+'1.3.sz.mell._önk'!E93+'1.4.sz.mell._állig'!E93</f>
        <v>0</v>
      </c>
      <c r="F94" s="805">
        <f>'1.2.sz.mell. _köt'!F94+'1.3.sz.mell._önk'!H93+'1.4.sz.mell._állig'!H93</f>
        <v>0</v>
      </c>
      <c r="G94" s="805">
        <f>'1.2.sz.mell. _köt'!H94+'1.3.sz.mell._önk'!I93+'1.4.sz.mell._állig'!I93</f>
        <v>0</v>
      </c>
      <c r="H94" s="1236"/>
    </row>
    <row r="95" spans="1:8" ht="12" customHeight="1" x14ac:dyDescent="0.25">
      <c r="A95" s="18" t="s">
        <v>149</v>
      </c>
      <c r="B95" s="347" t="s">
        <v>255</v>
      </c>
      <c r="C95" s="564">
        <f>'1.2.sz.mell. _köt'!C95+'1.3.sz.mell._önk'!C94+'1.4.sz.mell._állig'!C94</f>
        <v>0</v>
      </c>
      <c r="D95" s="565">
        <f>'1.2.sz.mell. _köt'!D95+'1.3.sz.mell._önk'!D94+'1.4.sz.mell._állig'!D94</f>
        <v>0</v>
      </c>
      <c r="E95" s="564">
        <f>'1.2.sz.mell. _köt'!E95+'1.3.sz.mell._önk'!E94+'1.4.sz.mell._állig'!E94</f>
        <v>0</v>
      </c>
      <c r="F95" s="805">
        <f>'1.2.sz.mell. _köt'!F95+'1.3.sz.mell._önk'!H94+'1.4.sz.mell._állig'!H94</f>
        <v>0</v>
      </c>
      <c r="G95" s="805">
        <f>'1.2.sz.mell. _köt'!H95+'1.3.sz.mell._önk'!I94+'1.4.sz.mell._állig'!I94</f>
        <v>0</v>
      </c>
      <c r="H95" s="1236"/>
    </row>
    <row r="96" spans="1:8" ht="12" customHeight="1" x14ac:dyDescent="0.25">
      <c r="A96" s="18" t="s">
        <v>150</v>
      </c>
      <c r="B96" s="347" t="s">
        <v>253</v>
      </c>
      <c r="C96" s="564">
        <f>'1.2.sz.mell. _köt'!C96+'1.3.sz.mell._önk'!C95+'1.4.sz.mell._állig'!C95</f>
        <v>0</v>
      </c>
      <c r="D96" s="565">
        <f>'1.2.sz.mell. _köt'!D96+'1.3.sz.mell._önk'!D95+'1.4.sz.mell._állig'!D95</f>
        <v>0</v>
      </c>
      <c r="E96" s="564">
        <f>'1.2.sz.mell. _köt'!E96+'1.3.sz.mell._önk'!E95+'1.4.sz.mell._állig'!E95</f>
        <v>0</v>
      </c>
      <c r="F96" s="805">
        <f>'1.2.sz.mell. _köt'!F96+'1.3.sz.mell._önk'!H95+'1.4.sz.mell._állig'!H95</f>
        <v>1844</v>
      </c>
      <c r="G96" s="805">
        <v>1869</v>
      </c>
      <c r="H96" s="1236">
        <f t="shared" si="1"/>
        <v>1.0135574837310195</v>
      </c>
    </row>
    <row r="97" spans="1:8" ht="24" customHeight="1" thickBot="1" x14ac:dyDescent="0.3">
      <c r="A97" s="15" t="s">
        <v>151</v>
      </c>
      <c r="B97" s="348" t="s">
        <v>252</v>
      </c>
      <c r="C97" s="591">
        <f>'1.2.sz.mell. _köt'!C97+'1.3.sz.mell._önk'!C96+'1.4.sz.mell._állig'!C96</f>
        <v>0</v>
      </c>
      <c r="D97" s="585">
        <f>'1.2.sz.mell. _köt'!D97+'1.3.sz.mell._önk'!D96+'1.4.sz.mell._állig'!D96</f>
        <v>0</v>
      </c>
      <c r="E97" s="591">
        <f>'1.2.sz.mell. _köt'!E97+'1.3.sz.mell._önk'!E96+'1.4.sz.mell._állig'!E96</f>
        <v>0</v>
      </c>
      <c r="F97" s="1040">
        <f>'1.2.sz.mell. _köt'!F97+'1.3.sz.mell._önk'!H96+'1.4.sz.mell._állig'!H96</f>
        <v>0</v>
      </c>
      <c r="G97" s="1040">
        <f>'1.2.sz.mell. _köt'!H97+'1.3.sz.mell._önk'!I96+'1.4.sz.mell._állig'!I96</f>
        <v>0</v>
      </c>
      <c r="H97" s="1289"/>
    </row>
    <row r="98" spans="1:8" ht="12" customHeight="1" thickBot="1" x14ac:dyDescent="0.3">
      <c r="A98" s="23" t="s">
        <v>857</v>
      </c>
      <c r="B98" s="95" t="s">
        <v>284</v>
      </c>
      <c r="C98" s="566">
        <f>+C99+C100</f>
        <v>0</v>
      </c>
      <c r="D98" s="562">
        <f>+D99+D100</f>
        <v>15701</v>
      </c>
      <c r="E98" s="561">
        <f>+E99+E100</f>
        <v>6592</v>
      </c>
      <c r="F98" s="607">
        <f>+F99+F100</f>
        <v>23261</v>
      </c>
      <c r="G98" s="607">
        <f>+G99+G100</f>
        <v>0</v>
      </c>
      <c r="H98" s="1232">
        <f t="shared" si="1"/>
        <v>0</v>
      </c>
    </row>
    <row r="99" spans="1:8" ht="12" customHeight="1" x14ac:dyDescent="0.25">
      <c r="A99" s="18" t="s">
        <v>20</v>
      </c>
      <c r="B99" s="11" t="s">
        <v>3</v>
      </c>
      <c r="C99" s="589">
        <f>'1.2.sz.mell. _köt'!C99+'1.3.sz.mell._önk'!C98+'1.4.sz.mell._állig'!C98</f>
        <v>0</v>
      </c>
      <c r="D99" s="590">
        <f>'1.2.sz.mell. _köt'!D99+'1.3.sz.mell._önk'!D98+'1.4.sz.mell._állig'!D98</f>
        <v>12884</v>
      </c>
      <c r="E99" s="625">
        <f>'1.2.sz.mell. _köt'!E99+'1.3.sz.mell._önk'!E98+'1.4.sz.mell._állig'!E98</f>
        <v>3346</v>
      </c>
      <c r="F99" s="1042">
        <f>'1.2.sz.mell. _köt'!F99+'1.3.sz.mell._önk'!H98+'1.4.sz.mell._állig'!H98</f>
        <v>18296</v>
      </c>
      <c r="G99" s="1042">
        <f>'1.2.sz.mell. _köt'!H99+'1.3.sz.mell._önk'!I98+'1.4.sz.mell._állig'!I98</f>
        <v>0</v>
      </c>
      <c r="H99" s="1240">
        <f t="shared" si="1"/>
        <v>0</v>
      </c>
    </row>
    <row r="100" spans="1:8" ht="12" customHeight="1" thickBot="1" x14ac:dyDescent="0.3">
      <c r="A100" s="19" t="s">
        <v>21</v>
      </c>
      <c r="B100" s="14" t="s">
        <v>4</v>
      </c>
      <c r="C100" s="584">
        <f>'1.2.sz.mell. _köt'!C100+'1.3.sz.mell._önk'!C99+'1.4.sz.mell._állig'!C99</f>
        <v>0</v>
      </c>
      <c r="D100" s="585">
        <f>'1.2.sz.mell. _köt'!D100+'1.3.sz.mell._önk'!D99+'1.4.sz.mell._állig'!D99</f>
        <v>2817</v>
      </c>
      <c r="E100" s="591">
        <f>'1.2.sz.mell. _köt'!E100+'1.3.sz.mell._önk'!E99+'1.4.sz.mell._állig'!E99</f>
        <v>3246</v>
      </c>
      <c r="F100" s="1040">
        <f>'1.2.sz.mell. _köt'!F100+'1.3.sz.mell._önk'!H99+'1.4.sz.mell._állig'!H99</f>
        <v>4965</v>
      </c>
      <c r="G100" s="1040">
        <f>'1.2.sz.mell. _köt'!H100+'1.3.sz.mell._önk'!I99+'1.4.sz.mell._állig'!I99</f>
        <v>0</v>
      </c>
      <c r="H100" s="1289">
        <f t="shared" si="1"/>
        <v>0</v>
      </c>
    </row>
    <row r="101" spans="1:8" s="244" customFormat="1" ht="12" customHeight="1" thickBot="1" x14ac:dyDescent="0.25">
      <c r="A101" s="250" t="s">
        <v>858</v>
      </c>
      <c r="B101" s="245" t="s">
        <v>256</v>
      </c>
      <c r="C101" s="592"/>
      <c r="D101" s="593"/>
      <c r="E101" s="592"/>
      <c r="F101" s="792"/>
      <c r="G101" s="792"/>
      <c r="H101" s="1229"/>
    </row>
    <row r="102" spans="1:8" ht="12" customHeight="1" thickBot="1" x14ac:dyDescent="0.3">
      <c r="A102" s="242" t="s">
        <v>859</v>
      </c>
      <c r="B102" s="243" t="s">
        <v>86</v>
      </c>
      <c r="C102" s="558">
        <f>+C73+C87+C98+C101</f>
        <v>280362</v>
      </c>
      <c r="D102" s="559">
        <f>+D73+D87+D98+D101</f>
        <v>341543</v>
      </c>
      <c r="E102" s="1022">
        <f>+E73+E87+E98+E101</f>
        <v>318813</v>
      </c>
      <c r="F102" s="1026">
        <f>+F73+F87+F98+F101</f>
        <v>485806</v>
      </c>
      <c r="G102" s="1026">
        <f>+G73+G87+G98+G101</f>
        <v>396740</v>
      </c>
      <c r="H102" s="1254">
        <f t="shared" si="1"/>
        <v>0.81666344178540407</v>
      </c>
    </row>
    <row r="103" spans="1:8" ht="12" customHeight="1" thickBot="1" x14ac:dyDescent="0.3">
      <c r="A103" s="250" t="s">
        <v>860</v>
      </c>
      <c r="B103" s="245" t="s">
        <v>348</v>
      </c>
      <c r="C103" s="566">
        <f>+C104+C112</f>
        <v>0</v>
      </c>
      <c r="D103" s="562">
        <f>+D104+D112</f>
        <v>0</v>
      </c>
      <c r="E103" s="561">
        <f>+E104+E112</f>
        <v>0</v>
      </c>
      <c r="F103" s="607">
        <f>+F104+F112</f>
        <v>5704</v>
      </c>
      <c r="G103" s="607">
        <f>+G104+G112</f>
        <v>0</v>
      </c>
      <c r="H103" s="1232">
        <f t="shared" si="1"/>
        <v>0</v>
      </c>
    </row>
    <row r="104" spans="1:8" ht="12" customHeight="1" thickBot="1" x14ac:dyDescent="0.3">
      <c r="A104" s="265" t="s">
        <v>27</v>
      </c>
      <c r="B104" s="349" t="s">
        <v>349</v>
      </c>
      <c r="C104" s="594">
        <f>+C105+C106+C107+C108+C109+C110+C111</f>
        <v>0</v>
      </c>
      <c r="D104" s="595">
        <f>+D105+D106+D107+D108+D109+D110+D111</f>
        <v>0</v>
      </c>
      <c r="E104" s="1034">
        <f>+E105+E106+E107+E108+E109+E110+E111</f>
        <v>0</v>
      </c>
      <c r="F104" s="1043">
        <f>+F105+F106+F107+F108+F109+F110+F111</f>
        <v>5704</v>
      </c>
      <c r="G104" s="1043">
        <f>+G105+G106+G107+G108+G109+G110+G111</f>
        <v>0</v>
      </c>
      <c r="H104" s="1290">
        <f t="shared" si="1"/>
        <v>0</v>
      </c>
    </row>
    <row r="105" spans="1:8" ht="12" customHeight="1" x14ac:dyDescent="0.25">
      <c r="A105" s="258" t="s">
        <v>30</v>
      </c>
      <c r="B105" s="259" t="s">
        <v>257</v>
      </c>
      <c r="C105" s="596">
        <f>'1.2.sz.mell. _köt'!C105+'1.3.sz.mell._önk'!C104+'1.4.sz.mell._állig'!C104</f>
        <v>0</v>
      </c>
      <c r="D105" s="807">
        <f>'1.2.sz.mell. _köt'!D105+'1.3.sz.mell._önk'!D104+'1.4.sz.mell._állig'!D104</f>
        <v>0</v>
      </c>
      <c r="E105" s="1035"/>
      <c r="F105" s="1044"/>
      <c r="G105" s="1044"/>
      <c r="H105" s="1291"/>
    </row>
    <row r="106" spans="1:8" ht="12" customHeight="1" x14ac:dyDescent="0.25">
      <c r="A106" s="251" t="s">
        <v>31</v>
      </c>
      <c r="B106" s="246" t="s">
        <v>258</v>
      </c>
      <c r="C106" s="598">
        <f>'1.2.sz.mell. _köt'!C106+'1.3.sz.mell._önk'!C105+'1.4.sz.mell._állig'!C105</f>
        <v>0</v>
      </c>
      <c r="D106" s="808">
        <f>'1.2.sz.mell. _köt'!D106+'1.3.sz.mell._önk'!D105+'1.4.sz.mell._állig'!D105</f>
        <v>0</v>
      </c>
      <c r="E106" s="1036"/>
      <c r="F106" s="1045"/>
      <c r="G106" s="1045"/>
      <c r="H106" s="1292"/>
    </row>
    <row r="107" spans="1:8" ht="12" customHeight="1" x14ac:dyDescent="0.25">
      <c r="A107" s="251" t="s">
        <v>32</v>
      </c>
      <c r="B107" s="246" t="s">
        <v>259</v>
      </c>
      <c r="C107" s="598">
        <f>'1.2.sz.mell. _köt'!C107+'1.3.sz.mell._önk'!C106+'1.4.sz.mell._állig'!C106</f>
        <v>0</v>
      </c>
      <c r="D107" s="808">
        <f>'1.2.sz.mell. _köt'!D107+'1.3.sz.mell._önk'!D106+'1.4.sz.mell._állig'!D106</f>
        <v>0</v>
      </c>
      <c r="E107" s="1036"/>
      <c r="F107" s="1045"/>
      <c r="G107" s="1045"/>
      <c r="H107" s="1292"/>
    </row>
    <row r="108" spans="1:8" ht="12" customHeight="1" x14ac:dyDescent="0.25">
      <c r="A108" s="251" t="s">
        <v>33</v>
      </c>
      <c r="B108" s="246" t="s">
        <v>260</v>
      </c>
      <c r="C108" s="598">
        <f>'1.2.sz.mell. _köt'!C108+'1.3.sz.mell._önk'!C107+'1.4.sz.mell._állig'!C107</f>
        <v>0</v>
      </c>
      <c r="D108" s="808">
        <f>'1.2.sz.mell. _köt'!D108+'1.3.sz.mell._önk'!D107+'1.4.sz.mell._állig'!D107</f>
        <v>0</v>
      </c>
      <c r="E108" s="1036"/>
      <c r="F108" s="1045"/>
      <c r="G108" s="1045"/>
      <c r="H108" s="1292"/>
    </row>
    <row r="109" spans="1:8" ht="12" customHeight="1" x14ac:dyDescent="0.25">
      <c r="A109" s="251" t="s">
        <v>134</v>
      </c>
      <c r="B109" s="246" t="s">
        <v>261</v>
      </c>
      <c r="C109" s="598">
        <f>'1.2.sz.mell. _köt'!C109+'1.3.sz.mell._önk'!C108+'1.4.sz.mell._állig'!C108</f>
        <v>0</v>
      </c>
      <c r="D109" s="808">
        <f>'1.2.sz.mell. _köt'!D109+'1.3.sz.mell._önk'!D108+'1.4.sz.mell._állig'!D108</f>
        <v>0</v>
      </c>
      <c r="E109" s="1036"/>
      <c r="F109" s="1045"/>
      <c r="G109" s="1045"/>
      <c r="H109" s="1292"/>
    </row>
    <row r="110" spans="1:8" ht="12" customHeight="1" x14ac:dyDescent="0.25">
      <c r="A110" s="251" t="s">
        <v>152</v>
      </c>
      <c r="B110" s="246" t="s">
        <v>262</v>
      </c>
      <c r="C110" s="598">
        <f>'1.2.sz.mell. _köt'!C110+'1.3.sz.mell._önk'!C109+'1.4.sz.mell._állig'!C109</f>
        <v>0</v>
      </c>
      <c r="D110" s="808">
        <f>'1.2.sz.mell. _köt'!D110+'1.3.sz.mell._önk'!D109+'1.4.sz.mell._állig'!D109</f>
        <v>0</v>
      </c>
      <c r="E110" s="1036"/>
      <c r="F110" s="1045"/>
      <c r="G110" s="1045"/>
      <c r="H110" s="1292"/>
    </row>
    <row r="111" spans="1:8" ht="12" customHeight="1" thickBot="1" x14ac:dyDescent="0.3">
      <c r="A111" s="260" t="s">
        <v>153</v>
      </c>
      <c r="B111" s="261" t="s">
        <v>1079</v>
      </c>
      <c r="C111" s="600">
        <f>'1.2.sz.mell. _köt'!C111+'1.3.sz.mell._önk'!C110+'1.4.sz.mell._állig'!C110</f>
        <v>0</v>
      </c>
      <c r="D111" s="813">
        <f>'1.2.sz.mell. _köt'!D111+'1.3.sz.mell._önk'!D110+'1.4.sz.mell._állig'!D110</f>
        <v>0</v>
      </c>
      <c r="E111" s="1037"/>
      <c r="F111" s="1046">
        <f>'9. sz. mell'!G96</f>
        <v>5704</v>
      </c>
      <c r="G111" s="1046"/>
      <c r="H111" s="1293">
        <f t="shared" si="1"/>
        <v>0</v>
      </c>
    </row>
    <row r="112" spans="1:8" ht="12" customHeight="1" thickBot="1" x14ac:dyDescent="0.3">
      <c r="A112" s="265" t="s">
        <v>28</v>
      </c>
      <c r="B112" s="349" t="s">
        <v>350</v>
      </c>
      <c r="C112" s="594">
        <f>+C113+C114+C115+C116+C117+C118+C119+C120</f>
        <v>0</v>
      </c>
      <c r="D112" s="595">
        <f>+D113+D114+D115+D116+D117+D118+D119+D120</f>
        <v>0</v>
      </c>
      <c r="E112" s="1034">
        <f>+E113+E114+E115+E116+E117+E118+E119+E120</f>
        <v>0</v>
      </c>
      <c r="F112" s="1043">
        <f>+F113+F114+F115+F116+F117+F118+F119+F120</f>
        <v>0</v>
      </c>
      <c r="G112" s="1043">
        <f>+G113+G114+G115+G116+G117+G118+G119+G120</f>
        <v>0</v>
      </c>
      <c r="H112" s="1290"/>
    </row>
    <row r="113" spans="1:10" ht="12" customHeight="1" x14ac:dyDescent="0.25">
      <c r="A113" s="258" t="s">
        <v>36</v>
      </c>
      <c r="B113" s="259" t="s">
        <v>257</v>
      </c>
      <c r="C113" s="596">
        <f>'1.2.sz.mell. _köt'!C113+'1.3.sz.mell._önk'!C112+'1.4.sz.mell._állig'!C112</f>
        <v>0</v>
      </c>
      <c r="D113" s="807">
        <f>'1.2.sz.mell. _köt'!D113+'1.3.sz.mell._önk'!D112+'1.4.sz.mell._állig'!D112</f>
        <v>0</v>
      </c>
      <c r="E113" s="1035"/>
      <c r="F113" s="1044"/>
      <c r="G113" s="1044"/>
      <c r="H113" s="1291"/>
    </row>
    <row r="114" spans="1:10" ht="12" customHeight="1" x14ac:dyDescent="0.25">
      <c r="A114" s="251" t="s">
        <v>37</v>
      </c>
      <c r="B114" s="246" t="s">
        <v>264</v>
      </c>
      <c r="C114" s="598">
        <f>'1.2.sz.mell. _köt'!C114+'1.3.sz.mell._önk'!C113+'1.4.sz.mell._állig'!C113</f>
        <v>0</v>
      </c>
      <c r="D114" s="808">
        <f>'1.2.sz.mell. _köt'!D114+'1.3.sz.mell._önk'!D113+'1.4.sz.mell._állig'!D113</f>
        <v>0</v>
      </c>
      <c r="E114" s="1036"/>
      <c r="F114" s="1045"/>
      <c r="G114" s="1045"/>
      <c r="H114" s="1292"/>
    </row>
    <row r="115" spans="1:10" ht="12" customHeight="1" x14ac:dyDescent="0.25">
      <c r="A115" s="251" t="s">
        <v>38</v>
      </c>
      <c r="B115" s="246" t="s">
        <v>259</v>
      </c>
      <c r="C115" s="598">
        <f>'1.2.sz.mell. _köt'!C115+'1.3.sz.mell._önk'!C114+'1.4.sz.mell._állig'!C114</f>
        <v>0</v>
      </c>
      <c r="D115" s="808">
        <f>'1.2.sz.mell. _köt'!D115+'1.3.sz.mell._önk'!D114+'1.4.sz.mell._állig'!D114</f>
        <v>0</v>
      </c>
      <c r="E115" s="1036"/>
      <c r="F115" s="1045"/>
      <c r="G115" s="1045"/>
      <c r="H115" s="1292"/>
    </row>
    <row r="116" spans="1:10" ht="12" customHeight="1" x14ac:dyDescent="0.25">
      <c r="A116" s="251" t="s">
        <v>39</v>
      </c>
      <c r="B116" s="246" t="s">
        <v>260</v>
      </c>
      <c r="C116" s="598">
        <f>'1.2.sz.mell. _köt'!C116+'1.3.sz.mell._önk'!C115+'1.4.sz.mell._állig'!C115</f>
        <v>0</v>
      </c>
      <c r="D116" s="808">
        <f>'1.2.sz.mell. _köt'!D116+'1.3.sz.mell._önk'!D115+'1.4.sz.mell._állig'!D115</f>
        <v>0</v>
      </c>
      <c r="E116" s="1036"/>
      <c r="F116" s="1045"/>
      <c r="G116" s="1045"/>
      <c r="H116" s="1292"/>
    </row>
    <row r="117" spans="1:10" ht="12" customHeight="1" x14ac:dyDescent="0.25">
      <c r="A117" s="251" t="s">
        <v>135</v>
      </c>
      <c r="B117" s="246" t="s">
        <v>261</v>
      </c>
      <c r="C117" s="598">
        <f>'1.2.sz.mell. _köt'!C117+'1.3.sz.mell._önk'!C116+'1.4.sz.mell._állig'!C116</f>
        <v>0</v>
      </c>
      <c r="D117" s="808">
        <f>'1.2.sz.mell. _köt'!D117+'1.3.sz.mell._önk'!D116+'1.4.sz.mell._állig'!D116</f>
        <v>0</v>
      </c>
      <c r="E117" s="1036"/>
      <c r="F117" s="1045"/>
      <c r="G117" s="1045"/>
      <c r="H117" s="1292"/>
    </row>
    <row r="118" spans="1:10" ht="12" customHeight="1" x14ac:dyDescent="0.25">
      <c r="A118" s="251" t="s">
        <v>154</v>
      </c>
      <c r="B118" s="246" t="s">
        <v>265</v>
      </c>
      <c r="C118" s="598">
        <f>'1.2.sz.mell. _köt'!C118+'1.3.sz.mell._önk'!C117+'1.4.sz.mell._állig'!C117</f>
        <v>0</v>
      </c>
      <c r="D118" s="808">
        <f>'1.2.sz.mell. _köt'!D118+'1.3.sz.mell._önk'!D117+'1.4.sz.mell._állig'!D117</f>
        <v>0</v>
      </c>
      <c r="E118" s="1036"/>
      <c r="F118" s="1045"/>
      <c r="G118" s="1045"/>
      <c r="H118" s="1292"/>
    </row>
    <row r="119" spans="1:10" ht="12" customHeight="1" x14ac:dyDescent="0.25">
      <c r="A119" s="251" t="s">
        <v>155</v>
      </c>
      <c r="B119" s="246" t="s">
        <v>263</v>
      </c>
      <c r="C119" s="598">
        <f>'1.2.sz.mell. _köt'!C119+'1.3.sz.mell._önk'!C118+'1.4.sz.mell._állig'!C118</f>
        <v>0</v>
      </c>
      <c r="D119" s="808">
        <f>'1.2.sz.mell. _köt'!D119+'1.3.sz.mell._önk'!D118+'1.4.sz.mell._állig'!D118</f>
        <v>0</v>
      </c>
      <c r="E119" s="1036"/>
      <c r="F119" s="1045"/>
      <c r="G119" s="1045"/>
      <c r="H119" s="1292"/>
    </row>
    <row r="120" spans="1:10" ht="12" customHeight="1" thickBot="1" x14ac:dyDescent="0.3">
      <c r="A120" s="260" t="s">
        <v>156</v>
      </c>
      <c r="B120" s="261" t="s">
        <v>351</v>
      </c>
      <c r="C120" s="600">
        <f>'1.2.sz.mell. _köt'!C120+'1.3.sz.mell._önk'!C119+'1.4.sz.mell._állig'!C119</f>
        <v>0</v>
      </c>
      <c r="D120" s="813">
        <f>'1.2.sz.mell. _köt'!D120+'1.3.sz.mell._önk'!D119+'1.4.sz.mell._állig'!D119</f>
        <v>0</v>
      </c>
      <c r="E120" s="1037"/>
      <c r="F120" s="1046"/>
      <c r="G120" s="1046"/>
      <c r="H120" s="1293"/>
    </row>
    <row r="121" spans="1:10" ht="12" customHeight="1" thickBot="1" x14ac:dyDescent="0.3">
      <c r="A121" s="250" t="s">
        <v>861</v>
      </c>
      <c r="B121" s="345" t="s">
        <v>266</v>
      </c>
      <c r="C121" s="602">
        <f>+C102+C103</f>
        <v>280362</v>
      </c>
      <c r="D121" s="814">
        <f>+D102+D103</f>
        <v>341543</v>
      </c>
      <c r="E121" s="1038">
        <f>+E102+E103</f>
        <v>318813</v>
      </c>
      <c r="F121" s="608">
        <f>+F102+F103</f>
        <v>491510</v>
      </c>
      <c r="G121" s="608">
        <f>+G102+G103</f>
        <v>396740</v>
      </c>
      <c r="H121" s="1294">
        <f t="shared" si="1"/>
        <v>0.80718601859575589</v>
      </c>
    </row>
    <row r="122" spans="1:10" ht="15" customHeight="1" thickBot="1" x14ac:dyDescent="0.3">
      <c r="A122" s="250" t="s">
        <v>862</v>
      </c>
      <c r="B122" s="345" t="s">
        <v>267</v>
      </c>
      <c r="C122" s="598">
        <f>'1.2.sz.mell. _köt'!C122+'1.3.sz.mell._önk'!C121+'1.4.sz.mell._állig'!C121</f>
        <v>6015</v>
      </c>
      <c r="D122" s="808">
        <f>'1.2.sz.mell. _köt'!D122+'1.3.sz.mell._önk'!D121+'1.4.sz.mell._állig'!D121</f>
        <v>0</v>
      </c>
      <c r="E122" s="1039"/>
      <c r="F122" s="1047"/>
      <c r="G122" s="1047"/>
      <c r="H122" s="1295"/>
      <c r="I122" s="96"/>
      <c r="J122" s="96"/>
    </row>
    <row r="123" spans="1:10" s="1" customFormat="1" ht="12.95" customHeight="1" thickBot="1" x14ac:dyDescent="0.25">
      <c r="A123" s="262" t="s">
        <v>863</v>
      </c>
      <c r="B123" s="346" t="s">
        <v>268</v>
      </c>
      <c r="C123" s="576">
        <f>+C121+C122</f>
        <v>286377</v>
      </c>
      <c r="D123" s="577">
        <f>+D121+D122</f>
        <v>341543</v>
      </c>
      <c r="E123" s="1024">
        <f>+E121+E122</f>
        <v>318813</v>
      </c>
      <c r="F123" s="1031">
        <f>+F121+F122</f>
        <v>491510</v>
      </c>
      <c r="G123" s="1031">
        <f>+G121+G122</f>
        <v>396740</v>
      </c>
      <c r="H123" s="1230">
        <f t="shared" si="1"/>
        <v>0.80718601859575589</v>
      </c>
      <c r="I123" s="726"/>
    </row>
    <row r="124" spans="1:10" ht="19.5" customHeight="1" x14ac:dyDescent="0.25">
      <c r="A124" s="350"/>
      <c r="B124" s="350"/>
      <c r="C124" s="606"/>
      <c r="D124" s="606"/>
      <c r="E124" s="606"/>
      <c r="F124" s="606"/>
      <c r="G124" s="606"/>
      <c r="H124" s="606"/>
      <c r="I124" s="825"/>
    </row>
    <row r="125" spans="1:10" ht="53.25" hidden="1" customHeight="1" x14ac:dyDescent="0.25">
      <c r="A125" s="1619" t="s">
        <v>89</v>
      </c>
      <c r="B125" s="1619"/>
      <c r="C125" s="1619"/>
      <c r="D125" s="555"/>
      <c r="E125" s="555"/>
      <c r="F125" s="555"/>
      <c r="G125" s="555"/>
      <c r="H125" s="555"/>
    </row>
    <row r="126" spans="1:10" ht="15" hidden="1" customHeight="1" thickBot="1" x14ac:dyDescent="0.3">
      <c r="A126" s="1617" t="s">
        <v>82</v>
      </c>
      <c r="B126" s="1617"/>
      <c r="C126" s="266"/>
      <c r="D126" s="266"/>
      <c r="E126" s="266" t="s">
        <v>270</v>
      </c>
      <c r="F126" s="266" t="s">
        <v>270</v>
      </c>
      <c r="G126" s="267"/>
      <c r="H126" s="267"/>
    </row>
    <row r="127" spans="1:10" ht="13.5" hidden="1" customHeight="1" thickBot="1" x14ac:dyDescent="0.3">
      <c r="A127" s="23">
        <v>1</v>
      </c>
      <c r="B127" s="30" t="s">
        <v>163</v>
      </c>
      <c r="C127" s="566">
        <f>+C51-C102</f>
        <v>-2256</v>
      </c>
      <c r="D127" s="607">
        <f>+D51-D102</f>
        <v>-48271</v>
      </c>
      <c r="E127" s="607">
        <f>+E51-E102</f>
        <v>0</v>
      </c>
      <c r="F127" s="607">
        <f>+F51-F102</f>
        <v>-54701</v>
      </c>
      <c r="G127" s="580"/>
      <c r="H127" s="580"/>
    </row>
    <row r="128" spans="1:10" ht="7.5" hidden="1" customHeight="1" x14ac:dyDescent="0.25">
      <c r="A128" s="350"/>
      <c r="B128" s="350"/>
      <c r="C128" s="606"/>
      <c r="D128" s="606"/>
      <c r="E128" s="606"/>
      <c r="F128" s="606"/>
      <c r="G128" s="606"/>
      <c r="H128" s="606"/>
    </row>
    <row r="129" spans="1:8" hidden="1" x14ac:dyDescent="0.25">
      <c r="A129" s="1614" t="s">
        <v>269</v>
      </c>
      <c r="B129" s="1614"/>
      <c r="C129" s="1614"/>
      <c r="D129" s="817"/>
      <c r="E129" s="553"/>
      <c r="F129" s="553"/>
      <c r="G129" s="553"/>
      <c r="H129" s="553"/>
    </row>
    <row r="130" spans="1:8" ht="12.75" hidden="1" customHeight="1" thickBot="1" x14ac:dyDescent="0.3">
      <c r="A130" s="1616" t="s">
        <v>83</v>
      </c>
      <c r="B130" s="1616"/>
      <c r="C130" s="267"/>
      <c r="D130" s="267"/>
      <c r="E130" s="267" t="s">
        <v>270</v>
      </c>
      <c r="F130" s="267" t="s">
        <v>270</v>
      </c>
      <c r="G130" s="267"/>
      <c r="H130" s="267"/>
    </row>
    <row r="131" spans="1:8" ht="13.5" hidden="1" customHeight="1" thickBot="1" x14ac:dyDescent="0.3">
      <c r="A131" s="250" t="s">
        <v>855</v>
      </c>
      <c r="B131" s="263" t="s">
        <v>1052</v>
      </c>
      <c r="C131" s="608">
        <f>IF('2.1.sz.mell  '!C32&lt;&gt;"-",'2.1.sz.mell  '!C32,0)</f>
        <v>0</v>
      </c>
      <c r="D131" s="818">
        <f>IF('2.1.sz.mell  '!D32&lt;&gt;"-",'2.1.sz.mell  '!D32,0)</f>
        <v>0</v>
      </c>
      <c r="E131" s="608">
        <f>IF('2.1.sz.mell  '!E32&lt;&gt;"-",'2.1.sz.mell  '!E32,0)</f>
        <v>0</v>
      </c>
      <c r="F131" s="608"/>
      <c r="G131" s="1117"/>
      <c r="H131" s="1117"/>
    </row>
    <row r="132" spans="1:8" ht="13.5" hidden="1" customHeight="1" thickBot="1" x14ac:dyDescent="0.3">
      <c r="A132" s="250" t="s">
        <v>856</v>
      </c>
      <c r="B132" s="263" t="s">
        <v>1053</v>
      </c>
      <c r="C132" s="608">
        <f>IF('2.2.sz.mell  '!C36&lt;&gt;"-",'2.2.sz.mell  '!C36,0)</f>
        <v>0</v>
      </c>
      <c r="D132" s="818">
        <f>IF('2.2.sz.mell  '!D36&lt;&gt;"-",'2.2.sz.mell  '!D36,0)</f>
        <v>0</v>
      </c>
      <c r="E132" s="608">
        <f>IF('2.2.sz.mell  '!E36&lt;&gt;"-",'2.2.sz.mell  '!E36,0)</f>
        <v>0</v>
      </c>
      <c r="F132" s="608"/>
      <c r="G132" s="1117"/>
      <c r="H132" s="1117"/>
    </row>
    <row r="133" spans="1:8" ht="13.5" hidden="1" customHeight="1" thickBot="1" x14ac:dyDescent="0.3">
      <c r="A133" s="250" t="s">
        <v>857</v>
      </c>
      <c r="B133" s="263" t="s">
        <v>1054</v>
      </c>
      <c r="C133" s="608">
        <f>C132+C131</f>
        <v>0</v>
      </c>
      <c r="D133" s="818">
        <f>D132+D131</f>
        <v>0</v>
      </c>
      <c r="E133" s="608">
        <f>E132+E131</f>
        <v>0</v>
      </c>
      <c r="F133" s="608">
        <f>F132+F131</f>
        <v>0</v>
      </c>
      <c r="G133" s="1117"/>
      <c r="H133" s="1117"/>
    </row>
    <row r="134" spans="1:8" ht="7.5" hidden="1" customHeight="1" x14ac:dyDescent="0.25">
      <c r="A134" s="351"/>
      <c r="B134" s="352"/>
      <c r="C134" s="554"/>
      <c r="D134" s="819"/>
      <c r="E134" s="554"/>
      <c r="F134" s="554"/>
      <c r="G134" s="554"/>
      <c r="H134" s="554"/>
    </row>
    <row r="135" spans="1:8" hidden="1" x14ac:dyDescent="0.25">
      <c r="A135" s="1615" t="s">
        <v>271</v>
      </c>
      <c r="B135" s="1615"/>
      <c r="C135" s="1615"/>
      <c r="D135" s="555"/>
      <c r="E135" s="555"/>
      <c r="F135" s="555"/>
      <c r="G135" s="555"/>
      <c r="H135" s="555"/>
    </row>
    <row r="136" spans="1:8" ht="12.75" hidden="1" customHeight="1" thickBot="1" x14ac:dyDescent="0.3">
      <c r="A136" s="1616" t="s">
        <v>272</v>
      </c>
      <c r="B136" s="1616"/>
      <c r="C136" s="267"/>
      <c r="D136" s="267"/>
      <c r="E136" s="267" t="s">
        <v>270</v>
      </c>
      <c r="F136" s="267" t="s">
        <v>270</v>
      </c>
      <c r="G136" s="267"/>
      <c r="H136" s="267"/>
    </row>
    <row r="137" spans="1:8" ht="12.75" hidden="1" customHeight="1" thickBot="1" x14ac:dyDescent="0.3">
      <c r="A137" s="250" t="s">
        <v>855</v>
      </c>
      <c r="B137" s="263" t="s">
        <v>352</v>
      </c>
      <c r="C137" s="608">
        <f>+C138-C141</f>
        <v>52597</v>
      </c>
      <c r="D137" s="818">
        <f>+D138-D141</f>
        <v>48271</v>
      </c>
      <c r="E137" s="608">
        <f>+E138-E141</f>
        <v>0</v>
      </c>
      <c r="F137" s="608">
        <f>+F138-F141</f>
        <v>60405</v>
      </c>
      <c r="G137" s="1117"/>
      <c r="H137" s="1117"/>
    </row>
    <row r="138" spans="1:8" ht="12.75" hidden="1" customHeight="1" thickBot="1" x14ac:dyDescent="0.3">
      <c r="A138" s="264" t="s">
        <v>40</v>
      </c>
      <c r="B138" s="353" t="s">
        <v>273</v>
      </c>
      <c r="C138" s="609">
        <f>+C52</f>
        <v>52597</v>
      </c>
      <c r="D138" s="820">
        <f>+D52</f>
        <v>48271</v>
      </c>
      <c r="E138" s="609">
        <f>+E52</f>
        <v>0</v>
      </c>
      <c r="F138" s="609">
        <f>+F52</f>
        <v>60405</v>
      </c>
      <c r="G138" s="1118"/>
      <c r="H138" s="1118"/>
    </row>
    <row r="139" spans="1:8" s="424" customFormat="1" ht="12.75" hidden="1" customHeight="1" thickBot="1" x14ac:dyDescent="0.25">
      <c r="A139" s="423" t="s">
        <v>164</v>
      </c>
      <c r="B139" s="354" t="s">
        <v>274</v>
      </c>
      <c r="C139" s="610">
        <f>+'2.1.sz.mell  '!C27</f>
        <v>26281</v>
      </c>
      <c r="D139" s="821">
        <v>41596</v>
      </c>
      <c r="E139" s="610"/>
      <c r="F139" s="610"/>
      <c r="G139" s="1119"/>
      <c r="H139" s="1119"/>
    </row>
    <row r="140" spans="1:8" s="424" customFormat="1" ht="12.75" hidden="1" customHeight="1" thickBot="1" x14ac:dyDescent="0.25">
      <c r="A140" s="423" t="s">
        <v>165</v>
      </c>
      <c r="B140" s="354" t="s">
        <v>275</v>
      </c>
      <c r="C140" s="611">
        <f>+'2.2.sz.mell  '!C31</f>
        <v>26316</v>
      </c>
      <c r="D140" s="822">
        <v>6675</v>
      </c>
      <c r="E140" s="611"/>
      <c r="F140" s="611"/>
      <c r="G140" s="1120"/>
      <c r="H140" s="1120"/>
    </row>
    <row r="141" spans="1:8" ht="12.75" hidden="1" customHeight="1" thickBot="1" x14ac:dyDescent="0.3">
      <c r="A141" s="264" t="s">
        <v>41</v>
      </c>
      <c r="B141" s="353" t="s">
        <v>276</v>
      </c>
      <c r="C141" s="609">
        <f>+C103</f>
        <v>0</v>
      </c>
      <c r="D141" s="820">
        <f>+D103</f>
        <v>0</v>
      </c>
      <c r="E141" s="609"/>
      <c r="F141" s="609"/>
      <c r="G141" s="1118"/>
      <c r="H141" s="1118"/>
    </row>
    <row r="142" spans="1:8" s="424" customFormat="1" ht="12.75" hidden="1" customHeight="1" thickBot="1" x14ac:dyDescent="0.25">
      <c r="A142" s="423" t="s">
        <v>166</v>
      </c>
      <c r="B142" s="354" t="s">
        <v>277</v>
      </c>
      <c r="C142" s="612">
        <f>+'2.1.sz.mell  '!J27</f>
        <v>0</v>
      </c>
      <c r="D142" s="823">
        <f>+'2.1.sz.mell  '!K27</f>
        <v>0</v>
      </c>
      <c r="E142" s="612"/>
      <c r="F142" s="612"/>
      <c r="G142" s="1121"/>
      <c r="H142" s="1121"/>
    </row>
    <row r="143" spans="1:8" s="424" customFormat="1" ht="12.75" hidden="1" customHeight="1" thickBot="1" x14ac:dyDescent="0.25">
      <c r="A143" s="423" t="s">
        <v>167</v>
      </c>
      <c r="B143" s="354" t="s">
        <v>278</v>
      </c>
      <c r="C143" s="612">
        <f>+'2.2.sz.mell  '!J31</f>
        <v>11</v>
      </c>
      <c r="D143" s="823">
        <f>+'2.2.sz.mell  '!K31</f>
        <v>0</v>
      </c>
      <c r="E143" s="612"/>
      <c r="F143" s="612"/>
      <c r="G143" s="1121"/>
      <c r="H143" s="1121"/>
    </row>
    <row r="144" spans="1:8" hidden="1" x14ac:dyDescent="0.25"/>
  </sheetData>
  <mergeCells count="10">
    <mergeCell ref="A1:H1"/>
    <mergeCell ref="A69:H69"/>
    <mergeCell ref="A129:C129"/>
    <mergeCell ref="A135:C135"/>
    <mergeCell ref="A136:B136"/>
    <mergeCell ref="A130:B130"/>
    <mergeCell ref="A2:B2"/>
    <mergeCell ref="A70:B70"/>
    <mergeCell ref="A125:C125"/>
    <mergeCell ref="A126:B126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69" fitToHeight="0" orientation="portrait" r:id="rId1"/>
  <headerFooter alignWithMargins="0">
    <oddHeader>&amp;C&amp;"Times New Roman CE,Félkövér"&amp;12
Csobánka Község Önkormányzat
2015. ÉVI KÖLTSÉGVETÉSÉNEK ÖSSZEVONT MÉRLEGE&amp;R&amp;"Times New Roman CE,Félkövér dőlt"&amp;11 &amp;"Times New Roman CE,Félkövér"1.1. melléklet a 3/2016. (IV.29.) önkormányzati rendelethez</oddHeader>
  </headerFooter>
  <rowBreaks count="2" manualBreakCount="2">
    <brk id="67" max="7" man="1"/>
    <brk id="12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view="pageLayout" zoomScaleNormal="120" zoomScaleSheetLayoutView="100" workbookViewId="0">
      <selection activeCell="G43" sqref="G43"/>
    </sheetView>
  </sheetViews>
  <sheetFormatPr defaultColWidth="9.33203125" defaultRowHeight="15.75" x14ac:dyDescent="0.25"/>
  <cols>
    <col min="1" max="1" width="9" style="355" customWidth="1"/>
    <col min="2" max="2" width="84.83203125" style="355" customWidth="1"/>
    <col min="3" max="4" width="14.83203125" style="613" hidden="1" customWidth="1"/>
    <col min="5" max="7" width="14.83203125" style="613" customWidth="1"/>
    <col min="8" max="8" width="14.83203125" style="38" customWidth="1"/>
    <col min="9" max="16384" width="9.33203125" style="38"/>
  </cols>
  <sheetData>
    <row r="1" spans="1:8" ht="15.95" customHeight="1" x14ac:dyDescent="0.25">
      <c r="A1" s="1613" t="s">
        <v>852</v>
      </c>
      <c r="B1" s="1613"/>
      <c r="C1" s="1613"/>
      <c r="D1" s="1613"/>
      <c r="E1" s="1613"/>
      <c r="F1" s="1613"/>
      <c r="G1" s="1613"/>
      <c r="H1" s="1613"/>
    </row>
    <row r="2" spans="1:8" ht="15.95" customHeight="1" thickBot="1" x14ac:dyDescent="0.3">
      <c r="A2" s="1617" t="s">
        <v>80</v>
      </c>
      <c r="B2" s="1617"/>
      <c r="C2" s="266"/>
      <c r="D2" s="266"/>
      <c r="E2" s="266"/>
      <c r="G2" s="267"/>
      <c r="H2" s="266" t="s">
        <v>270</v>
      </c>
    </row>
    <row r="3" spans="1:8" ht="38.1" customHeight="1" thickBot="1" x14ac:dyDescent="0.3">
      <c r="A3" s="28" t="s">
        <v>16</v>
      </c>
      <c r="B3" s="29" t="s">
        <v>854</v>
      </c>
      <c r="C3" s="556" t="s">
        <v>998</v>
      </c>
      <c r="D3" s="557" t="s">
        <v>999</v>
      </c>
      <c r="E3" s="557" t="s">
        <v>943</v>
      </c>
      <c r="F3" s="557" t="s">
        <v>1067</v>
      </c>
      <c r="G3" s="557" t="s">
        <v>1093</v>
      </c>
      <c r="H3" s="1025" t="s">
        <v>1094</v>
      </c>
    </row>
    <row r="4" spans="1:8" s="39" customFormat="1" ht="12" customHeight="1" thickBot="1" x14ac:dyDescent="0.25">
      <c r="A4" s="33">
        <v>1</v>
      </c>
      <c r="B4" s="34">
        <v>2</v>
      </c>
      <c r="C4" s="556">
        <v>3</v>
      </c>
      <c r="D4" s="557">
        <v>4</v>
      </c>
      <c r="E4" s="557">
        <v>3</v>
      </c>
      <c r="F4" s="557">
        <v>4</v>
      </c>
      <c r="G4" s="557">
        <v>5</v>
      </c>
      <c r="H4" s="1025">
        <v>6</v>
      </c>
    </row>
    <row r="5" spans="1:8" s="1" customFormat="1" ht="12" customHeight="1" thickBot="1" x14ac:dyDescent="0.25">
      <c r="A5" s="25" t="s">
        <v>855</v>
      </c>
      <c r="B5" s="24" t="s">
        <v>105</v>
      </c>
      <c r="C5" s="558">
        <v>115912</v>
      </c>
      <c r="D5" s="559">
        <v>100553</v>
      </c>
      <c r="E5" s="559">
        <f>+E6+E11+E20</f>
        <v>129230</v>
      </c>
      <c r="F5" s="559">
        <f>+F6+F11+F20</f>
        <v>124875</v>
      </c>
      <c r="G5" s="559">
        <v>120381</v>
      </c>
      <c r="H5" s="1296">
        <f>G5/F5</f>
        <v>0.96401201201201203</v>
      </c>
    </row>
    <row r="6" spans="1:8" s="1" customFormat="1" ht="12" customHeight="1" thickBot="1" x14ac:dyDescent="0.25">
      <c r="A6" s="23" t="s">
        <v>856</v>
      </c>
      <c r="B6" s="739" t="s">
        <v>341</v>
      </c>
      <c r="C6" s="561">
        <v>94867</v>
      </c>
      <c r="D6" s="562">
        <v>79070</v>
      </c>
      <c r="E6" s="562">
        <f>+E7+E8+E9+E10</f>
        <v>98689</v>
      </c>
      <c r="F6" s="562">
        <f>+F7+F8+F9+F10</f>
        <v>92798</v>
      </c>
      <c r="G6" s="562">
        <v>92161</v>
      </c>
      <c r="H6" s="1297">
        <f t="shared" ref="H6:H67" si="0">G6/F6</f>
        <v>0.99313562792301557</v>
      </c>
    </row>
    <row r="7" spans="1:8" s="1" customFormat="1" ht="12" customHeight="1" x14ac:dyDescent="0.2">
      <c r="A7" s="16" t="s">
        <v>46</v>
      </c>
      <c r="B7" s="790" t="s">
        <v>899</v>
      </c>
      <c r="C7" s="564">
        <v>91824</v>
      </c>
      <c r="D7" s="565">
        <v>76570</v>
      </c>
      <c r="E7" s="565">
        <f>'9. sz. mell'!F10</f>
        <v>96496</v>
      </c>
      <c r="F7" s="565">
        <f>'9. sz. mell'!G10</f>
        <v>89549</v>
      </c>
      <c r="G7" s="565">
        <f>89491</f>
        <v>89491</v>
      </c>
      <c r="H7" s="1298">
        <f t="shared" si="0"/>
        <v>0.99935230990854174</v>
      </c>
    </row>
    <row r="8" spans="1:8" s="1" customFormat="1" ht="12" customHeight="1" x14ac:dyDescent="0.2">
      <c r="A8" s="16" t="s">
        <v>47</v>
      </c>
      <c r="B8" s="743" t="s">
        <v>19</v>
      </c>
      <c r="C8" s="564"/>
      <c r="D8" s="565"/>
      <c r="E8" s="565">
        <f>'9. sz. mell'!F11</f>
        <v>0</v>
      </c>
      <c r="F8" s="565">
        <f>'9. sz. mell'!G11</f>
        <v>0</v>
      </c>
      <c r="G8" s="565"/>
      <c r="H8" s="1298"/>
    </row>
    <row r="9" spans="1:8" s="1" customFormat="1" ht="12" customHeight="1" x14ac:dyDescent="0.2">
      <c r="A9" s="16" t="s">
        <v>48</v>
      </c>
      <c r="B9" s="743" t="s">
        <v>106</v>
      </c>
      <c r="C9" s="564">
        <v>2094</v>
      </c>
      <c r="D9" s="565">
        <v>2000</v>
      </c>
      <c r="E9" s="565">
        <f>'9. sz. mell'!F12</f>
        <v>1592</v>
      </c>
      <c r="F9" s="565">
        <f>'9. sz. mell'!G12</f>
        <v>2648</v>
      </c>
      <c r="G9" s="565">
        <v>2298</v>
      </c>
      <c r="H9" s="1298">
        <f t="shared" si="0"/>
        <v>0.8678247734138973</v>
      </c>
    </row>
    <row r="10" spans="1:8" s="1" customFormat="1" ht="12" customHeight="1" thickBot="1" x14ac:dyDescent="0.25">
      <c r="A10" s="16" t="s">
        <v>49</v>
      </c>
      <c r="B10" s="791" t="s">
        <v>107</v>
      </c>
      <c r="C10" s="564">
        <v>949</v>
      </c>
      <c r="D10" s="565">
        <v>500</v>
      </c>
      <c r="E10" s="565">
        <f>'9. sz. mell'!F13</f>
        <v>601</v>
      </c>
      <c r="F10" s="565">
        <f>'9. sz. mell'!G13</f>
        <v>601</v>
      </c>
      <c r="G10" s="565">
        <v>372</v>
      </c>
      <c r="H10" s="1298">
        <f t="shared" si="0"/>
        <v>0.61896838602329451</v>
      </c>
    </row>
    <row r="11" spans="1:8" s="1" customFormat="1" ht="12" customHeight="1" thickBot="1" x14ac:dyDescent="0.25">
      <c r="A11" s="23" t="s">
        <v>857</v>
      </c>
      <c r="B11" s="24" t="s">
        <v>108</v>
      </c>
      <c r="C11" s="566">
        <v>13433</v>
      </c>
      <c r="D11" s="562">
        <v>13483</v>
      </c>
      <c r="E11" s="562">
        <f>+E12+E13+E14+E15+E16+E17+E18+E19</f>
        <v>22409</v>
      </c>
      <c r="F11" s="562">
        <f>+F12+F13+F14+F15+F16+F17+F18+F19</f>
        <v>23945</v>
      </c>
      <c r="G11" s="562">
        <v>20869</v>
      </c>
      <c r="H11" s="1297">
        <f t="shared" si="0"/>
        <v>0.87153894341198579</v>
      </c>
    </row>
    <row r="12" spans="1:8" s="1" customFormat="1" ht="12" customHeight="1" x14ac:dyDescent="0.2">
      <c r="A12" s="20" t="s">
        <v>20</v>
      </c>
      <c r="B12" s="12" t="s">
        <v>113</v>
      </c>
      <c r="C12" s="581"/>
      <c r="D12" s="582"/>
      <c r="E12" s="565">
        <f>'9. sz. mell'!F15</f>
        <v>696</v>
      </c>
      <c r="F12" s="565">
        <f>'9. sz. mell'!G15</f>
        <v>696</v>
      </c>
      <c r="G12" s="565">
        <f>117</f>
        <v>117</v>
      </c>
      <c r="H12" s="1298">
        <f t="shared" si="0"/>
        <v>0.16810344827586207</v>
      </c>
    </row>
    <row r="13" spans="1:8" s="1" customFormat="1" ht="12" customHeight="1" x14ac:dyDescent="0.2">
      <c r="A13" s="16" t="s">
        <v>21</v>
      </c>
      <c r="B13" s="9" t="s">
        <v>114</v>
      </c>
      <c r="C13" s="564">
        <v>257</v>
      </c>
      <c r="D13" s="565">
        <v>50</v>
      </c>
      <c r="E13" s="565">
        <f>'9. sz. mell'!F16+'10. sz. mell.'!F10+'11. sz. mell.'!F10</f>
        <v>511</v>
      </c>
      <c r="F13" s="565">
        <f>'9. sz. mell'!G16+'10. sz. mell.'!G10+'11. sz. mell.'!G10</f>
        <v>1661</v>
      </c>
      <c r="G13" s="565">
        <v>1846</v>
      </c>
      <c r="H13" s="1298">
        <f t="shared" si="0"/>
        <v>1.1113786875376279</v>
      </c>
    </row>
    <row r="14" spans="1:8" s="1" customFormat="1" ht="12" customHeight="1" x14ac:dyDescent="0.2">
      <c r="A14" s="16" t="s">
        <v>22</v>
      </c>
      <c r="B14" s="9" t="s">
        <v>115</v>
      </c>
      <c r="C14" s="564">
        <v>6422</v>
      </c>
      <c r="D14" s="565">
        <v>7223</v>
      </c>
      <c r="E14" s="565">
        <f>'9. sz. mell'!F17+'10. sz. mell.'!F11+'11. sz. mell.'!F11</f>
        <v>16098</v>
      </c>
      <c r="F14" s="565">
        <f>'9. sz. mell'!G17+'10. sz. mell.'!G11+'11. sz. mell.'!G11</f>
        <v>16098</v>
      </c>
      <c r="G14" s="565">
        <v>13700</v>
      </c>
      <c r="H14" s="1298">
        <f t="shared" si="0"/>
        <v>0.85103739594980743</v>
      </c>
    </row>
    <row r="15" spans="1:8" s="1" customFormat="1" ht="12" customHeight="1" x14ac:dyDescent="0.2">
      <c r="A15" s="16" t="s">
        <v>23</v>
      </c>
      <c r="B15" s="9" t="s">
        <v>116</v>
      </c>
      <c r="C15" s="583">
        <v>6056</v>
      </c>
      <c r="D15" s="565">
        <v>4996</v>
      </c>
      <c r="E15" s="565">
        <f>'9. sz. mell'!F18+'10. sz. mell.'!F12+'11. sz. mell.'!F12</f>
        <v>4040</v>
      </c>
      <c r="F15" s="565">
        <f>'9. sz. mell'!G18+'10. sz. mell.'!G12+'11. sz. mell.'!G12</f>
        <v>4040</v>
      </c>
      <c r="G15" s="565">
        <v>3798</v>
      </c>
      <c r="H15" s="1298">
        <f t="shared" si="0"/>
        <v>0.94009900990099005</v>
      </c>
    </row>
    <row r="16" spans="1:8" s="1" customFormat="1" ht="12" customHeight="1" x14ac:dyDescent="0.2">
      <c r="A16" s="15" t="s">
        <v>109</v>
      </c>
      <c r="B16" s="8" t="s">
        <v>117</v>
      </c>
      <c r="C16" s="614">
        <v>0</v>
      </c>
      <c r="D16" s="565">
        <v>0</v>
      </c>
      <c r="E16" s="565">
        <f>'9. sz. mell'!F19+'10. sz. mell.'!F13+'11. sz. mell.'!F13</f>
        <v>0</v>
      </c>
      <c r="F16" s="565">
        <f>'9. sz. mell'!G19+'10. sz. mell.'!G13+'11. sz. mell.'!G13</f>
        <v>0</v>
      </c>
      <c r="G16" s="565"/>
      <c r="H16" s="1298"/>
    </row>
    <row r="17" spans="1:8" s="1" customFormat="1" ht="12" customHeight="1" x14ac:dyDescent="0.2">
      <c r="A17" s="16" t="s">
        <v>110</v>
      </c>
      <c r="B17" s="9" t="s">
        <v>210</v>
      </c>
      <c r="C17" s="583">
        <v>218</v>
      </c>
      <c r="D17" s="565">
        <v>1214</v>
      </c>
      <c r="E17" s="565">
        <f>'9. sz. mell'!F20+'10. sz. mell.'!F14+'11. sz. mell.'!F14</f>
        <v>1064</v>
      </c>
      <c r="F17" s="565">
        <f>'9. sz. mell'!G20+'10. sz. mell.'!G14+'11. sz. mell.'!G14</f>
        <v>1064</v>
      </c>
      <c r="G17" s="565">
        <v>1026</v>
      </c>
      <c r="H17" s="1298">
        <f t="shared" si="0"/>
        <v>0.9642857142857143</v>
      </c>
    </row>
    <row r="18" spans="1:8" s="1" customFormat="1" ht="12" customHeight="1" x14ac:dyDescent="0.2">
      <c r="A18" s="16" t="s">
        <v>111</v>
      </c>
      <c r="B18" s="9" t="s">
        <v>119</v>
      </c>
      <c r="C18" s="583">
        <v>0</v>
      </c>
      <c r="D18" s="565">
        <v>0</v>
      </c>
      <c r="E18" s="565">
        <f>'9. sz. mell'!F21+'10. sz. mell.'!F15+'11. sz. mell.'!F15</f>
        <v>0</v>
      </c>
      <c r="F18" s="565">
        <f>'9. sz. mell'!G21+'10. sz. mell.'!G15+'11. sz. mell.'!G15</f>
        <v>0</v>
      </c>
      <c r="G18" s="565">
        <v>12</v>
      </c>
      <c r="H18" s="1298"/>
    </row>
    <row r="19" spans="1:8" s="1" customFormat="1" ht="12" customHeight="1" thickBot="1" x14ac:dyDescent="0.25">
      <c r="A19" s="17" t="s">
        <v>112</v>
      </c>
      <c r="B19" s="10" t="s">
        <v>120</v>
      </c>
      <c r="C19" s="616">
        <v>259</v>
      </c>
      <c r="D19" s="588">
        <v>0</v>
      </c>
      <c r="E19" s="585">
        <f>'9. sz. mell'!F22+'10. sz. mell.'!F16+'11. sz. mell.'!F16</f>
        <v>0</v>
      </c>
      <c r="F19" s="585">
        <f>'9. sz. mell'!G22+'10. sz. mell.'!G16+'11. sz. mell.'!G16</f>
        <v>386</v>
      </c>
      <c r="G19" s="585">
        <v>370</v>
      </c>
      <c r="H19" s="1299">
        <f t="shared" si="0"/>
        <v>0.95854922279792742</v>
      </c>
    </row>
    <row r="20" spans="1:8" s="1" customFormat="1" ht="12" customHeight="1" thickBot="1" x14ac:dyDescent="0.25">
      <c r="A20" s="23" t="s">
        <v>121</v>
      </c>
      <c r="B20" s="24" t="s">
        <v>919</v>
      </c>
      <c r="C20" s="618">
        <v>7833</v>
      </c>
      <c r="D20" s="619">
        <v>8000</v>
      </c>
      <c r="E20" s="593">
        <f>'9. sz. mell'!F23</f>
        <v>8132</v>
      </c>
      <c r="F20" s="593">
        <f>'9. sz. mell'!G23</f>
        <v>8132</v>
      </c>
      <c r="G20" s="593">
        <v>7351</v>
      </c>
      <c r="H20" s="1300">
        <f t="shared" si="0"/>
        <v>0.90395966551893758</v>
      </c>
    </row>
    <row r="21" spans="1:8" s="1" customFormat="1" ht="12" customHeight="1" thickBot="1" x14ac:dyDescent="0.25">
      <c r="A21" s="23" t="s">
        <v>859</v>
      </c>
      <c r="B21" s="24" t="s">
        <v>123</v>
      </c>
      <c r="C21" s="566">
        <v>136964</v>
      </c>
      <c r="D21" s="562">
        <v>154410</v>
      </c>
      <c r="E21" s="562">
        <f>+E22+E23+E24+E25+E26+E27+E28+E29</f>
        <v>166940</v>
      </c>
      <c r="F21" s="562">
        <f>+F22+F23+F24+F25+F26+F27+F28+F29</f>
        <v>175811</v>
      </c>
      <c r="G21" s="562">
        <v>175811</v>
      </c>
      <c r="H21" s="1297">
        <f t="shared" si="0"/>
        <v>1</v>
      </c>
    </row>
    <row r="22" spans="1:8" s="1" customFormat="1" ht="12" customHeight="1" x14ac:dyDescent="0.2">
      <c r="A22" s="18" t="s">
        <v>24</v>
      </c>
      <c r="B22" s="11" t="s">
        <v>795</v>
      </c>
      <c r="C22" s="589">
        <v>122087</v>
      </c>
      <c r="D22" s="590">
        <v>149564</v>
      </c>
      <c r="E22" s="590">
        <f>'9. sz. mell'!F25</f>
        <v>166940</v>
      </c>
      <c r="F22" s="590">
        <f>'9. sz. mell'!G25</f>
        <v>173238</v>
      </c>
      <c r="G22" s="590">
        <v>173238</v>
      </c>
      <c r="H22" s="1301">
        <f t="shared" si="0"/>
        <v>1</v>
      </c>
    </row>
    <row r="23" spans="1:8" s="1" customFormat="1" ht="12" customHeight="1" x14ac:dyDescent="0.2">
      <c r="A23" s="16" t="s">
        <v>25</v>
      </c>
      <c r="B23" s="9" t="s">
        <v>129</v>
      </c>
      <c r="C23" s="583">
        <v>5457</v>
      </c>
      <c r="D23" s="565">
        <v>1943</v>
      </c>
      <c r="E23" s="565"/>
      <c r="F23" s="565"/>
      <c r="G23" s="565"/>
      <c r="H23" s="1298"/>
    </row>
    <row r="24" spans="1:8" s="1" customFormat="1" ht="12" customHeight="1" x14ac:dyDescent="0.2">
      <c r="A24" s="16" t="s">
        <v>26</v>
      </c>
      <c r="B24" s="9" t="s">
        <v>29</v>
      </c>
      <c r="C24" s="583"/>
      <c r="D24" s="565">
        <v>966</v>
      </c>
      <c r="E24" s="565"/>
      <c r="F24" s="565">
        <f>'9. sz. mell'!G27</f>
        <v>1769</v>
      </c>
      <c r="G24" s="565">
        <v>1769</v>
      </c>
      <c r="H24" s="1298">
        <f t="shared" si="0"/>
        <v>1</v>
      </c>
    </row>
    <row r="25" spans="1:8" s="1" customFormat="1" ht="12" customHeight="1" x14ac:dyDescent="0.2">
      <c r="A25" s="19" t="s">
        <v>124</v>
      </c>
      <c r="B25" s="9" t="s">
        <v>903</v>
      </c>
      <c r="C25" s="584">
        <v>9420</v>
      </c>
      <c r="D25" s="585"/>
      <c r="E25" s="585"/>
      <c r="F25" s="585"/>
      <c r="G25" s="585"/>
      <c r="H25" s="1299"/>
    </row>
    <row r="26" spans="1:8" s="1" customFormat="1" ht="12" customHeight="1" x14ac:dyDescent="0.2">
      <c r="A26" s="19" t="s">
        <v>125</v>
      </c>
      <c r="B26" s="9" t="s">
        <v>131</v>
      </c>
      <c r="C26" s="584"/>
      <c r="D26" s="585"/>
      <c r="E26" s="585"/>
      <c r="F26" s="585"/>
      <c r="G26" s="585"/>
      <c r="H26" s="1299"/>
    </row>
    <row r="27" spans="1:8" s="1" customFormat="1" ht="12" customHeight="1" x14ac:dyDescent="0.2">
      <c r="A27" s="16" t="s">
        <v>126</v>
      </c>
      <c r="B27" s="9" t="s">
        <v>132</v>
      </c>
      <c r="C27" s="583"/>
      <c r="D27" s="565"/>
      <c r="E27" s="565"/>
      <c r="F27" s="565"/>
      <c r="G27" s="565"/>
      <c r="H27" s="1298"/>
    </row>
    <row r="28" spans="1:8" s="1" customFormat="1" ht="12" customHeight="1" x14ac:dyDescent="0.2">
      <c r="A28" s="16" t="s">
        <v>127</v>
      </c>
      <c r="B28" s="9" t="s">
        <v>1056</v>
      </c>
      <c r="C28" s="620"/>
      <c r="D28" s="621"/>
      <c r="E28" s="621"/>
      <c r="F28" s="621">
        <f>'9. sz. mell'!G31</f>
        <v>139</v>
      </c>
      <c r="G28" s="621">
        <v>139</v>
      </c>
      <c r="H28" s="1302">
        <f t="shared" si="0"/>
        <v>1</v>
      </c>
    </row>
    <row r="29" spans="1:8" s="1" customFormat="1" ht="12" customHeight="1" thickBot="1" x14ac:dyDescent="0.25">
      <c r="A29" s="16" t="s">
        <v>128</v>
      </c>
      <c r="B29" s="14" t="s">
        <v>920</v>
      </c>
      <c r="C29" s="620"/>
      <c r="D29" s="621">
        <v>1937</v>
      </c>
      <c r="E29" s="621"/>
      <c r="F29" s="621">
        <f>'9. sz. mell'!G32</f>
        <v>665</v>
      </c>
      <c r="G29" s="621">
        <v>665</v>
      </c>
      <c r="H29" s="1302">
        <f t="shared" si="0"/>
        <v>1</v>
      </c>
    </row>
    <row r="30" spans="1:8" s="1" customFormat="1" ht="12" customHeight="1" thickBot="1" x14ac:dyDescent="0.25">
      <c r="A30" s="238" t="s">
        <v>860</v>
      </c>
      <c r="B30" s="24" t="s">
        <v>342</v>
      </c>
      <c r="C30" s="561">
        <v>16051</v>
      </c>
      <c r="D30" s="562">
        <v>37895</v>
      </c>
      <c r="E30" s="562">
        <f>+E31+E37</f>
        <v>22434</v>
      </c>
      <c r="F30" s="562">
        <f>+F31+F37</f>
        <v>130210</v>
      </c>
      <c r="G30" s="562">
        <f>+G31+G37</f>
        <v>128233</v>
      </c>
      <c r="H30" s="1297">
        <f t="shared" si="0"/>
        <v>0.98481683434452039</v>
      </c>
    </row>
    <row r="31" spans="1:8" s="1" customFormat="1" ht="12" customHeight="1" x14ac:dyDescent="0.2">
      <c r="A31" s="239" t="s">
        <v>27</v>
      </c>
      <c r="B31" s="793" t="s">
        <v>343</v>
      </c>
      <c r="C31" s="569">
        <v>14598</v>
      </c>
      <c r="D31" s="570">
        <v>22134</v>
      </c>
      <c r="E31" s="570">
        <f>+E32+E33+E34+E35+E36</f>
        <v>10419</v>
      </c>
      <c r="F31" s="570">
        <f>+F32+F33+F34+F35+F36</f>
        <v>10419</v>
      </c>
      <c r="G31" s="570">
        <v>14925</v>
      </c>
      <c r="H31" s="1303">
        <f t="shared" si="0"/>
        <v>1.4324791246760726</v>
      </c>
    </row>
    <row r="32" spans="1:8" s="1" customFormat="1" ht="12" customHeight="1" x14ac:dyDescent="0.2">
      <c r="A32" s="240" t="s">
        <v>30</v>
      </c>
      <c r="B32" s="735" t="s">
        <v>213</v>
      </c>
      <c r="C32" s="622">
        <v>4192</v>
      </c>
      <c r="D32" s="621">
        <v>3996</v>
      </c>
      <c r="E32" s="621">
        <f>'9. sz. mell'!F35</f>
        <v>4696</v>
      </c>
      <c r="F32" s="621">
        <f>'9. sz. mell'!G35</f>
        <v>4696</v>
      </c>
      <c r="G32" s="621">
        <v>4690</v>
      </c>
      <c r="H32" s="1302">
        <f t="shared" si="0"/>
        <v>0.99872231686541735</v>
      </c>
    </row>
    <row r="33" spans="1:8" s="1" customFormat="1" ht="12" customHeight="1" x14ac:dyDescent="0.2">
      <c r="A33" s="240" t="s">
        <v>31</v>
      </c>
      <c r="B33" s="735" t="s">
        <v>214</v>
      </c>
      <c r="C33" s="622"/>
      <c r="D33" s="621"/>
      <c r="E33" s="621">
        <f>'9. sz. mell'!F36</f>
        <v>0</v>
      </c>
      <c r="F33" s="621">
        <f>'9. sz. mell'!G36</f>
        <v>0</v>
      </c>
      <c r="G33" s="621"/>
      <c r="H33" s="1302"/>
    </row>
    <row r="34" spans="1:8" s="1" customFormat="1" ht="12" customHeight="1" x14ac:dyDescent="0.2">
      <c r="A34" s="240" t="s">
        <v>32</v>
      </c>
      <c r="B34" s="735" t="s">
        <v>215</v>
      </c>
      <c r="C34" s="622"/>
      <c r="D34" s="621"/>
      <c r="E34" s="621">
        <f>'9. sz. mell'!F37</f>
        <v>0</v>
      </c>
      <c r="F34" s="621">
        <f>'9. sz. mell'!G37</f>
        <v>0</v>
      </c>
      <c r="G34" s="621"/>
      <c r="H34" s="1302"/>
    </row>
    <row r="35" spans="1:8" s="1" customFormat="1" ht="12" customHeight="1" x14ac:dyDescent="0.2">
      <c r="A35" s="240" t="s">
        <v>33</v>
      </c>
      <c r="B35" s="735" t="s">
        <v>216</v>
      </c>
      <c r="C35" s="622"/>
      <c r="D35" s="621"/>
      <c r="E35" s="621">
        <f>'9. sz. mell'!F38</f>
        <v>0</v>
      </c>
      <c r="F35" s="621">
        <f>'9. sz. mell'!G38</f>
        <v>0</v>
      </c>
      <c r="G35" s="621"/>
      <c r="H35" s="1302"/>
    </row>
    <row r="36" spans="1:8" s="1" customFormat="1" ht="12" customHeight="1" x14ac:dyDescent="0.2">
      <c r="A36" s="240" t="s">
        <v>134</v>
      </c>
      <c r="B36" s="735" t="s">
        <v>344</v>
      </c>
      <c r="C36" s="622">
        <v>10406</v>
      </c>
      <c r="D36" s="621">
        <v>18138</v>
      </c>
      <c r="E36" s="621">
        <f>'9. sz. mell'!F39</f>
        <v>5723</v>
      </c>
      <c r="F36" s="621">
        <f>'9. sz. mell'!G39</f>
        <v>5723</v>
      </c>
      <c r="G36" s="621">
        <v>10235</v>
      </c>
      <c r="H36" s="1302">
        <f t="shared" si="0"/>
        <v>1.788397693517386</v>
      </c>
    </row>
    <row r="37" spans="1:8" s="1" customFormat="1" ht="12" customHeight="1" x14ac:dyDescent="0.2">
      <c r="A37" s="240" t="s">
        <v>28</v>
      </c>
      <c r="B37" s="794" t="s">
        <v>345</v>
      </c>
      <c r="C37" s="571">
        <v>1453</v>
      </c>
      <c r="D37" s="572">
        <v>15761</v>
      </c>
      <c r="E37" s="572">
        <f>+E38+E39+E40+E41+E42</f>
        <v>12015</v>
      </c>
      <c r="F37" s="572">
        <f>+F38+F39+F40+F41+F42</f>
        <v>119791</v>
      </c>
      <c r="G37" s="572">
        <f t="shared" ref="G37" si="1">+G38+G39+G40+G41+G42</f>
        <v>113308</v>
      </c>
      <c r="H37" s="1304">
        <f t="shared" si="0"/>
        <v>0.9458807422928267</v>
      </c>
    </row>
    <row r="38" spans="1:8" s="1" customFormat="1" ht="12" customHeight="1" x14ac:dyDescent="0.2">
      <c r="A38" s="240" t="s">
        <v>36</v>
      </c>
      <c r="B38" s="735" t="s">
        <v>213</v>
      </c>
      <c r="C38" s="622"/>
      <c r="D38" s="621"/>
      <c r="E38" s="621"/>
      <c r="F38" s="621"/>
      <c r="G38" s="621"/>
      <c r="H38" s="1302"/>
    </row>
    <row r="39" spans="1:8" s="1" customFormat="1" ht="12" customHeight="1" x14ac:dyDescent="0.2">
      <c r="A39" s="240" t="s">
        <v>37</v>
      </c>
      <c r="B39" s="735" t="s">
        <v>214</v>
      </c>
      <c r="C39" s="622"/>
      <c r="D39" s="621"/>
      <c r="E39" s="621"/>
      <c r="F39" s="621"/>
      <c r="G39" s="621"/>
      <c r="H39" s="1302"/>
    </row>
    <row r="40" spans="1:8" s="1" customFormat="1" ht="12" customHeight="1" x14ac:dyDescent="0.2">
      <c r="A40" s="240" t="s">
        <v>38</v>
      </c>
      <c r="B40" s="735" t="s">
        <v>215</v>
      </c>
      <c r="C40" s="622"/>
      <c r="D40" s="621"/>
      <c r="E40" s="621"/>
      <c r="F40" s="621"/>
      <c r="G40" s="621"/>
      <c r="H40" s="1302"/>
    </row>
    <row r="41" spans="1:8" s="1" customFormat="1" ht="12" customHeight="1" x14ac:dyDescent="0.2">
      <c r="A41" s="240" t="s">
        <v>39</v>
      </c>
      <c r="B41" s="795" t="s">
        <v>216</v>
      </c>
      <c r="C41" s="622">
        <v>1453</v>
      </c>
      <c r="D41" s="621">
        <v>15111</v>
      </c>
      <c r="E41" s="621">
        <f>'9. sz. mell'!F44</f>
        <v>5532</v>
      </c>
      <c r="F41" s="621">
        <f>'9. sz. mell'!G44</f>
        <v>113308</v>
      </c>
      <c r="G41" s="621">
        <f>105481+7827</f>
        <v>113308</v>
      </c>
      <c r="H41" s="1302">
        <f t="shared" si="0"/>
        <v>1</v>
      </c>
    </row>
    <row r="42" spans="1:8" s="1" customFormat="1" ht="12" customHeight="1" thickBot="1" x14ac:dyDescent="0.25">
      <c r="A42" s="241" t="s">
        <v>135</v>
      </c>
      <c r="B42" s="796" t="s">
        <v>1057</v>
      </c>
      <c r="C42" s="623"/>
      <c r="D42" s="624">
        <v>650</v>
      </c>
      <c r="E42" s="624">
        <v>6483</v>
      </c>
      <c r="F42" s="624">
        <v>6483</v>
      </c>
      <c r="G42" s="624">
        <v>0</v>
      </c>
      <c r="H42" s="1305">
        <f t="shared" si="0"/>
        <v>0</v>
      </c>
    </row>
    <row r="43" spans="1:8" s="1" customFormat="1" ht="12" customHeight="1" thickBot="1" x14ac:dyDescent="0.25">
      <c r="A43" s="23" t="s">
        <v>136</v>
      </c>
      <c r="B43" s="797" t="s">
        <v>217</v>
      </c>
      <c r="C43" s="561">
        <v>1037</v>
      </c>
      <c r="D43" s="562"/>
      <c r="E43" s="562">
        <f>+E44+E45</f>
        <v>209</v>
      </c>
      <c r="F43" s="562">
        <f>+F44+F45</f>
        <v>209</v>
      </c>
      <c r="G43" s="562">
        <v>209</v>
      </c>
      <c r="H43" s="1297">
        <f t="shared" si="0"/>
        <v>1</v>
      </c>
    </row>
    <row r="44" spans="1:8" s="1" customFormat="1" ht="12" customHeight="1" x14ac:dyDescent="0.2">
      <c r="A44" s="18" t="s">
        <v>34</v>
      </c>
      <c r="B44" s="743" t="s">
        <v>218</v>
      </c>
      <c r="C44" s="625">
        <v>1037</v>
      </c>
      <c r="D44" s="590"/>
      <c r="E44" s="590">
        <f>'9. sz. mell'!F47</f>
        <v>209</v>
      </c>
      <c r="F44" s="590">
        <f>'9. sz. mell'!G47</f>
        <v>209</v>
      </c>
      <c r="G44" s="590">
        <v>209</v>
      </c>
      <c r="H44" s="1301">
        <f t="shared" si="0"/>
        <v>1</v>
      </c>
    </row>
    <row r="45" spans="1:8" s="1" customFormat="1" ht="12" customHeight="1" thickBot="1" x14ac:dyDescent="0.25">
      <c r="A45" s="15" t="s">
        <v>35</v>
      </c>
      <c r="B45" s="798" t="s">
        <v>222</v>
      </c>
      <c r="C45" s="626"/>
      <c r="D45" s="615"/>
      <c r="E45" s="615"/>
      <c r="F45" s="615"/>
      <c r="G45" s="615"/>
      <c r="H45" s="1306"/>
    </row>
    <row r="46" spans="1:8" s="1" customFormat="1" ht="12" customHeight="1" thickBot="1" x14ac:dyDescent="0.25">
      <c r="A46" s="23" t="s">
        <v>862</v>
      </c>
      <c r="B46" s="797" t="s">
        <v>221</v>
      </c>
      <c r="C46" s="561">
        <v>7184</v>
      </c>
      <c r="D46" s="562">
        <v>414</v>
      </c>
      <c r="E46" s="562">
        <f>+E47+E48+E49</f>
        <v>0</v>
      </c>
      <c r="F46" s="562">
        <f>+F47+F48+F49</f>
        <v>0</v>
      </c>
      <c r="G46" s="562">
        <v>414</v>
      </c>
      <c r="H46" s="1297">
        <v>0</v>
      </c>
    </row>
    <row r="47" spans="1:8" s="1" customFormat="1" ht="12" customHeight="1" x14ac:dyDescent="0.2">
      <c r="A47" s="18" t="s">
        <v>139</v>
      </c>
      <c r="B47" s="743" t="s">
        <v>137</v>
      </c>
      <c r="C47" s="627">
        <v>7184</v>
      </c>
      <c r="D47" s="628"/>
      <c r="E47" s="628"/>
      <c r="F47" s="628"/>
      <c r="G47" s="628">
        <v>414</v>
      </c>
      <c r="H47" s="1307">
        <v>0</v>
      </c>
    </row>
    <row r="48" spans="1:8" s="1" customFormat="1" ht="12" customHeight="1" x14ac:dyDescent="0.2">
      <c r="A48" s="16" t="s">
        <v>140</v>
      </c>
      <c r="B48" s="735" t="s">
        <v>917</v>
      </c>
      <c r="C48" s="620"/>
      <c r="D48" s="621">
        <v>414</v>
      </c>
      <c r="E48" s="621">
        <v>0</v>
      </c>
      <c r="F48" s="621">
        <v>0</v>
      </c>
      <c r="G48" s="621"/>
      <c r="H48" s="1302"/>
    </row>
    <row r="49" spans="1:8" s="1" customFormat="1" ht="12" customHeight="1" thickBot="1" x14ac:dyDescent="0.25">
      <c r="A49" s="15" t="s">
        <v>279</v>
      </c>
      <c r="B49" s="798" t="s">
        <v>219</v>
      </c>
      <c r="C49" s="629"/>
      <c r="D49" s="630"/>
      <c r="E49" s="630"/>
      <c r="F49" s="630"/>
      <c r="G49" s="630"/>
      <c r="H49" s="1308"/>
    </row>
    <row r="50" spans="1:8" s="1" customFormat="1" ht="17.25" customHeight="1" thickBot="1" x14ac:dyDescent="0.25">
      <c r="A50" s="23" t="s">
        <v>141</v>
      </c>
      <c r="B50" s="799" t="s">
        <v>220</v>
      </c>
      <c r="C50" s="631"/>
      <c r="D50" s="593"/>
      <c r="E50" s="593"/>
      <c r="F50" s="593"/>
      <c r="G50" s="593"/>
      <c r="H50" s="1300"/>
    </row>
    <row r="51" spans="1:8" s="1" customFormat="1" ht="12" customHeight="1" thickBot="1" x14ac:dyDescent="0.25">
      <c r="A51" s="23" t="s">
        <v>864</v>
      </c>
      <c r="B51" s="27" t="s">
        <v>142</v>
      </c>
      <c r="C51" s="574">
        <v>277148</v>
      </c>
      <c r="D51" s="575">
        <v>293272</v>
      </c>
      <c r="E51" s="575">
        <f>+E6+E11+E20+E21+E30+E43+E46+E50</f>
        <v>318813</v>
      </c>
      <c r="F51" s="575">
        <f>+F6+F11+F20+F21+F30+F43+F46+F50</f>
        <v>431105</v>
      </c>
      <c r="G51" s="575">
        <f>+G6+G11+G20+G21+G30+G43+G46+G50</f>
        <v>425048</v>
      </c>
      <c r="H51" s="1309">
        <f t="shared" si="0"/>
        <v>0.98595005857041784</v>
      </c>
    </row>
    <row r="52" spans="1:8" s="1" customFormat="1" ht="12" customHeight="1" thickBot="1" x14ac:dyDescent="0.25">
      <c r="A52" s="738" t="s">
        <v>865</v>
      </c>
      <c r="B52" s="739" t="s">
        <v>223</v>
      </c>
      <c r="C52" s="576">
        <v>52597</v>
      </c>
      <c r="D52" s="577">
        <v>48271</v>
      </c>
      <c r="E52" s="577">
        <f>+E53+E59</f>
        <v>0</v>
      </c>
      <c r="F52" s="577">
        <f>+F53+F59</f>
        <v>60405</v>
      </c>
      <c r="G52" s="577">
        <f>60397+G59</f>
        <v>66582</v>
      </c>
      <c r="H52" s="1310">
        <f t="shared" si="0"/>
        <v>1.1022597467097095</v>
      </c>
    </row>
    <row r="53" spans="1:8" s="1" customFormat="1" ht="12" customHeight="1" x14ac:dyDescent="0.2">
      <c r="A53" s="800" t="s">
        <v>73</v>
      </c>
      <c r="B53" s="793" t="s">
        <v>224</v>
      </c>
      <c r="C53" s="578">
        <v>52597</v>
      </c>
      <c r="D53" s="570">
        <v>48271</v>
      </c>
      <c r="E53" s="570">
        <f>+E54+E55+E56+E57+E58</f>
        <v>0</v>
      </c>
      <c r="F53" s="570">
        <f>+F54+F55+F56+F57+F58</f>
        <v>60405</v>
      </c>
      <c r="G53" s="570">
        <v>60397</v>
      </c>
      <c r="H53" s="1303">
        <f t="shared" si="0"/>
        <v>0.99986756063239801</v>
      </c>
    </row>
    <row r="54" spans="1:8" s="1" customFormat="1" ht="12" customHeight="1" x14ac:dyDescent="0.2">
      <c r="A54" s="1087" t="s">
        <v>239</v>
      </c>
      <c r="B54" s="735" t="s">
        <v>225</v>
      </c>
      <c r="C54" s="620">
        <v>52597</v>
      </c>
      <c r="D54" s="621">
        <v>48271</v>
      </c>
      <c r="E54" s="621"/>
      <c r="F54" s="621">
        <f>'9. sz. mell'!G56+'10. sz. mell.'!G28+'11. sz. mell.'!G28</f>
        <v>60405</v>
      </c>
      <c r="G54" s="621">
        <v>60397</v>
      </c>
      <c r="H54" s="1302">
        <f t="shared" si="0"/>
        <v>0.99986756063239801</v>
      </c>
    </row>
    <row r="55" spans="1:8" s="1" customFormat="1" ht="12" customHeight="1" x14ac:dyDescent="0.2">
      <c r="A55" s="1087" t="s">
        <v>240</v>
      </c>
      <c r="B55" s="735" t="s">
        <v>226</v>
      </c>
      <c r="C55" s="620"/>
      <c r="D55" s="621"/>
      <c r="E55" s="621"/>
      <c r="F55" s="621"/>
      <c r="G55" s="621"/>
      <c r="H55" s="1302"/>
    </row>
    <row r="56" spans="1:8" s="1" customFormat="1" ht="12" customHeight="1" x14ac:dyDescent="0.2">
      <c r="A56" s="1087" t="s">
        <v>241</v>
      </c>
      <c r="B56" s="735" t="s">
        <v>227</v>
      </c>
      <c r="C56" s="620"/>
      <c r="D56" s="621"/>
      <c r="E56" s="621"/>
      <c r="F56" s="621"/>
      <c r="G56" s="621"/>
      <c r="H56" s="1302"/>
    </row>
    <row r="57" spans="1:8" s="1" customFormat="1" ht="12" customHeight="1" x14ac:dyDescent="0.2">
      <c r="A57" s="1087" t="s">
        <v>242</v>
      </c>
      <c r="B57" s="735" t="s">
        <v>228</v>
      </c>
      <c r="C57" s="620"/>
      <c r="D57" s="621"/>
      <c r="E57" s="621"/>
      <c r="F57" s="621"/>
      <c r="G57" s="621"/>
      <c r="H57" s="1302"/>
    </row>
    <row r="58" spans="1:8" s="1" customFormat="1" ht="12" customHeight="1" x14ac:dyDescent="0.2">
      <c r="A58" s="1087" t="s">
        <v>243</v>
      </c>
      <c r="B58" s="735" t="s">
        <v>229</v>
      </c>
      <c r="C58" s="620"/>
      <c r="D58" s="621"/>
      <c r="E58" s="621"/>
      <c r="F58" s="621"/>
      <c r="G58" s="621"/>
      <c r="H58" s="1302"/>
    </row>
    <row r="59" spans="1:8" s="1" customFormat="1" ht="12" customHeight="1" x14ac:dyDescent="0.2">
      <c r="A59" s="801" t="s">
        <v>74</v>
      </c>
      <c r="B59" s="794" t="s">
        <v>230</v>
      </c>
      <c r="C59" s="579">
        <v>0</v>
      </c>
      <c r="D59" s="572">
        <v>0</v>
      </c>
      <c r="E59" s="572">
        <f>+E60+E61+E62+E63+E64</f>
        <v>0</v>
      </c>
      <c r="F59" s="572">
        <f>+F60+F61+F62+F63+F64</f>
        <v>0</v>
      </c>
      <c r="G59" s="572">
        <f>SUM(G60:G64)</f>
        <v>6185</v>
      </c>
      <c r="H59" s="1304">
        <v>0</v>
      </c>
    </row>
    <row r="60" spans="1:8" s="1" customFormat="1" ht="12" customHeight="1" x14ac:dyDescent="0.2">
      <c r="A60" s="1087" t="s">
        <v>244</v>
      </c>
      <c r="B60" s="735" t="s">
        <v>918</v>
      </c>
      <c r="C60" s="620"/>
      <c r="D60" s="621"/>
      <c r="E60" s="621"/>
      <c r="F60" s="621"/>
      <c r="G60" s="621"/>
      <c r="H60" s="1302"/>
    </row>
    <row r="61" spans="1:8" s="1" customFormat="1" ht="12" customHeight="1" x14ac:dyDescent="0.2">
      <c r="A61" s="1087" t="s">
        <v>245</v>
      </c>
      <c r="B61" s="735" t="s">
        <v>232</v>
      </c>
      <c r="C61" s="620"/>
      <c r="D61" s="621"/>
      <c r="E61" s="621"/>
      <c r="F61" s="621"/>
      <c r="G61" s="621"/>
      <c r="H61" s="1302"/>
    </row>
    <row r="62" spans="1:8" s="1" customFormat="1" ht="12" customHeight="1" x14ac:dyDescent="0.2">
      <c r="A62" s="1087" t="s">
        <v>246</v>
      </c>
      <c r="B62" s="735" t="s">
        <v>233</v>
      </c>
      <c r="C62" s="620"/>
      <c r="D62" s="621"/>
      <c r="E62" s="621"/>
      <c r="F62" s="621"/>
      <c r="G62" s="621"/>
      <c r="H62" s="1302"/>
    </row>
    <row r="63" spans="1:8" s="1" customFormat="1" ht="12" customHeight="1" x14ac:dyDescent="0.2">
      <c r="A63" s="1087" t="s">
        <v>247</v>
      </c>
      <c r="B63" s="735" t="s">
        <v>234</v>
      </c>
      <c r="C63" s="620"/>
      <c r="D63" s="621"/>
      <c r="E63" s="621"/>
      <c r="F63" s="621"/>
      <c r="G63" s="621"/>
      <c r="H63" s="1302"/>
    </row>
    <row r="64" spans="1:8" s="1" customFormat="1" ht="12" customHeight="1" thickBot="1" x14ac:dyDescent="0.25">
      <c r="A64" s="1088" t="s">
        <v>248</v>
      </c>
      <c r="B64" s="798" t="s">
        <v>235</v>
      </c>
      <c r="C64" s="632"/>
      <c r="D64" s="633"/>
      <c r="E64" s="633"/>
      <c r="F64" s="633"/>
      <c r="G64" s="633">
        <v>6185</v>
      </c>
      <c r="H64" s="1311">
        <v>0</v>
      </c>
    </row>
    <row r="65" spans="1:13" s="1" customFormat="1" ht="12" customHeight="1" thickBot="1" x14ac:dyDescent="0.25">
      <c r="A65" s="802" t="s">
        <v>866</v>
      </c>
      <c r="B65" s="747" t="s">
        <v>236</v>
      </c>
      <c r="C65" s="576">
        <v>329745</v>
      </c>
      <c r="D65" s="577">
        <v>341543</v>
      </c>
      <c r="E65" s="577">
        <f>+E51+E52</f>
        <v>318813</v>
      </c>
      <c r="F65" s="577">
        <f>+F51+F52</f>
        <v>491510</v>
      </c>
      <c r="G65" s="577">
        <f>+G51+G52</f>
        <v>491630</v>
      </c>
      <c r="H65" s="1310">
        <f t="shared" si="0"/>
        <v>1.0002441455921547</v>
      </c>
      <c r="L65" s="726"/>
      <c r="M65" s="726"/>
    </row>
    <row r="66" spans="1:13" s="1" customFormat="1" ht="13.5" customHeight="1" thickBot="1" x14ac:dyDescent="0.25">
      <c r="A66" s="803" t="s">
        <v>867</v>
      </c>
      <c r="B66" s="749" t="s">
        <v>237</v>
      </c>
      <c r="C66" s="634">
        <v>341</v>
      </c>
      <c r="D66" s="635"/>
      <c r="E66" s="635"/>
      <c r="F66" s="635"/>
      <c r="G66" s="635"/>
      <c r="H66" s="1312"/>
      <c r="M66" s="726"/>
    </row>
    <row r="67" spans="1:13" s="1" customFormat="1" ht="12" customHeight="1" thickBot="1" x14ac:dyDescent="0.25">
      <c r="A67" s="802" t="s">
        <v>868</v>
      </c>
      <c r="B67" s="747" t="s">
        <v>238</v>
      </c>
      <c r="C67" s="576">
        <v>330086</v>
      </c>
      <c r="D67" s="577">
        <v>341543</v>
      </c>
      <c r="E67" s="577">
        <f>+E65+E66</f>
        <v>318813</v>
      </c>
      <c r="F67" s="577">
        <f>+F65+F66</f>
        <v>491510</v>
      </c>
      <c r="G67" s="577">
        <f>+G65+G66</f>
        <v>491630</v>
      </c>
      <c r="H67" s="1310">
        <f t="shared" si="0"/>
        <v>1.0002441455921547</v>
      </c>
      <c r="I67" s="726"/>
    </row>
    <row r="68" spans="1:13" s="1" customFormat="1" ht="12.95" customHeight="1" x14ac:dyDescent="0.2">
      <c r="A68" s="6"/>
      <c r="B68" s="7"/>
      <c r="C68" s="580"/>
      <c r="D68" s="580"/>
      <c r="E68" s="580"/>
      <c r="F68" s="580"/>
      <c r="G68" s="580"/>
      <c r="H68" s="580"/>
    </row>
    <row r="69" spans="1:13" ht="16.5" customHeight="1" x14ac:dyDescent="0.25">
      <c r="A69" s="1613" t="s">
        <v>884</v>
      </c>
      <c r="B69" s="1613"/>
      <c r="C69" s="1613"/>
      <c r="D69" s="1613"/>
      <c r="E69" s="1613"/>
      <c r="F69" s="1613"/>
      <c r="G69" s="1613"/>
      <c r="H69" s="1613"/>
    </row>
    <row r="70" spans="1:13" s="268" customFormat="1" ht="16.5" customHeight="1" thickBot="1" x14ac:dyDescent="0.3">
      <c r="A70" s="1618" t="s">
        <v>81</v>
      </c>
      <c r="B70" s="1618"/>
      <c r="C70" s="111"/>
      <c r="D70" s="266"/>
      <c r="E70" s="266"/>
      <c r="F70" s="266"/>
      <c r="G70" s="266"/>
      <c r="H70" s="266" t="s">
        <v>270</v>
      </c>
    </row>
    <row r="71" spans="1:13" ht="38.1" customHeight="1" thickBot="1" x14ac:dyDescent="0.3">
      <c r="A71" s="28" t="s">
        <v>853</v>
      </c>
      <c r="B71" s="29" t="s">
        <v>885</v>
      </c>
      <c r="C71" s="556" t="s">
        <v>998</v>
      </c>
      <c r="D71" s="557" t="s">
        <v>999</v>
      </c>
      <c r="E71" s="1127" t="s">
        <v>943</v>
      </c>
      <c r="F71" s="557" t="s">
        <v>1067</v>
      </c>
      <c r="G71" s="557" t="s">
        <v>1093</v>
      </c>
      <c r="H71" s="1025" t="s">
        <v>1094</v>
      </c>
    </row>
    <row r="72" spans="1:13" s="39" customFormat="1" ht="12" customHeight="1" thickBot="1" x14ac:dyDescent="0.25">
      <c r="A72" s="33">
        <v>1</v>
      </c>
      <c r="B72" s="34">
        <v>2</v>
      </c>
      <c r="C72" s="556">
        <v>3</v>
      </c>
      <c r="D72" s="557">
        <v>4</v>
      </c>
      <c r="E72" s="1127">
        <v>3</v>
      </c>
      <c r="F72" s="557">
        <v>4</v>
      </c>
      <c r="G72" s="557">
        <v>5</v>
      </c>
      <c r="H72" s="1025">
        <v>6</v>
      </c>
    </row>
    <row r="73" spans="1:13" ht="12" customHeight="1" thickBot="1" x14ac:dyDescent="0.3">
      <c r="A73" s="25" t="s">
        <v>855</v>
      </c>
      <c r="B73" s="31" t="s">
        <v>143</v>
      </c>
      <c r="C73" s="560">
        <f t="shared" ref="C73:D73" si="2">+C74+C75+C76+C77+C78</f>
        <v>261680</v>
      </c>
      <c r="D73" s="560">
        <f t="shared" si="2"/>
        <v>307667</v>
      </c>
      <c r="E73" s="1128">
        <f>+E74+E75+E76+E77+E78</f>
        <v>265752</v>
      </c>
      <c r="F73" s="559">
        <f>+F74+F75+F76+F77+F78</f>
        <v>319515</v>
      </c>
      <c r="G73" s="559">
        <v>285879</v>
      </c>
      <c r="H73" s="1296">
        <f>G73/F73</f>
        <v>0.89472794704473968</v>
      </c>
    </row>
    <row r="74" spans="1:13" ht="12" customHeight="1" x14ac:dyDescent="0.25">
      <c r="A74" s="20" t="s">
        <v>40</v>
      </c>
      <c r="B74" s="12" t="s">
        <v>886</v>
      </c>
      <c r="C74" s="804">
        <v>108275</v>
      </c>
      <c r="D74" s="804">
        <v>143462</v>
      </c>
      <c r="E74" s="582">
        <f>'9. sz. mell'!F65+'10. sz. mell.'!F37+'11. sz. mell.'!F36</f>
        <v>128480</v>
      </c>
      <c r="F74" s="582">
        <f>'9. sz. mell'!G65+'10. sz. mell.'!G37+'11. sz. mell.'!G36</f>
        <v>131129</v>
      </c>
      <c r="G74" s="582">
        <v>122052</v>
      </c>
      <c r="H74" s="1313">
        <f t="shared" ref="H74:H123" si="3">G74/F74</f>
        <v>0.93077808875229739</v>
      </c>
    </row>
    <row r="75" spans="1:13" ht="12" customHeight="1" x14ac:dyDescent="0.25">
      <c r="A75" s="16" t="s">
        <v>41</v>
      </c>
      <c r="B75" s="9" t="s">
        <v>144</v>
      </c>
      <c r="C75" s="805">
        <v>25837</v>
      </c>
      <c r="D75" s="805">
        <v>37659</v>
      </c>
      <c r="E75" s="565">
        <f>'9. sz. mell'!F66+'10. sz. mell.'!F38+'11. sz. mell.'!F37</f>
        <v>33112</v>
      </c>
      <c r="F75" s="565">
        <f>'9. sz. mell'!G66+'10. sz. mell.'!G38+'11. sz. mell.'!G37</f>
        <v>34639</v>
      </c>
      <c r="G75" s="565">
        <v>32751</v>
      </c>
      <c r="H75" s="1298">
        <f t="shared" si="3"/>
        <v>0.94549496232570229</v>
      </c>
    </row>
    <row r="76" spans="1:13" ht="12" customHeight="1" x14ac:dyDescent="0.25">
      <c r="A76" s="16" t="s">
        <v>42</v>
      </c>
      <c r="B76" s="9" t="s">
        <v>70</v>
      </c>
      <c r="C76" s="805">
        <v>101169</v>
      </c>
      <c r="D76" s="805">
        <v>105330</v>
      </c>
      <c r="E76" s="565">
        <f>'9. sz. mell'!F67+'10. sz. mell.'!F39+'11. sz. mell.'!F38</f>
        <v>88289</v>
      </c>
      <c r="F76" s="565">
        <f>'9. sz. mell'!G67+'10. sz. mell.'!G39+'11. sz. mell.'!G38</f>
        <v>129141</v>
      </c>
      <c r="G76" s="565">
        <v>115604</v>
      </c>
      <c r="H76" s="1298">
        <f t="shared" si="3"/>
        <v>0.89517658992883742</v>
      </c>
    </row>
    <row r="77" spans="1:13" ht="12" customHeight="1" x14ac:dyDescent="0.25">
      <c r="A77" s="16" t="s">
        <v>43</v>
      </c>
      <c r="B77" s="13" t="s">
        <v>145</v>
      </c>
      <c r="C77" s="805">
        <v>17819</v>
      </c>
      <c r="D77" s="805">
        <v>13626</v>
      </c>
      <c r="E77" s="565">
        <f>'9. sz. mell'!F68+'10. sz. mell.'!F40+'11. sz. mell.'!F39</f>
        <v>9584</v>
      </c>
      <c r="F77" s="565">
        <f>'9. sz. mell'!G68+'10. sz. mell.'!G40+'11. sz. mell.'!G39</f>
        <v>11297</v>
      </c>
      <c r="G77" s="565">
        <v>9120</v>
      </c>
      <c r="H77" s="1298">
        <f t="shared" si="3"/>
        <v>0.80729397185093388</v>
      </c>
    </row>
    <row r="78" spans="1:13" ht="12" customHeight="1" x14ac:dyDescent="0.25">
      <c r="A78" s="16" t="s">
        <v>53</v>
      </c>
      <c r="B78" s="22" t="s">
        <v>146</v>
      </c>
      <c r="C78" s="585">
        <v>8580</v>
      </c>
      <c r="D78" s="585">
        <v>7590</v>
      </c>
      <c r="E78" s="585">
        <f>SUM(E79:E86)</f>
        <v>6287</v>
      </c>
      <c r="F78" s="585">
        <f>SUM(F79:F86)</f>
        <v>13309</v>
      </c>
      <c r="G78" s="585">
        <v>6352</v>
      </c>
      <c r="H78" s="1299">
        <f t="shared" si="3"/>
        <v>0.47727101961078972</v>
      </c>
    </row>
    <row r="79" spans="1:13" ht="12" customHeight="1" x14ac:dyDescent="0.25">
      <c r="A79" s="16" t="s">
        <v>44</v>
      </c>
      <c r="B79" s="9" t="s">
        <v>168</v>
      </c>
      <c r="C79" s="586">
        <f>'9. sz. mell'!D70</f>
        <v>0</v>
      </c>
      <c r="D79" s="586">
        <f>'9. sz. mell'!E70</f>
        <v>0</v>
      </c>
      <c r="E79" s="1129">
        <f>'9. sz. mell'!F70</f>
        <v>0</v>
      </c>
      <c r="F79" s="585">
        <f>'9. sz. mell'!G70</f>
        <v>0</v>
      </c>
      <c r="G79" s="585"/>
      <c r="H79" s="1299"/>
    </row>
    <row r="80" spans="1:13" ht="12" customHeight="1" x14ac:dyDescent="0.25">
      <c r="A80" s="16" t="s">
        <v>45</v>
      </c>
      <c r="B80" s="114" t="s">
        <v>169</v>
      </c>
      <c r="C80" s="586">
        <f>'9. sz. mell'!D71</f>
        <v>0</v>
      </c>
      <c r="D80" s="586">
        <f>'9. sz. mell'!E71</f>
        <v>0</v>
      </c>
      <c r="E80" s="1129">
        <f>'9. sz. mell'!F71</f>
        <v>0</v>
      </c>
      <c r="F80" s="585">
        <f>'9. sz. mell'!G71</f>
        <v>0</v>
      </c>
      <c r="G80" s="585"/>
      <c r="H80" s="1299"/>
    </row>
    <row r="81" spans="1:8" ht="12" customHeight="1" x14ac:dyDescent="0.25">
      <c r="A81" s="16" t="s">
        <v>54</v>
      </c>
      <c r="B81" s="114" t="s">
        <v>249</v>
      </c>
      <c r="C81" s="586"/>
      <c r="D81" s="586">
        <f>'9. sz. mell'!E72</f>
        <v>0</v>
      </c>
      <c r="E81" s="1129">
        <f>'9. sz. mell'!F72</f>
        <v>302</v>
      </c>
      <c r="F81" s="585">
        <f>'9. sz. mell'!G72</f>
        <v>302</v>
      </c>
      <c r="G81" s="585">
        <v>302</v>
      </c>
      <c r="H81" s="1299">
        <f t="shared" si="3"/>
        <v>1</v>
      </c>
    </row>
    <row r="82" spans="1:8" ht="12" customHeight="1" x14ac:dyDescent="0.25">
      <c r="A82" s="16" t="s">
        <v>55</v>
      </c>
      <c r="B82" s="115" t="s">
        <v>170</v>
      </c>
      <c r="C82" s="586">
        <v>6325</v>
      </c>
      <c r="D82" s="586">
        <v>5960</v>
      </c>
      <c r="E82" s="1129">
        <f>'9. sz. mell'!F73</f>
        <v>4679</v>
      </c>
      <c r="F82" s="585">
        <f>'9. sz. mell'!G73</f>
        <v>5053</v>
      </c>
      <c r="G82" s="585">
        <v>4594</v>
      </c>
      <c r="H82" s="1299">
        <f t="shared" si="3"/>
        <v>0.90916287354047098</v>
      </c>
    </row>
    <row r="83" spans="1:8" ht="12" customHeight="1" x14ac:dyDescent="0.25">
      <c r="A83" s="15"/>
      <c r="B83" s="115" t="s">
        <v>1082</v>
      </c>
      <c r="C83" s="586"/>
      <c r="D83" s="586"/>
      <c r="E83" s="1129">
        <f>'9. sz. mell'!F74</f>
        <v>1000</v>
      </c>
      <c r="F83" s="585">
        <f>'9. sz. mell'!G74</f>
        <v>1000</v>
      </c>
      <c r="G83" s="585">
        <v>1000</v>
      </c>
      <c r="H83" s="1299">
        <f t="shared" si="3"/>
        <v>1</v>
      </c>
    </row>
    <row r="84" spans="1:8" ht="12" customHeight="1" x14ac:dyDescent="0.25">
      <c r="A84" s="15" t="s">
        <v>56</v>
      </c>
      <c r="B84" s="116" t="s">
        <v>171</v>
      </c>
      <c r="C84" s="586">
        <f>'9. sz. mell'!D74</f>
        <v>0</v>
      </c>
      <c r="D84" s="591"/>
      <c r="E84" s="565">
        <f>'9. sz. mell'!F75</f>
        <v>0</v>
      </c>
      <c r="F84" s="565">
        <f>'9. sz. mell'!G75</f>
        <v>6548</v>
      </c>
      <c r="G84" s="565"/>
      <c r="H84" s="1298">
        <f t="shared" si="3"/>
        <v>0</v>
      </c>
    </row>
    <row r="85" spans="1:8" ht="12" customHeight="1" x14ac:dyDescent="0.25">
      <c r="A85" s="16" t="s">
        <v>57</v>
      </c>
      <c r="B85" s="116" t="s">
        <v>172</v>
      </c>
      <c r="C85" s="586">
        <v>1964</v>
      </c>
      <c r="D85" s="591">
        <v>130</v>
      </c>
      <c r="E85" s="1057"/>
      <c r="F85" s="565">
        <f>'9. sz. mell'!G76</f>
        <v>100</v>
      </c>
      <c r="G85" s="565">
        <v>168</v>
      </c>
      <c r="H85" s="1298">
        <f t="shared" si="3"/>
        <v>1.68</v>
      </c>
    </row>
    <row r="86" spans="1:8" ht="12" customHeight="1" thickBot="1" x14ac:dyDescent="0.3">
      <c r="A86" s="21" t="s">
        <v>59</v>
      </c>
      <c r="B86" s="117" t="s">
        <v>1059</v>
      </c>
      <c r="C86" s="586">
        <f>'9. sz. mell'!D77</f>
        <v>0</v>
      </c>
      <c r="D86" s="586">
        <v>1500</v>
      </c>
      <c r="E86" s="1129">
        <f>'9. sz. mell'!F77</f>
        <v>306</v>
      </c>
      <c r="F86" s="585">
        <f>'9. sz. mell'!G77</f>
        <v>306</v>
      </c>
      <c r="G86" s="585">
        <v>288</v>
      </c>
      <c r="H86" s="1299">
        <f t="shared" si="3"/>
        <v>0.94117647058823528</v>
      </c>
    </row>
    <row r="87" spans="1:8" ht="12" customHeight="1" thickBot="1" x14ac:dyDescent="0.3">
      <c r="A87" s="23" t="s">
        <v>856</v>
      </c>
      <c r="B87" s="30" t="s">
        <v>280</v>
      </c>
      <c r="C87" s="566">
        <v>17724</v>
      </c>
      <c r="D87" s="562">
        <v>18175</v>
      </c>
      <c r="E87" s="1130">
        <f>+E88+E89+E90</f>
        <v>46469</v>
      </c>
      <c r="F87" s="562">
        <f>+F88+F89+F90</f>
        <v>143030</v>
      </c>
      <c r="G87" s="562">
        <v>110861</v>
      </c>
      <c r="H87" s="1297">
        <f t="shared" si="3"/>
        <v>0.77508914213801305</v>
      </c>
    </row>
    <row r="88" spans="1:8" ht="12" customHeight="1" x14ac:dyDescent="0.25">
      <c r="A88" s="18" t="s">
        <v>46</v>
      </c>
      <c r="B88" s="9" t="s">
        <v>250</v>
      </c>
      <c r="C88" s="589">
        <v>14406</v>
      </c>
      <c r="D88" s="590">
        <v>10099</v>
      </c>
      <c r="E88" s="1131">
        <f>'9. sz. mell'!F79</f>
        <v>9602</v>
      </c>
      <c r="F88" s="590">
        <f>'9. sz. mell'!G79+'11. sz. mell.'!G42</f>
        <v>26046</v>
      </c>
      <c r="G88" s="590">
        <v>5370</v>
      </c>
      <c r="H88" s="1301">
        <f t="shared" si="3"/>
        <v>0.20617369269753513</v>
      </c>
    </row>
    <row r="89" spans="1:8" ht="12" customHeight="1" x14ac:dyDescent="0.25">
      <c r="A89" s="18" t="s">
        <v>47</v>
      </c>
      <c r="B89" s="14" t="s">
        <v>148</v>
      </c>
      <c r="C89" s="583">
        <v>3307</v>
      </c>
      <c r="D89" s="565">
        <v>8076</v>
      </c>
      <c r="E89" s="1131">
        <f>'9. sz. mell'!F80</f>
        <v>36867</v>
      </c>
      <c r="F89" s="590">
        <f>'9. sz. mell'!G80</f>
        <v>114931</v>
      </c>
      <c r="G89" s="590">
        <v>103413</v>
      </c>
      <c r="H89" s="1301">
        <f t="shared" si="3"/>
        <v>0.89978334826983142</v>
      </c>
    </row>
    <row r="90" spans="1:8" ht="12" customHeight="1" x14ac:dyDescent="0.25">
      <c r="A90" s="18" t="s">
        <v>48</v>
      </c>
      <c r="B90" s="735" t="s">
        <v>281</v>
      </c>
      <c r="C90" s="564">
        <v>11</v>
      </c>
      <c r="D90" s="565"/>
      <c r="E90" s="1131">
        <f>'9. sz. mell'!F81</f>
        <v>0</v>
      </c>
      <c r="F90" s="590">
        <f>'9. sz. mell'!G81</f>
        <v>2053</v>
      </c>
      <c r="G90" s="590">
        <v>2078</v>
      </c>
      <c r="H90" s="1301">
        <f t="shared" si="3"/>
        <v>1.0121773015099853</v>
      </c>
    </row>
    <row r="91" spans="1:8" ht="12" customHeight="1" x14ac:dyDescent="0.25">
      <c r="A91" s="18" t="s">
        <v>49</v>
      </c>
      <c r="B91" s="735" t="s">
        <v>347</v>
      </c>
      <c r="C91" s="564"/>
      <c r="D91" s="565"/>
      <c r="E91" s="1131">
        <f>'9. sz. mell'!F82</f>
        <v>0</v>
      </c>
      <c r="F91" s="590">
        <f>'9. sz. mell'!G82</f>
        <v>209</v>
      </c>
      <c r="G91" s="590">
        <v>209</v>
      </c>
      <c r="H91" s="1301">
        <f t="shared" si="3"/>
        <v>1</v>
      </c>
    </row>
    <row r="92" spans="1:8" ht="12" customHeight="1" x14ac:dyDescent="0.25">
      <c r="A92" s="18" t="s">
        <v>50</v>
      </c>
      <c r="B92" s="735" t="s">
        <v>282</v>
      </c>
      <c r="C92" s="564"/>
      <c r="D92" s="565"/>
      <c r="E92" s="1131">
        <f>'9. sz. mell'!F83</f>
        <v>0</v>
      </c>
      <c r="F92" s="590">
        <f>'9. sz. mell'!G83</f>
        <v>0</v>
      </c>
      <c r="G92" s="590"/>
      <c r="H92" s="1301"/>
    </row>
    <row r="93" spans="1:8" x14ac:dyDescent="0.25">
      <c r="A93" s="18" t="s">
        <v>58</v>
      </c>
      <c r="B93" s="735" t="s">
        <v>283</v>
      </c>
      <c r="C93" s="564">
        <v>11</v>
      </c>
      <c r="D93" s="565"/>
      <c r="E93" s="1131">
        <f>'9. sz. mell'!F84</f>
        <v>0</v>
      </c>
      <c r="F93" s="590">
        <f>'9. sz. mell'!G84</f>
        <v>0</v>
      </c>
      <c r="G93" s="590"/>
      <c r="H93" s="1301"/>
    </row>
    <row r="94" spans="1:8" ht="12" customHeight="1" x14ac:dyDescent="0.25">
      <c r="A94" s="18" t="s">
        <v>60</v>
      </c>
      <c r="B94" s="736" t="s">
        <v>254</v>
      </c>
      <c r="C94" s="564"/>
      <c r="D94" s="565"/>
      <c r="E94" s="1131">
        <f>'9. sz. mell'!F85</f>
        <v>0</v>
      </c>
      <c r="F94" s="590">
        <f>'9. sz. mell'!G85</f>
        <v>0</v>
      </c>
      <c r="G94" s="590"/>
      <c r="H94" s="1301"/>
    </row>
    <row r="95" spans="1:8" ht="12" customHeight="1" x14ac:dyDescent="0.25">
      <c r="A95" s="18" t="s">
        <v>149</v>
      </c>
      <c r="B95" s="736" t="s">
        <v>255</v>
      </c>
      <c r="C95" s="564"/>
      <c r="D95" s="565"/>
      <c r="E95" s="1131">
        <f>'9. sz. mell'!F86</f>
        <v>0</v>
      </c>
      <c r="F95" s="590">
        <f>'9. sz. mell'!G86</f>
        <v>0</v>
      </c>
      <c r="G95" s="590"/>
      <c r="H95" s="1301"/>
    </row>
    <row r="96" spans="1:8" ht="12" customHeight="1" x14ac:dyDescent="0.25">
      <c r="A96" s="18" t="s">
        <v>150</v>
      </c>
      <c r="B96" s="736" t="s">
        <v>253</v>
      </c>
      <c r="C96" s="564"/>
      <c r="D96" s="565"/>
      <c r="E96" s="1131">
        <f>'9. sz. mell'!F87</f>
        <v>0</v>
      </c>
      <c r="F96" s="590">
        <f>'9. sz. mell'!G87</f>
        <v>1844</v>
      </c>
      <c r="G96" s="590">
        <v>1869</v>
      </c>
      <c r="H96" s="1301">
        <f t="shared" si="3"/>
        <v>1.0135574837310195</v>
      </c>
    </row>
    <row r="97" spans="1:8" ht="24" customHeight="1" thickBot="1" x14ac:dyDescent="0.3">
      <c r="A97" s="15" t="s">
        <v>151</v>
      </c>
      <c r="B97" s="737" t="s">
        <v>252</v>
      </c>
      <c r="C97" s="591"/>
      <c r="D97" s="585"/>
      <c r="E97" s="1129"/>
      <c r="F97" s="585"/>
      <c r="G97" s="585"/>
      <c r="H97" s="1299"/>
    </row>
    <row r="98" spans="1:8" ht="12" customHeight="1" thickBot="1" x14ac:dyDescent="0.3">
      <c r="A98" s="23" t="s">
        <v>857</v>
      </c>
      <c r="B98" s="95" t="s">
        <v>284</v>
      </c>
      <c r="C98" s="566">
        <v>0</v>
      </c>
      <c r="D98" s="562">
        <v>15701</v>
      </c>
      <c r="E98" s="1130">
        <f>+E99+E100</f>
        <v>6592</v>
      </c>
      <c r="F98" s="562">
        <f>+F99+F100</f>
        <v>23261</v>
      </c>
      <c r="G98" s="562"/>
      <c r="H98" s="1297">
        <f t="shared" si="3"/>
        <v>0</v>
      </c>
    </row>
    <row r="99" spans="1:8" ht="12" customHeight="1" x14ac:dyDescent="0.25">
      <c r="A99" s="18" t="s">
        <v>20</v>
      </c>
      <c r="B99" s="11" t="s">
        <v>3</v>
      </c>
      <c r="C99" s="589"/>
      <c r="D99" s="590">
        <v>12884</v>
      </c>
      <c r="E99" s="1131">
        <f>'9. sz. mell'!F90</f>
        <v>3346</v>
      </c>
      <c r="F99" s="590">
        <f>'9. sz. mell'!G90</f>
        <v>18296</v>
      </c>
      <c r="G99" s="590"/>
      <c r="H99" s="1301">
        <f t="shared" si="3"/>
        <v>0</v>
      </c>
    </row>
    <row r="100" spans="1:8" ht="12" customHeight="1" thickBot="1" x14ac:dyDescent="0.3">
      <c r="A100" s="19" t="s">
        <v>21</v>
      </c>
      <c r="B100" s="14" t="s">
        <v>4</v>
      </c>
      <c r="C100" s="584">
        <v>0</v>
      </c>
      <c r="D100" s="585">
        <v>2817</v>
      </c>
      <c r="E100" s="1129">
        <f>'9. sz. mell'!F91</f>
        <v>3246</v>
      </c>
      <c r="F100" s="585">
        <f>'9. sz. mell'!G91</f>
        <v>4965</v>
      </c>
      <c r="G100" s="585"/>
      <c r="H100" s="1299">
        <f t="shared" si="3"/>
        <v>0</v>
      </c>
    </row>
    <row r="101" spans="1:8" s="244" customFormat="1" ht="12" customHeight="1" thickBot="1" x14ac:dyDescent="0.25">
      <c r="A101" s="738" t="s">
        <v>858</v>
      </c>
      <c r="B101" s="739" t="s">
        <v>256</v>
      </c>
      <c r="C101" s="592"/>
      <c r="D101" s="593"/>
      <c r="E101" s="1132"/>
      <c r="F101" s="593"/>
      <c r="G101" s="593"/>
      <c r="H101" s="1300"/>
    </row>
    <row r="102" spans="1:8" ht="12" customHeight="1" thickBot="1" x14ac:dyDescent="0.3">
      <c r="A102" s="242" t="s">
        <v>859</v>
      </c>
      <c r="B102" s="243" t="s">
        <v>86</v>
      </c>
      <c r="C102" s="558">
        <v>279404</v>
      </c>
      <c r="D102" s="559">
        <v>341543</v>
      </c>
      <c r="E102" s="1128">
        <f>+E73+E87+E98+E101</f>
        <v>318813</v>
      </c>
      <c r="F102" s="559">
        <f>+F73+F87+F98+F101</f>
        <v>485806</v>
      </c>
      <c r="G102" s="559">
        <f>+G73+G87+G98+G101</f>
        <v>396740</v>
      </c>
      <c r="H102" s="1296">
        <f t="shared" si="3"/>
        <v>0.81666344178540407</v>
      </c>
    </row>
    <row r="103" spans="1:8" ht="12" customHeight="1" thickBot="1" x14ac:dyDescent="0.3">
      <c r="A103" s="738" t="s">
        <v>860</v>
      </c>
      <c r="B103" s="739" t="s">
        <v>348</v>
      </c>
      <c r="C103" s="566">
        <v>0</v>
      </c>
      <c r="D103" s="562">
        <v>0</v>
      </c>
      <c r="E103" s="1130">
        <f>+E104+E112</f>
        <v>0</v>
      </c>
      <c r="F103" s="562">
        <f>+F104+F112</f>
        <v>5704</v>
      </c>
      <c r="G103" s="562"/>
      <c r="H103" s="1297">
        <f t="shared" si="3"/>
        <v>0</v>
      </c>
    </row>
    <row r="104" spans="1:8" ht="12" customHeight="1" thickBot="1" x14ac:dyDescent="0.3">
      <c r="A104" s="740" t="s">
        <v>27</v>
      </c>
      <c r="B104" s="741" t="s">
        <v>353</v>
      </c>
      <c r="C104" s="636">
        <v>0</v>
      </c>
      <c r="D104" s="806">
        <v>0</v>
      </c>
      <c r="E104" s="1133">
        <f>+E105+E106+E107+E108+E109+E110+E111</f>
        <v>0</v>
      </c>
      <c r="F104" s="806">
        <f>+F105+F106+F107+F108+F109+F110+F111</f>
        <v>5704</v>
      </c>
      <c r="G104" s="806"/>
      <c r="H104" s="1314">
        <f t="shared" si="3"/>
        <v>0</v>
      </c>
    </row>
    <row r="105" spans="1:8" ht="12" customHeight="1" x14ac:dyDescent="0.25">
      <c r="A105" s="742" t="s">
        <v>30</v>
      </c>
      <c r="B105" s="743" t="s">
        <v>257</v>
      </c>
      <c r="C105" s="727"/>
      <c r="D105" s="807"/>
      <c r="E105" s="1134"/>
      <c r="F105" s="807"/>
      <c r="G105" s="807"/>
      <c r="H105" s="1315"/>
    </row>
    <row r="106" spans="1:8" ht="12" customHeight="1" x14ac:dyDescent="0.25">
      <c r="A106" s="744" t="s">
        <v>31</v>
      </c>
      <c r="B106" s="735" t="s">
        <v>258</v>
      </c>
      <c r="C106" s="728"/>
      <c r="D106" s="808"/>
      <c r="E106" s="1135"/>
      <c r="F106" s="808"/>
      <c r="G106" s="808"/>
      <c r="H106" s="1316"/>
    </row>
    <row r="107" spans="1:8" ht="12" customHeight="1" x14ac:dyDescent="0.25">
      <c r="A107" s="744" t="s">
        <v>32</v>
      </c>
      <c r="B107" s="735" t="s">
        <v>259</v>
      </c>
      <c r="C107" s="770"/>
      <c r="D107" s="809"/>
      <c r="E107" s="1135"/>
      <c r="F107" s="808"/>
      <c r="G107" s="808"/>
      <c r="H107" s="1316"/>
    </row>
    <row r="108" spans="1:8" ht="12" customHeight="1" x14ac:dyDescent="0.25">
      <c r="A108" s="744" t="s">
        <v>33</v>
      </c>
      <c r="B108" s="735" t="s">
        <v>260</v>
      </c>
      <c r="C108" s="770"/>
      <c r="D108" s="809"/>
      <c r="E108" s="1135"/>
      <c r="F108" s="808"/>
      <c r="G108" s="808"/>
      <c r="H108" s="1316"/>
    </row>
    <row r="109" spans="1:8" ht="12" customHeight="1" x14ac:dyDescent="0.25">
      <c r="A109" s="744" t="s">
        <v>134</v>
      </c>
      <c r="B109" s="735" t="s">
        <v>261</v>
      </c>
      <c r="C109" s="770"/>
      <c r="D109" s="809"/>
      <c r="E109" s="1135"/>
      <c r="F109" s="808"/>
      <c r="G109" s="808"/>
      <c r="H109" s="1316"/>
    </row>
    <row r="110" spans="1:8" ht="12" customHeight="1" x14ac:dyDescent="0.25">
      <c r="A110" s="744" t="s">
        <v>152</v>
      </c>
      <c r="B110" s="735" t="s">
        <v>262</v>
      </c>
      <c r="C110" s="770"/>
      <c r="D110" s="809"/>
      <c r="E110" s="1135"/>
      <c r="F110" s="808"/>
      <c r="G110" s="808"/>
      <c r="H110" s="1316"/>
    </row>
    <row r="111" spans="1:8" ht="12" customHeight="1" thickBot="1" x14ac:dyDescent="0.3">
      <c r="A111" s="745" t="s">
        <v>153</v>
      </c>
      <c r="B111" s="746" t="s">
        <v>1079</v>
      </c>
      <c r="C111" s="771"/>
      <c r="D111" s="810"/>
      <c r="E111" s="1136"/>
      <c r="F111" s="585">
        <f>'9. sz. mell'!G96</f>
        <v>5704</v>
      </c>
      <c r="G111" s="585"/>
      <c r="H111" s="1299">
        <f t="shared" si="3"/>
        <v>0</v>
      </c>
    </row>
    <row r="112" spans="1:8" ht="12" customHeight="1" thickBot="1" x14ac:dyDescent="0.3">
      <c r="A112" s="740" t="s">
        <v>28</v>
      </c>
      <c r="B112" s="741" t="s">
        <v>354</v>
      </c>
      <c r="C112" s="772">
        <v>0</v>
      </c>
      <c r="D112" s="811">
        <v>0</v>
      </c>
      <c r="E112" s="1133">
        <f>+E113+E114+E115+E116+E117+E118+E119+E120</f>
        <v>0</v>
      </c>
      <c r="F112" s="806">
        <f>+F113+F114+F115+F116+F117+F118+F119+F120</f>
        <v>0</v>
      </c>
      <c r="G112" s="806"/>
      <c r="H112" s="1314"/>
    </row>
    <row r="113" spans="1:13" ht="12" customHeight="1" x14ac:dyDescent="0.25">
      <c r="A113" s="742" t="s">
        <v>36</v>
      </c>
      <c r="B113" s="743" t="s">
        <v>257</v>
      </c>
      <c r="C113" s="773"/>
      <c r="D113" s="812"/>
      <c r="E113" s="1134"/>
      <c r="F113" s="807"/>
      <c r="G113" s="807"/>
      <c r="H113" s="1315"/>
    </row>
    <row r="114" spans="1:13" ht="12" customHeight="1" x14ac:dyDescent="0.25">
      <c r="A114" s="744" t="s">
        <v>37</v>
      </c>
      <c r="B114" s="735" t="s">
        <v>264</v>
      </c>
      <c r="C114" s="770"/>
      <c r="D114" s="809"/>
      <c r="E114" s="1135"/>
      <c r="F114" s="808"/>
      <c r="G114" s="808"/>
      <c r="H114" s="1316"/>
    </row>
    <row r="115" spans="1:13" ht="12" customHeight="1" x14ac:dyDescent="0.25">
      <c r="A115" s="744" t="s">
        <v>38</v>
      </c>
      <c r="B115" s="735" t="s">
        <v>259</v>
      </c>
      <c r="C115" s="770"/>
      <c r="D115" s="809"/>
      <c r="E115" s="1135"/>
      <c r="F115" s="808"/>
      <c r="G115" s="808"/>
      <c r="H115" s="1316"/>
    </row>
    <row r="116" spans="1:13" ht="12" customHeight="1" x14ac:dyDescent="0.25">
      <c r="A116" s="744" t="s">
        <v>39</v>
      </c>
      <c r="B116" s="735" t="s">
        <v>260</v>
      </c>
      <c r="C116" s="770"/>
      <c r="D116" s="809"/>
      <c r="E116" s="1135"/>
      <c r="F116" s="808"/>
      <c r="G116" s="808"/>
      <c r="H116" s="1316"/>
    </row>
    <row r="117" spans="1:13" ht="12" customHeight="1" x14ac:dyDescent="0.25">
      <c r="A117" s="744" t="s">
        <v>135</v>
      </c>
      <c r="B117" s="735" t="s">
        <v>261</v>
      </c>
      <c r="C117" s="770"/>
      <c r="D117" s="809"/>
      <c r="E117" s="1135"/>
      <c r="F117" s="808"/>
      <c r="G117" s="808"/>
      <c r="H117" s="1316"/>
    </row>
    <row r="118" spans="1:13" ht="12" customHeight="1" x14ac:dyDescent="0.25">
      <c r="A118" s="744" t="s">
        <v>154</v>
      </c>
      <c r="B118" s="735" t="s">
        <v>265</v>
      </c>
      <c r="C118" s="770"/>
      <c r="D118" s="809"/>
      <c r="E118" s="1135"/>
      <c r="F118" s="808"/>
      <c r="G118" s="808"/>
      <c r="H118" s="1316"/>
    </row>
    <row r="119" spans="1:13" ht="12" customHeight="1" x14ac:dyDescent="0.25">
      <c r="A119" s="744" t="s">
        <v>155</v>
      </c>
      <c r="B119" s="735" t="s">
        <v>263</v>
      </c>
      <c r="C119" s="728"/>
      <c r="D119" s="808"/>
      <c r="E119" s="1135"/>
      <c r="F119" s="808"/>
      <c r="G119" s="808"/>
      <c r="H119" s="1316"/>
    </row>
    <row r="120" spans="1:13" ht="12" customHeight="1" thickBot="1" x14ac:dyDescent="0.3">
      <c r="A120" s="745" t="s">
        <v>156</v>
      </c>
      <c r="B120" s="746" t="s">
        <v>351</v>
      </c>
      <c r="C120" s="729"/>
      <c r="D120" s="813"/>
      <c r="E120" s="1136"/>
      <c r="F120" s="813"/>
      <c r="G120" s="813"/>
      <c r="H120" s="1317"/>
    </row>
    <row r="121" spans="1:13" ht="12" customHeight="1" thickBot="1" x14ac:dyDescent="0.3">
      <c r="A121" s="738" t="s">
        <v>861</v>
      </c>
      <c r="B121" s="747" t="s">
        <v>266</v>
      </c>
      <c r="C121" s="730">
        <v>279404</v>
      </c>
      <c r="D121" s="814">
        <v>341543</v>
      </c>
      <c r="E121" s="1137">
        <f>+E102+E103</f>
        <v>318813</v>
      </c>
      <c r="F121" s="814">
        <f>+F102+F103</f>
        <v>491510</v>
      </c>
      <c r="G121" s="814">
        <f>+G102+G103</f>
        <v>396740</v>
      </c>
      <c r="H121" s="1318">
        <f t="shared" si="3"/>
        <v>0.80718601859575589</v>
      </c>
    </row>
    <row r="122" spans="1:13" ht="15" customHeight="1" thickBot="1" x14ac:dyDescent="0.3">
      <c r="A122" s="738" t="s">
        <v>862</v>
      </c>
      <c r="B122" s="747" t="s">
        <v>267</v>
      </c>
      <c r="C122" s="815">
        <v>6015</v>
      </c>
      <c r="D122" s="816"/>
      <c r="E122" s="1138"/>
      <c r="F122" s="1139"/>
      <c r="G122" s="1139"/>
      <c r="H122" s="1319"/>
      <c r="I122" s="96"/>
    </row>
    <row r="123" spans="1:13" s="1" customFormat="1" ht="12.95" customHeight="1" thickBot="1" x14ac:dyDescent="0.25">
      <c r="A123" s="748" t="s">
        <v>863</v>
      </c>
      <c r="B123" s="749" t="s">
        <v>268</v>
      </c>
      <c r="C123" s="576">
        <v>285419</v>
      </c>
      <c r="D123" s="577">
        <v>341543</v>
      </c>
      <c r="E123" s="1140">
        <f>+E121+E122</f>
        <v>318813</v>
      </c>
      <c r="F123" s="577">
        <f>+F121+F122</f>
        <v>491510</v>
      </c>
      <c r="G123" s="577">
        <f>+G121+G122</f>
        <v>396740</v>
      </c>
      <c r="H123" s="1310">
        <f t="shared" si="3"/>
        <v>0.80718601859575589</v>
      </c>
      <c r="M123" s="726"/>
    </row>
    <row r="124" spans="1:13" ht="15.75" customHeight="1" x14ac:dyDescent="0.25">
      <c r="A124" s="350"/>
      <c r="B124" s="350"/>
      <c r="C124" s="606"/>
      <c r="D124" s="606"/>
      <c r="E124" s="606"/>
      <c r="F124" s="606"/>
      <c r="G124" s="606"/>
      <c r="H124" s="606"/>
    </row>
    <row r="125" spans="1:13" x14ac:dyDescent="0.25">
      <c r="A125" s="1619" t="s">
        <v>89</v>
      </c>
      <c r="B125" s="1619"/>
      <c r="C125" s="1619"/>
      <c r="D125" s="1619"/>
      <c r="E125" s="1619"/>
      <c r="F125" s="1619"/>
      <c r="G125" s="1619"/>
      <c r="H125" s="1619"/>
    </row>
    <row r="126" spans="1:13" ht="15" customHeight="1" thickBot="1" x14ac:dyDescent="0.3">
      <c r="A126" s="1617" t="s">
        <v>82</v>
      </c>
      <c r="B126" s="1617"/>
      <c r="C126" s="266"/>
      <c r="D126" s="266"/>
      <c r="E126" s="266"/>
      <c r="F126" s="266"/>
      <c r="G126" s="266"/>
      <c r="H126" s="266"/>
    </row>
    <row r="127" spans="1:13" ht="13.5" customHeight="1" thickBot="1" x14ac:dyDescent="0.3">
      <c r="A127" s="23">
        <v>1</v>
      </c>
      <c r="B127" s="30" t="s">
        <v>163</v>
      </c>
      <c r="C127" s="566">
        <f t="shared" ref="C127:H127" si="4">+C51-C102</f>
        <v>-2256</v>
      </c>
      <c r="D127" s="566">
        <f t="shared" si="4"/>
        <v>-48271</v>
      </c>
      <c r="E127" s="566">
        <f t="shared" si="4"/>
        <v>0</v>
      </c>
      <c r="F127" s="607">
        <f t="shared" si="4"/>
        <v>-54701</v>
      </c>
      <c r="G127" s="607">
        <f t="shared" si="4"/>
        <v>28308</v>
      </c>
      <c r="H127" s="607">
        <f t="shared" si="4"/>
        <v>0.16928661678501378</v>
      </c>
    </row>
    <row r="128" spans="1:13" ht="7.5" customHeight="1" x14ac:dyDescent="0.25">
      <c r="A128" s="350"/>
      <c r="B128" s="350"/>
      <c r="C128" s="606"/>
      <c r="D128" s="606"/>
      <c r="E128" s="606"/>
      <c r="F128" s="606"/>
      <c r="G128" s="606"/>
    </row>
  </sheetData>
  <mergeCells count="6">
    <mergeCell ref="A126:B126"/>
    <mergeCell ref="A2:B2"/>
    <mergeCell ref="A70:B70"/>
    <mergeCell ref="A1:H1"/>
    <mergeCell ref="A69:H69"/>
    <mergeCell ref="A125:H125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69" fitToWidth="3" fitToHeight="2" orientation="portrait" r:id="rId1"/>
  <headerFooter alignWithMargins="0">
    <oddHeader>&amp;C&amp;"Times New Roman CE,Félkövér"&amp;12
Csobánka Község Önkormányzat
2015. ÉVI KÖLTSÉGVETÉS KÖTELEZŐ FELADATAINAK MÉRLEGE &amp;R&amp;"Times New Roman CE,Félkövér dőlt"&amp;11 &amp;"Times New Roman CE,Félkövér"1.2. melléklet a 3/2016. (IV.29.)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view="pageLayout" zoomScaleNormal="120" zoomScaleSheetLayoutView="100" workbookViewId="0">
      <selection activeCell="A124" sqref="A124:H124"/>
    </sheetView>
  </sheetViews>
  <sheetFormatPr defaultColWidth="9.33203125" defaultRowHeight="15.75" x14ac:dyDescent="0.25"/>
  <cols>
    <col min="1" max="1" width="9" style="355" customWidth="1"/>
    <col min="2" max="2" width="84.83203125" style="355" customWidth="1"/>
    <col min="3" max="4" width="14.83203125" style="613" hidden="1" customWidth="1"/>
    <col min="5" max="8" width="14.83203125" style="613" customWidth="1"/>
    <col min="9" max="16384" width="9.33203125" style="38"/>
  </cols>
  <sheetData>
    <row r="1" spans="1:8" ht="15.95" customHeight="1" x14ac:dyDescent="0.25">
      <c r="A1" s="1613" t="s">
        <v>852</v>
      </c>
      <c r="B1" s="1613"/>
      <c r="C1" s="1613"/>
      <c r="D1" s="1613"/>
      <c r="E1" s="1613"/>
      <c r="F1" s="1613"/>
      <c r="G1" s="1613"/>
      <c r="H1" s="1613"/>
    </row>
    <row r="2" spans="1:8" ht="15.95" customHeight="1" thickBot="1" x14ac:dyDescent="0.3">
      <c r="A2" s="1617" t="s">
        <v>80</v>
      </c>
      <c r="B2" s="1617"/>
      <c r="C2" s="266"/>
      <c r="D2" s="266"/>
      <c r="E2" s="266"/>
      <c r="F2" s="266"/>
      <c r="G2" s="266"/>
      <c r="H2" s="266" t="s">
        <v>270</v>
      </c>
    </row>
    <row r="3" spans="1:8" ht="38.1" customHeight="1" thickBot="1" x14ac:dyDescent="0.3">
      <c r="A3" s="28" t="s">
        <v>16</v>
      </c>
      <c r="B3" s="29" t="s">
        <v>854</v>
      </c>
      <c r="C3" s="556" t="s">
        <v>998</v>
      </c>
      <c r="D3" s="557" t="s">
        <v>999</v>
      </c>
      <c r="E3" s="1122" t="s">
        <v>943</v>
      </c>
      <c r="F3" s="1122" t="s">
        <v>1067</v>
      </c>
      <c r="G3" s="1122" t="s">
        <v>1093</v>
      </c>
      <c r="H3" s="1123" t="s">
        <v>1094</v>
      </c>
    </row>
    <row r="4" spans="1:8" s="39" customFormat="1" ht="12" customHeight="1" thickBot="1" x14ac:dyDescent="0.25">
      <c r="A4" s="33">
        <v>1</v>
      </c>
      <c r="B4" s="34">
        <v>2</v>
      </c>
      <c r="C4" s="556">
        <v>3</v>
      </c>
      <c r="D4" s="557">
        <v>4</v>
      </c>
      <c r="E4" s="557">
        <v>3</v>
      </c>
      <c r="F4" s="557">
        <v>4</v>
      </c>
      <c r="G4" s="557">
        <v>5</v>
      </c>
      <c r="H4" s="1025">
        <v>6</v>
      </c>
    </row>
    <row r="5" spans="1:8" s="1" customFormat="1" ht="12" customHeight="1" thickBot="1" x14ac:dyDescent="0.25">
      <c r="A5" s="25" t="s">
        <v>855</v>
      </c>
      <c r="B5" s="24" t="s">
        <v>105</v>
      </c>
      <c r="C5" s="558">
        <f>+C6+C11+C20</f>
        <v>958</v>
      </c>
      <c r="D5" s="559">
        <f>+D6+D11+D20</f>
        <v>0</v>
      </c>
      <c r="E5" s="562">
        <f>+E6+E11+E20</f>
        <v>0</v>
      </c>
      <c r="F5" s="562"/>
      <c r="G5" s="562"/>
      <c r="H5" s="607">
        <f>+H6+H11+H20</f>
        <v>0</v>
      </c>
    </row>
    <row r="6" spans="1:8" s="1" customFormat="1" ht="12" customHeight="1" thickBot="1" x14ac:dyDescent="0.25">
      <c r="A6" s="23" t="s">
        <v>856</v>
      </c>
      <c r="B6" s="245" t="s">
        <v>341</v>
      </c>
      <c r="C6" s="561">
        <f>+C7+C8+C9+C10</f>
        <v>958</v>
      </c>
      <c r="D6" s="562">
        <f>+D7+D8+D9+D10</f>
        <v>0</v>
      </c>
      <c r="E6" s="562">
        <f>+E7+E8+E9+E10</f>
        <v>0</v>
      </c>
      <c r="F6" s="562"/>
      <c r="G6" s="562"/>
      <c r="H6" s="607">
        <f>+H7+H8+H9+H10</f>
        <v>0</v>
      </c>
    </row>
    <row r="7" spans="1:8" s="1" customFormat="1" ht="12" customHeight="1" x14ac:dyDescent="0.2">
      <c r="A7" s="16" t="s">
        <v>46</v>
      </c>
      <c r="B7" s="339" t="s">
        <v>899</v>
      </c>
      <c r="C7" s="564">
        <v>958</v>
      </c>
      <c r="D7" s="565"/>
      <c r="E7" s="590"/>
      <c r="F7" s="590"/>
      <c r="G7" s="590"/>
      <c r="H7" s="1042"/>
    </row>
    <row r="8" spans="1:8" s="1" customFormat="1" ht="12" customHeight="1" x14ac:dyDescent="0.2">
      <c r="A8" s="16" t="s">
        <v>47</v>
      </c>
      <c r="B8" s="259" t="s">
        <v>19</v>
      </c>
      <c r="C8" s="564"/>
      <c r="D8" s="565"/>
      <c r="E8" s="565"/>
      <c r="F8" s="565"/>
      <c r="G8" s="565"/>
      <c r="H8" s="805"/>
    </row>
    <row r="9" spans="1:8" s="1" customFormat="1" ht="12" customHeight="1" x14ac:dyDescent="0.2">
      <c r="A9" s="16" t="s">
        <v>48</v>
      </c>
      <c r="B9" s="259" t="s">
        <v>106</v>
      </c>
      <c r="C9" s="564"/>
      <c r="D9" s="565"/>
      <c r="E9" s="565"/>
      <c r="F9" s="565"/>
      <c r="G9" s="565"/>
      <c r="H9" s="805"/>
    </row>
    <row r="10" spans="1:8" s="1" customFormat="1" ht="12" customHeight="1" thickBot="1" x14ac:dyDescent="0.25">
      <c r="A10" s="16" t="s">
        <v>49</v>
      </c>
      <c r="B10" s="340" t="s">
        <v>107</v>
      </c>
      <c r="C10" s="564"/>
      <c r="D10" s="565"/>
      <c r="E10" s="585"/>
      <c r="F10" s="585"/>
      <c r="G10" s="585"/>
      <c r="H10" s="1040"/>
    </row>
    <row r="11" spans="1:8" s="1" customFormat="1" ht="12" customHeight="1" thickBot="1" x14ac:dyDescent="0.25">
      <c r="A11" s="23" t="s">
        <v>857</v>
      </c>
      <c r="B11" s="24" t="s">
        <v>108</v>
      </c>
      <c r="C11" s="566">
        <f>+C12+C13+C14+C15+C16+C17+C18+C19</f>
        <v>0</v>
      </c>
      <c r="D11" s="562">
        <f>+D12+D13+D14+D15+D16+D17+D18+D19</f>
        <v>0</v>
      </c>
      <c r="E11" s="562">
        <f>+E12+E13+E14+E15+E16+E17+E18+E19</f>
        <v>0</v>
      </c>
      <c r="F11" s="562"/>
      <c r="G11" s="562"/>
      <c r="H11" s="607">
        <f>+H12+H13+H14+H15+H16+H17+H18+H19</f>
        <v>0</v>
      </c>
    </row>
    <row r="12" spans="1:8" s="1" customFormat="1" ht="12" customHeight="1" x14ac:dyDescent="0.2">
      <c r="A12" s="20" t="s">
        <v>20</v>
      </c>
      <c r="B12" s="12" t="s">
        <v>113</v>
      </c>
      <c r="C12" s="581"/>
      <c r="D12" s="582"/>
      <c r="E12" s="590"/>
      <c r="F12" s="590"/>
      <c r="G12" s="590"/>
      <c r="H12" s="1042"/>
    </row>
    <row r="13" spans="1:8" s="1" customFormat="1" ht="12" customHeight="1" x14ac:dyDescent="0.2">
      <c r="A13" s="16" t="s">
        <v>21</v>
      </c>
      <c r="B13" s="9" t="s">
        <v>114</v>
      </c>
      <c r="C13" s="583"/>
      <c r="D13" s="565"/>
      <c r="E13" s="565"/>
      <c r="F13" s="565"/>
      <c r="G13" s="565"/>
      <c r="H13" s="805"/>
    </row>
    <row r="14" spans="1:8" s="1" customFormat="1" ht="12" customHeight="1" x14ac:dyDescent="0.2">
      <c r="A14" s="16" t="s">
        <v>22</v>
      </c>
      <c r="B14" s="9" t="s">
        <v>115</v>
      </c>
      <c r="C14" s="583"/>
      <c r="D14" s="565"/>
      <c r="E14" s="565"/>
      <c r="F14" s="565"/>
      <c r="G14" s="565"/>
      <c r="H14" s="805"/>
    </row>
    <row r="15" spans="1:8" s="1" customFormat="1" ht="12" customHeight="1" x14ac:dyDescent="0.2">
      <c r="A15" s="16" t="s">
        <v>23</v>
      </c>
      <c r="B15" s="9" t="s">
        <v>116</v>
      </c>
      <c r="C15" s="583"/>
      <c r="D15" s="565"/>
      <c r="E15" s="565"/>
      <c r="F15" s="565"/>
      <c r="G15" s="565"/>
      <c r="H15" s="805"/>
    </row>
    <row r="16" spans="1:8" s="1" customFormat="1" ht="12" customHeight="1" x14ac:dyDescent="0.2">
      <c r="A16" s="15" t="s">
        <v>109</v>
      </c>
      <c r="B16" s="8" t="s">
        <v>117</v>
      </c>
      <c r="C16" s="614"/>
      <c r="D16" s="615"/>
      <c r="E16" s="565"/>
      <c r="F16" s="565"/>
      <c r="G16" s="565"/>
      <c r="H16" s="805"/>
    </row>
    <row r="17" spans="1:8" s="1" customFormat="1" ht="12" customHeight="1" x14ac:dyDescent="0.2">
      <c r="A17" s="16" t="s">
        <v>110</v>
      </c>
      <c r="B17" s="9" t="s">
        <v>210</v>
      </c>
      <c r="C17" s="583"/>
      <c r="D17" s="565"/>
      <c r="E17" s="565"/>
      <c r="F17" s="565"/>
      <c r="G17" s="565"/>
      <c r="H17" s="805"/>
    </row>
    <row r="18" spans="1:8" s="1" customFormat="1" ht="12" customHeight="1" x14ac:dyDescent="0.2">
      <c r="A18" s="16" t="s">
        <v>111</v>
      </c>
      <c r="B18" s="9" t="s">
        <v>119</v>
      </c>
      <c r="C18" s="583"/>
      <c r="D18" s="565"/>
      <c r="E18" s="565"/>
      <c r="F18" s="565"/>
      <c r="G18" s="565"/>
      <c r="H18" s="805"/>
    </row>
    <row r="19" spans="1:8" s="1" customFormat="1" ht="12" customHeight="1" thickBot="1" x14ac:dyDescent="0.25">
      <c r="A19" s="17" t="s">
        <v>112</v>
      </c>
      <c r="B19" s="10" t="s">
        <v>120</v>
      </c>
      <c r="C19" s="616"/>
      <c r="D19" s="617"/>
      <c r="E19" s="585"/>
      <c r="F19" s="585"/>
      <c r="G19" s="585"/>
      <c r="H19" s="1040"/>
    </row>
    <row r="20" spans="1:8" s="1" customFormat="1" ht="12" customHeight="1" thickBot="1" x14ac:dyDescent="0.25">
      <c r="A20" s="23" t="s">
        <v>121</v>
      </c>
      <c r="B20" s="24" t="s">
        <v>211</v>
      </c>
      <c r="C20" s="618"/>
      <c r="D20" s="619"/>
      <c r="E20" s="593"/>
      <c r="F20" s="593"/>
      <c r="G20" s="593"/>
      <c r="H20" s="792"/>
    </row>
    <row r="21" spans="1:8" s="1" customFormat="1" ht="12" customHeight="1" thickBot="1" x14ac:dyDescent="0.25">
      <c r="A21" s="23" t="s">
        <v>859</v>
      </c>
      <c r="B21" s="24" t="s">
        <v>123</v>
      </c>
      <c r="C21" s="566">
        <f>+C22+C23+C24+C25+C26+C27+C28+C29</f>
        <v>0</v>
      </c>
      <c r="D21" s="562">
        <f>+D22+D23+D24+D25+D26+D27+D28+D29</f>
        <v>0</v>
      </c>
      <c r="E21" s="562">
        <f>+E22+E23+E24+E25+E26+E27+E28+E29</f>
        <v>0</v>
      </c>
      <c r="F21" s="562"/>
      <c r="G21" s="562"/>
      <c r="H21" s="607">
        <f>+H22+H23+H24+H25+H26+H27+H28+H29</f>
        <v>0</v>
      </c>
    </row>
    <row r="22" spans="1:8" s="1" customFormat="1" ht="12" customHeight="1" x14ac:dyDescent="0.2">
      <c r="A22" s="18" t="s">
        <v>24</v>
      </c>
      <c r="B22" s="11" t="s">
        <v>795</v>
      </c>
      <c r="C22" s="589"/>
      <c r="D22" s="590"/>
      <c r="E22" s="590"/>
      <c r="F22" s="590"/>
      <c r="G22" s="590"/>
      <c r="H22" s="1042"/>
    </row>
    <row r="23" spans="1:8" s="1" customFormat="1" ht="12" customHeight="1" x14ac:dyDescent="0.2">
      <c r="A23" s="16" t="s">
        <v>25</v>
      </c>
      <c r="B23" s="9" t="s">
        <v>129</v>
      </c>
      <c r="C23" s="583"/>
      <c r="D23" s="565"/>
      <c r="E23" s="565"/>
      <c r="F23" s="565"/>
      <c r="G23" s="565"/>
      <c r="H23" s="805"/>
    </row>
    <row r="24" spans="1:8" s="1" customFormat="1" ht="12" customHeight="1" x14ac:dyDescent="0.2">
      <c r="A24" s="16" t="s">
        <v>26</v>
      </c>
      <c r="B24" s="9" t="s">
        <v>29</v>
      </c>
      <c r="C24" s="583"/>
      <c r="D24" s="565"/>
      <c r="E24" s="565"/>
      <c r="F24" s="565"/>
      <c r="G24" s="565"/>
      <c r="H24" s="805"/>
    </row>
    <row r="25" spans="1:8" s="1" customFormat="1" ht="12" customHeight="1" x14ac:dyDescent="0.2">
      <c r="A25" s="19" t="s">
        <v>124</v>
      </c>
      <c r="B25" s="9" t="s">
        <v>130</v>
      </c>
      <c r="C25" s="584"/>
      <c r="D25" s="585"/>
      <c r="E25" s="565"/>
      <c r="F25" s="565"/>
      <c r="G25" s="565"/>
      <c r="H25" s="805"/>
    </row>
    <row r="26" spans="1:8" s="1" customFormat="1" ht="12" customHeight="1" x14ac:dyDescent="0.2">
      <c r="A26" s="19" t="s">
        <v>125</v>
      </c>
      <c r="B26" s="9" t="s">
        <v>131</v>
      </c>
      <c r="C26" s="584"/>
      <c r="D26" s="585"/>
      <c r="E26" s="565"/>
      <c r="F26" s="565"/>
      <c r="G26" s="565"/>
      <c r="H26" s="805"/>
    </row>
    <row r="27" spans="1:8" s="1" customFormat="1" ht="12" customHeight="1" x14ac:dyDescent="0.2">
      <c r="A27" s="16" t="s">
        <v>126</v>
      </c>
      <c r="B27" s="9" t="s">
        <v>132</v>
      </c>
      <c r="C27" s="583"/>
      <c r="D27" s="565"/>
      <c r="E27" s="565"/>
      <c r="F27" s="565"/>
      <c r="G27" s="565"/>
      <c r="H27" s="805"/>
    </row>
    <row r="28" spans="1:8" s="1" customFormat="1" ht="12" customHeight="1" x14ac:dyDescent="0.2">
      <c r="A28" s="16" t="s">
        <v>127</v>
      </c>
      <c r="B28" s="9" t="s">
        <v>212</v>
      </c>
      <c r="C28" s="620"/>
      <c r="D28" s="621"/>
      <c r="E28" s="621"/>
      <c r="F28" s="621"/>
      <c r="G28" s="621"/>
      <c r="H28" s="1048"/>
    </row>
    <row r="29" spans="1:8" s="1" customFormat="1" ht="12" customHeight="1" thickBot="1" x14ac:dyDescent="0.25">
      <c r="A29" s="16" t="s">
        <v>128</v>
      </c>
      <c r="B29" s="14" t="s">
        <v>133</v>
      </c>
      <c r="C29" s="620"/>
      <c r="D29" s="621"/>
      <c r="E29" s="624"/>
      <c r="F29" s="624"/>
      <c r="G29" s="624"/>
      <c r="H29" s="1049"/>
    </row>
    <row r="30" spans="1:8" s="1" customFormat="1" ht="12" customHeight="1" thickBot="1" x14ac:dyDescent="0.25">
      <c r="A30" s="238" t="s">
        <v>860</v>
      </c>
      <c r="B30" s="24" t="s">
        <v>342</v>
      </c>
      <c r="C30" s="561">
        <f>+C31+C37</f>
        <v>0</v>
      </c>
      <c r="D30" s="562">
        <f>+D31+D37</f>
        <v>0</v>
      </c>
      <c r="E30" s="562">
        <f>+E31+E37</f>
        <v>0</v>
      </c>
      <c r="F30" s="562"/>
      <c r="G30" s="562"/>
      <c r="H30" s="607">
        <f>+H31+H37</f>
        <v>0</v>
      </c>
    </row>
    <row r="31" spans="1:8" s="1" customFormat="1" ht="12" customHeight="1" x14ac:dyDescent="0.2">
      <c r="A31" s="239" t="s">
        <v>27</v>
      </c>
      <c r="B31" s="341" t="s">
        <v>343</v>
      </c>
      <c r="C31" s="569">
        <f>+C32+C33+C34+C35+C36</f>
        <v>0</v>
      </c>
      <c r="D31" s="570">
        <f>+D32+D33+D34+D35+D36</f>
        <v>0</v>
      </c>
      <c r="E31" s="570">
        <f>+E32+E33+E34+E35+E36</f>
        <v>0</v>
      </c>
      <c r="F31" s="570"/>
      <c r="G31" s="570"/>
      <c r="H31" s="1028">
        <f>+H32+H33+H34+H35+H36</f>
        <v>0</v>
      </c>
    </row>
    <row r="32" spans="1:8" s="1" customFormat="1" ht="12" customHeight="1" x14ac:dyDescent="0.2">
      <c r="A32" s="240" t="s">
        <v>30</v>
      </c>
      <c r="B32" s="246" t="s">
        <v>213</v>
      </c>
      <c r="C32" s="622"/>
      <c r="D32" s="621"/>
      <c r="E32" s="621"/>
      <c r="F32" s="621"/>
      <c r="G32" s="621"/>
      <c r="H32" s="1048"/>
    </row>
    <row r="33" spans="1:8" s="1" customFormat="1" ht="12" customHeight="1" x14ac:dyDescent="0.2">
      <c r="A33" s="240" t="s">
        <v>31</v>
      </c>
      <c r="B33" s="246" t="s">
        <v>214</v>
      </c>
      <c r="C33" s="622"/>
      <c r="D33" s="621"/>
      <c r="E33" s="621"/>
      <c r="F33" s="621"/>
      <c r="G33" s="621"/>
      <c r="H33" s="1048"/>
    </row>
    <row r="34" spans="1:8" s="1" customFormat="1" ht="12" customHeight="1" x14ac:dyDescent="0.2">
      <c r="A34" s="240" t="s">
        <v>32</v>
      </c>
      <c r="B34" s="246" t="s">
        <v>215</v>
      </c>
      <c r="C34" s="622"/>
      <c r="D34" s="621"/>
      <c r="E34" s="621"/>
      <c r="F34" s="621"/>
      <c r="G34" s="621"/>
      <c r="H34" s="1048"/>
    </row>
    <row r="35" spans="1:8" s="1" customFormat="1" ht="12" customHeight="1" x14ac:dyDescent="0.2">
      <c r="A35" s="240" t="s">
        <v>33</v>
      </c>
      <c r="B35" s="246" t="s">
        <v>216</v>
      </c>
      <c r="C35" s="622"/>
      <c r="D35" s="621"/>
      <c r="E35" s="621"/>
      <c r="F35" s="621"/>
      <c r="G35" s="621"/>
      <c r="H35" s="1048"/>
    </row>
    <row r="36" spans="1:8" s="1" customFormat="1" ht="12" customHeight="1" x14ac:dyDescent="0.2">
      <c r="A36" s="240" t="s">
        <v>134</v>
      </c>
      <c r="B36" s="246" t="s">
        <v>344</v>
      </c>
      <c r="C36" s="622"/>
      <c r="D36" s="621"/>
      <c r="E36" s="621"/>
      <c r="F36" s="621"/>
      <c r="G36" s="621"/>
      <c r="H36" s="1048"/>
    </row>
    <row r="37" spans="1:8" s="1" customFormat="1" ht="12" customHeight="1" x14ac:dyDescent="0.2">
      <c r="A37" s="240" t="s">
        <v>28</v>
      </c>
      <c r="B37" s="247" t="s">
        <v>345</v>
      </c>
      <c r="C37" s="571">
        <f>+C38+C39+C40+C41+C42</f>
        <v>0</v>
      </c>
      <c r="D37" s="572">
        <f>+D38+D39+D40+D41+D42</f>
        <v>0</v>
      </c>
      <c r="E37" s="572">
        <f>+E38+E39+E40+E41+E42</f>
        <v>0</v>
      </c>
      <c r="F37" s="572"/>
      <c r="G37" s="572"/>
      <c r="H37" s="1029">
        <f>+H38+H39+H40+H41+H42</f>
        <v>0</v>
      </c>
    </row>
    <row r="38" spans="1:8" s="1" customFormat="1" ht="12" customHeight="1" x14ac:dyDescent="0.2">
      <c r="A38" s="240" t="s">
        <v>36</v>
      </c>
      <c r="B38" s="246" t="s">
        <v>213</v>
      </c>
      <c r="C38" s="622"/>
      <c r="D38" s="621"/>
      <c r="E38" s="621"/>
      <c r="F38" s="621"/>
      <c r="G38" s="621"/>
      <c r="H38" s="1048"/>
    </row>
    <row r="39" spans="1:8" s="1" customFormat="1" ht="12" customHeight="1" x14ac:dyDescent="0.2">
      <c r="A39" s="240" t="s">
        <v>37</v>
      </c>
      <c r="B39" s="246" t="s">
        <v>214</v>
      </c>
      <c r="C39" s="622"/>
      <c r="D39" s="621"/>
      <c r="E39" s="621"/>
      <c r="F39" s="621"/>
      <c r="G39" s="621"/>
      <c r="H39" s="1048"/>
    </row>
    <row r="40" spans="1:8" s="1" customFormat="1" ht="12" customHeight="1" x14ac:dyDescent="0.2">
      <c r="A40" s="240" t="s">
        <v>38</v>
      </c>
      <c r="B40" s="246" t="s">
        <v>215</v>
      </c>
      <c r="C40" s="622"/>
      <c r="D40" s="621"/>
      <c r="E40" s="621"/>
      <c r="F40" s="621"/>
      <c r="G40" s="621"/>
      <c r="H40" s="1048"/>
    </row>
    <row r="41" spans="1:8" s="1" customFormat="1" ht="12" customHeight="1" x14ac:dyDescent="0.2">
      <c r="A41" s="240" t="s">
        <v>39</v>
      </c>
      <c r="B41" s="248" t="s">
        <v>216</v>
      </c>
      <c r="C41" s="622"/>
      <c r="D41" s="621"/>
      <c r="E41" s="621"/>
      <c r="F41" s="621"/>
      <c r="G41" s="621"/>
      <c r="H41" s="1048"/>
    </row>
    <row r="42" spans="1:8" s="1" customFormat="1" ht="12" customHeight="1" thickBot="1" x14ac:dyDescent="0.25">
      <c r="A42" s="241" t="s">
        <v>135</v>
      </c>
      <c r="B42" s="249" t="s">
        <v>346</v>
      </c>
      <c r="C42" s="623"/>
      <c r="D42" s="624"/>
      <c r="E42" s="624"/>
      <c r="F42" s="624"/>
      <c r="G42" s="624"/>
      <c r="H42" s="1049"/>
    </row>
    <row r="43" spans="1:8" s="1" customFormat="1" ht="12" customHeight="1" thickBot="1" x14ac:dyDescent="0.25">
      <c r="A43" s="23" t="s">
        <v>136</v>
      </c>
      <c r="B43" s="342" t="s">
        <v>217</v>
      </c>
      <c r="C43" s="561">
        <f>+C44+C45</f>
        <v>0</v>
      </c>
      <c r="D43" s="562">
        <f>+D44+D45</f>
        <v>0</v>
      </c>
      <c r="E43" s="562">
        <f>+E44+E45</f>
        <v>0</v>
      </c>
      <c r="F43" s="562"/>
      <c r="G43" s="562"/>
      <c r="H43" s="607">
        <f>+H44+H45</f>
        <v>0</v>
      </c>
    </row>
    <row r="44" spans="1:8" s="1" customFormat="1" ht="12" customHeight="1" x14ac:dyDescent="0.2">
      <c r="A44" s="18" t="s">
        <v>34</v>
      </c>
      <c r="B44" s="259" t="s">
        <v>218</v>
      </c>
      <c r="C44" s="625"/>
      <c r="D44" s="590"/>
      <c r="E44" s="590"/>
      <c r="F44" s="590"/>
      <c r="G44" s="590"/>
      <c r="H44" s="1042"/>
    </row>
    <row r="45" spans="1:8" s="1" customFormat="1" ht="12" customHeight="1" thickBot="1" x14ac:dyDescent="0.25">
      <c r="A45" s="15" t="s">
        <v>35</v>
      </c>
      <c r="B45" s="254" t="s">
        <v>222</v>
      </c>
      <c r="C45" s="626"/>
      <c r="D45" s="615"/>
      <c r="E45" s="585"/>
      <c r="F45" s="585"/>
      <c r="G45" s="585"/>
      <c r="H45" s="1040"/>
    </row>
    <row r="46" spans="1:8" s="1" customFormat="1" ht="12" customHeight="1" thickBot="1" x14ac:dyDescent="0.25">
      <c r="A46" s="23" t="s">
        <v>862</v>
      </c>
      <c r="B46" s="342" t="s">
        <v>221</v>
      </c>
      <c r="C46" s="561">
        <f>+C47+C48+C49</f>
        <v>0</v>
      </c>
      <c r="D46" s="562">
        <f>+D47+D48+D49</f>
        <v>0</v>
      </c>
      <c r="E46" s="562">
        <f>+E47+E48+E49</f>
        <v>0</v>
      </c>
      <c r="F46" s="562"/>
      <c r="G46" s="562"/>
      <c r="H46" s="607">
        <f>+H47+H48+H49</f>
        <v>0</v>
      </c>
    </row>
    <row r="47" spans="1:8" s="1" customFormat="1" ht="12" customHeight="1" x14ac:dyDescent="0.2">
      <c r="A47" s="18" t="s">
        <v>139</v>
      </c>
      <c r="B47" s="259" t="s">
        <v>137</v>
      </c>
      <c r="C47" s="627"/>
      <c r="D47" s="628"/>
      <c r="E47" s="628"/>
      <c r="F47" s="628"/>
      <c r="G47" s="628"/>
      <c r="H47" s="1051"/>
    </row>
    <row r="48" spans="1:8" s="1" customFormat="1" ht="12" customHeight="1" x14ac:dyDescent="0.2">
      <c r="A48" s="16" t="s">
        <v>140</v>
      </c>
      <c r="B48" s="246" t="s">
        <v>917</v>
      </c>
      <c r="C48" s="620"/>
      <c r="D48" s="621"/>
      <c r="E48" s="621"/>
      <c r="F48" s="621"/>
      <c r="G48" s="621"/>
      <c r="H48" s="1048"/>
    </row>
    <row r="49" spans="1:8" s="1" customFormat="1" ht="12" customHeight="1" thickBot="1" x14ac:dyDescent="0.25">
      <c r="A49" s="15" t="s">
        <v>279</v>
      </c>
      <c r="B49" s="254" t="s">
        <v>219</v>
      </c>
      <c r="C49" s="629"/>
      <c r="D49" s="630"/>
      <c r="E49" s="624"/>
      <c r="F49" s="624"/>
      <c r="G49" s="624"/>
      <c r="H49" s="1049"/>
    </row>
    <row r="50" spans="1:8" s="1" customFormat="1" ht="17.25" customHeight="1" thickBot="1" x14ac:dyDescent="0.25">
      <c r="A50" s="23" t="s">
        <v>141</v>
      </c>
      <c r="B50" s="343" t="s">
        <v>220</v>
      </c>
      <c r="C50" s="631"/>
      <c r="D50" s="593"/>
      <c r="E50" s="593"/>
      <c r="F50" s="593"/>
      <c r="G50" s="593"/>
      <c r="H50" s="792"/>
    </row>
    <row r="51" spans="1:8" s="1" customFormat="1" ht="12" customHeight="1" thickBot="1" x14ac:dyDescent="0.25">
      <c r="A51" s="23" t="s">
        <v>864</v>
      </c>
      <c r="B51" s="27" t="s">
        <v>142</v>
      </c>
      <c r="C51" s="574">
        <f>+C6+C11+C20+C21+C30+C43+C46+C50</f>
        <v>958</v>
      </c>
      <c r="D51" s="575">
        <f>+D6+D11+D20+D21+D30+D43+D46+D50</f>
        <v>0</v>
      </c>
      <c r="E51" s="575">
        <f>+E6+E11+E20+E21+E30+E43+E46+E50</f>
        <v>0</v>
      </c>
      <c r="F51" s="575"/>
      <c r="G51" s="575"/>
      <c r="H51" s="1030">
        <f>+H6+H11+H20+H21+H30+H43+H46+H50</f>
        <v>0</v>
      </c>
    </row>
    <row r="52" spans="1:8" s="1" customFormat="1" ht="12" customHeight="1" thickBot="1" x14ac:dyDescent="0.25">
      <c r="A52" s="250" t="s">
        <v>865</v>
      </c>
      <c r="B52" s="245" t="s">
        <v>223</v>
      </c>
      <c r="C52" s="576">
        <f>+C53+C59</f>
        <v>0</v>
      </c>
      <c r="D52" s="577">
        <f>+D53+D59</f>
        <v>0</v>
      </c>
      <c r="E52" s="577">
        <f>+E53+E59</f>
        <v>0</v>
      </c>
      <c r="F52" s="577"/>
      <c r="G52" s="577"/>
      <c r="H52" s="1031">
        <f>+H53+H59</f>
        <v>0</v>
      </c>
    </row>
    <row r="53" spans="1:8" s="1" customFormat="1" ht="12" customHeight="1" x14ac:dyDescent="0.2">
      <c r="A53" s="344" t="s">
        <v>73</v>
      </c>
      <c r="B53" s="341" t="s">
        <v>224</v>
      </c>
      <c r="C53" s="578">
        <f>+C54+C55+C56+C57+C58</f>
        <v>0</v>
      </c>
      <c r="D53" s="570">
        <f>+D54+D55+D56+D57+D58</f>
        <v>0</v>
      </c>
      <c r="E53" s="570">
        <f>+E54+E55+E56+E57+E58</f>
        <v>0</v>
      </c>
      <c r="F53" s="570"/>
      <c r="G53" s="570"/>
      <c r="H53" s="1028">
        <f>+H54+H55+H56+H57+H58</f>
        <v>0</v>
      </c>
    </row>
    <row r="54" spans="1:8" s="1" customFormat="1" ht="12" customHeight="1" x14ac:dyDescent="0.2">
      <c r="A54" s="251" t="s">
        <v>239</v>
      </c>
      <c r="B54" s="246" t="s">
        <v>225</v>
      </c>
      <c r="C54" s="620"/>
      <c r="D54" s="621"/>
      <c r="E54" s="621"/>
      <c r="F54" s="621"/>
      <c r="G54" s="621"/>
      <c r="H54" s="1048"/>
    </row>
    <row r="55" spans="1:8" s="1" customFormat="1" ht="12" customHeight="1" x14ac:dyDescent="0.2">
      <c r="A55" s="251" t="s">
        <v>240</v>
      </c>
      <c r="B55" s="246" t="s">
        <v>226</v>
      </c>
      <c r="C55" s="620"/>
      <c r="D55" s="621"/>
      <c r="E55" s="621"/>
      <c r="F55" s="621"/>
      <c r="G55" s="621"/>
      <c r="H55" s="1048"/>
    </row>
    <row r="56" spans="1:8" s="1" customFormat="1" ht="12" customHeight="1" x14ac:dyDescent="0.2">
      <c r="A56" s="251" t="s">
        <v>241</v>
      </c>
      <c r="B56" s="246" t="s">
        <v>227</v>
      </c>
      <c r="C56" s="620"/>
      <c r="D56" s="621"/>
      <c r="E56" s="621"/>
      <c r="F56" s="621"/>
      <c r="G56" s="621"/>
      <c r="H56" s="1048"/>
    </row>
    <row r="57" spans="1:8" s="1" customFormat="1" ht="12" customHeight="1" x14ac:dyDescent="0.2">
      <c r="A57" s="251" t="s">
        <v>242</v>
      </c>
      <c r="B57" s="246" t="s">
        <v>228</v>
      </c>
      <c r="C57" s="620"/>
      <c r="D57" s="621"/>
      <c r="E57" s="621"/>
      <c r="F57" s="621"/>
      <c r="G57" s="621"/>
      <c r="H57" s="1048"/>
    </row>
    <row r="58" spans="1:8" s="1" customFormat="1" ht="12" customHeight="1" x14ac:dyDescent="0.2">
      <c r="A58" s="251" t="s">
        <v>243</v>
      </c>
      <c r="B58" s="246" t="s">
        <v>229</v>
      </c>
      <c r="C58" s="620"/>
      <c r="D58" s="621"/>
      <c r="E58" s="621"/>
      <c r="F58" s="621"/>
      <c r="G58" s="621"/>
      <c r="H58" s="1048"/>
    </row>
    <row r="59" spans="1:8" s="1" customFormat="1" ht="12" customHeight="1" x14ac:dyDescent="0.2">
      <c r="A59" s="252" t="s">
        <v>74</v>
      </c>
      <c r="B59" s="247" t="s">
        <v>230</v>
      </c>
      <c r="C59" s="579">
        <f>+C60+C61+C62+C63+C64</f>
        <v>0</v>
      </c>
      <c r="D59" s="572">
        <f>+D60+D61+D62+D63+D64</f>
        <v>0</v>
      </c>
      <c r="E59" s="572">
        <f>+E60+E61+E62+E63+E64</f>
        <v>0</v>
      </c>
      <c r="F59" s="572"/>
      <c r="G59" s="572"/>
      <c r="H59" s="1029">
        <f>+H60+H61+H62+H63+H64</f>
        <v>0</v>
      </c>
    </row>
    <row r="60" spans="1:8" s="1" customFormat="1" ht="12" customHeight="1" x14ac:dyDescent="0.2">
      <c r="A60" s="251" t="s">
        <v>244</v>
      </c>
      <c r="B60" s="246" t="s">
        <v>231</v>
      </c>
      <c r="C60" s="620"/>
      <c r="D60" s="621"/>
      <c r="E60" s="621"/>
      <c r="F60" s="621"/>
      <c r="G60" s="621"/>
      <c r="H60" s="1048"/>
    </row>
    <row r="61" spans="1:8" s="1" customFormat="1" ht="12" customHeight="1" x14ac:dyDescent="0.2">
      <c r="A61" s="251" t="s">
        <v>245</v>
      </c>
      <c r="B61" s="246" t="s">
        <v>232</v>
      </c>
      <c r="C61" s="620"/>
      <c r="D61" s="621"/>
      <c r="E61" s="621"/>
      <c r="F61" s="621"/>
      <c r="G61" s="621"/>
      <c r="H61" s="1048"/>
    </row>
    <row r="62" spans="1:8" s="1" customFormat="1" ht="12" customHeight="1" x14ac:dyDescent="0.2">
      <c r="A62" s="251" t="s">
        <v>246</v>
      </c>
      <c r="B62" s="246" t="s">
        <v>233</v>
      </c>
      <c r="C62" s="620"/>
      <c r="D62" s="621"/>
      <c r="E62" s="621"/>
      <c r="F62" s="621"/>
      <c r="G62" s="621"/>
      <c r="H62" s="1048"/>
    </row>
    <row r="63" spans="1:8" s="1" customFormat="1" ht="12" customHeight="1" x14ac:dyDescent="0.2">
      <c r="A63" s="251" t="s">
        <v>247</v>
      </c>
      <c r="B63" s="246" t="s">
        <v>234</v>
      </c>
      <c r="C63" s="620"/>
      <c r="D63" s="621"/>
      <c r="E63" s="621"/>
      <c r="F63" s="621"/>
      <c r="G63" s="621"/>
      <c r="H63" s="1048"/>
    </row>
    <row r="64" spans="1:8" s="1" customFormat="1" ht="12" customHeight="1" thickBot="1" x14ac:dyDescent="0.25">
      <c r="A64" s="253" t="s">
        <v>248</v>
      </c>
      <c r="B64" s="254" t="s">
        <v>235</v>
      </c>
      <c r="C64" s="632"/>
      <c r="D64" s="633"/>
      <c r="E64" s="624"/>
      <c r="F64" s="624"/>
      <c r="G64" s="624"/>
      <c r="H64" s="1049"/>
    </row>
    <row r="65" spans="1:8" s="1" customFormat="1" ht="12" customHeight="1" thickBot="1" x14ac:dyDescent="0.25">
      <c r="A65" s="255" t="s">
        <v>866</v>
      </c>
      <c r="B65" s="345" t="s">
        <v>236</v>
      </c>
      <c r="C65" s="576">
        <f>+C51+C52</f>
        <v>958</v>
      </c>
      <c r="D65" s="577">
        <f>+D51+D52</f>
        <v>0</v>
      </c>
      <c r="E65" s="577">
        <f>+E51+E52</f>
        <v>0</v>
      </c>
      <c r="F65" s="577"/>
      <c r="G65" s="577"/>
      <c r="H65" s="1031">
        <f>+H51+H52</f>
        <v>0</v>
      </c>
    </row>
    <row r="66" spans="1:8" s="1" customFormat="1" ht="13.5" customHeight="1" thickBot="1" x14ac:dyDescent="0.25">
      <c r="A66" s="256" t="s">
        <v>867</v>
      </c>
      <c r="B66" s="346" t="s">
        <v>237</v>
      </c>
      <c r="C66" s="634"/>
      <c r="D66" s="635"/>
      <c r="E66" s="1125"/>
      <c r="F66" s="1125"/>
      <c r="G66" s="1125"/>
      <c r="H66" s="1126"/>
    </row>
    <row r="67" spans="1:8" s="1" customFormat="1" ht="12" customHeight="1" thickBot="1" x14ac:dyDescent="0.25">
      <c r="A67" s="255" t="s">
        <v>868</v>
      </c>
      <c r="B67" s="345" t="s">
        <v>238</v>
      </c>
      <c r="C67" s="576">
        <f>+C65+C66</f>
        <v>958</v>
      </c>
      <c r="D67" s="577">
        <f>+D65+D66</f>
        <v>0</v>
      </c>
      <c r="E67" s="577">
        <f>+E65+E66</f>
        <v>0</v>
      </c>
      <c r="F67" s="577"/>
      <c r="G67" s="577"/>
      <c r="H67" s="1031">
        <f>+H65+H66</f>
        <v>0</v>
      </c>
    </row>
    <row r="68" spans="1:8" s="1" customFormat="1" ht="12.95" customHeight="1" thickBot="1" x14ac:dyDescent="0.25">
      <c r="A68" s="6"/>
      <c r="B68" s="7"/>
      <c r="C68" s="580"/>
      <c r="D68" s="580"/>
      <c r="E68" s="1124"/>
      <c r="F68" s="1124"/>
      <c r="G68" s="1124"/>
      <c r="H68" s="1124"/>
    </row>
    <row r="69" spans="1:8" ht="16.5" customHeight="1" x14ac:dyDescent="0.25">
      <c r="A69" s="1613" t="s">
        <v>884</v>
      </c>
      <c r="B69" s="1613"/>
      <c r="C69" s="1613"/>
      <c r="D69" s="1613"/>
      <c r="E69" s="1613"/>
      <c r="F69" s="1613"/>
      <c r="G69" s="1613"/>
      <c r="H69" s="1613"/>
    </row>
    <row r="70" spans="1:8" s="268" customFormat="1" ht="16.5" customHeight="1" thickBot="1" x14ac:dyDescent="0.3">
      <c r="A70" s="1618" t="s">
        <v>81</v>
      </c>
      <c r="B70" s="1618"/>
      <c r="C70" s="111"/>
      <c r="D70" s="266"/>
      <c r="E70" s="266"/>
      <c r="F70" s="266"/>
      <c r="G70" s="266"/>
      <c r="H70" s="266" t="s">
        <v>270</v>
      </c>
    </row>
    <row r="71" spans="1:8" ht="38.1" customHeight="1" thickBot="1" x14ac:dyDescent="0.3">
      <c r="A71" s="28" t="s">
        <v>853</v>
      </c>
      <c r="B71" s="29" t="s">
        <v>885</v>
      </c>
      <c r="C71" s="556" t="s">
        <v>998</v>
      </c>
      <c r="D71" s="557" t="s">
        <v>999</v>
      </c>
      <c r="E71" s="557" t="s">
        <v>943</v>
      </c>
      <c r="F71" s="557" t="s">
        <v>1067</v>
      </c>
      <c r="G71" s="1122" t="s">
        <v>1093</v>
      </c>
      <c r="H71" s="1123" t="s">
        <v>1094</v>
      </c>
    </row>
    <row r="72" spans="1:8" s="39" customFormat="1" ht="12" customHeight="1" thickBot="1" x14ac:dyDescent="0.25">
      <c r="A72" s="33">
        <v>1</v>
      </c>
      <c r="B72" s="34">
        <v>2</v>
      </c>
      <c r="C72" s="556">
        <v>3</v>
      </c>
      <c r="D72" s="557">
        <v>4</v>
      </c>
      <c r="E72" s="557">
        <v>3</v>
      </c>
      <c r="F72" s="557">
        <v>4</v>
      </c>
      <c r="G72" s="557">
        <v>5</v>
      </c>
      <c r="H72" s="1025">
        <v>6</v>
      </c>
    </row>
    <row r="73" spans="1:8" ht="12" customHeight="1" thickBot="1" x14ac:dyDescent="0.3">
      <c r="A73" s="25" t="s">
        <v>855</v>
      </c>
      <c r="B73" s="31" t="s">
        <v>143</v>
      </c>
      <c r="C73" s="558">
        <f>+C74+C75+C76+C77+C78</f>
        <v>958</v>
      </c>
      <c r="D73" s="559">
        <f>+D74+D75+D76+D77+D78</f>
        <v>0</v>
      </c>
      <c r="E73" s="559">
        <f>+E74+E75+E76+E77+E78</f>
        <v>0</v>
      </c>
      <c r="F73" s="559"/>
      <c r="G73" s="559"/>
      <c r="H73" s="1026">
        <f>+H74+H75+H76+H77+H78</f>
        <v>0</v>
      </c>
    </row>
    <row r="74" spans="1:8" ht="12" customHeight="1" x14ac:dyDescent="0.25">
      <c r="A74" s="20" t="s">
        <v>40</v>
      </c>
      <c r="B74" s="12" t="s">
        <v>886</v>
      </c>
      <c r="C74" s="581"/>
      <c r="D74" s="582"/>
      <c r="E74" s="582"/>
      <c r="F74" s="582"/>
      <c r="G74" s="582"/>
      <c r="H74" s="804"/>
    </row>
    <row r="75" spans="1:8" ht="12" customHeight="1" x14ac:dyDescent="0.25">
      <c r="A75" s="16" t="s">
        <v>41</v>
      </c>
      <c r="B75" s="9" t="s">
        <v>144</v>
      </c>
      <c r="C75" s="583"/>
      <c r="D75" s="565"/>
      <c r="E75" s="565"/>
      <c r="F75" s="565"/>
      <c r="G75" s="565"/>
      <c r="H75" s="805"/>
    </row>
    <row r="76" spans="1:8" ht="12" customHeight="1" x14ac:dyDescent="0.25">
      <c r="A76" s="16" t="s">
        <v>42</v>
      </c>
      <c r="B76" s="9" t="s">
        <v>70</v>
      </c>
      <c r="C76" s="584">
        <v>958</v>
      </c>
      <c r="D76" s="585"/>
      <c r="E76" s="585"/>
      <c r="F76" s="585"/>
      <c r="G76" s="585"/>
      <c r="H76" s="1040"/>
    </row>
    <row r="77" spans="1:8" ht="12" customHeight="1" x14ac:dyDescent="0.25">
      <c r="A77" s="16" t="s">
        <v>43</v>
      </c>
      <c r="B77" s="13" t="s">
        <v>145</v>
      </c>
      <c r="C77" s="584"/>
      <c r="D77" s="585"/>
      <c r="E77" s="585"/>
      <c r="F77" s="585"/>
      <c r="G77" s="585"/>
      <c r="H77" s="1040"/>
    </row>
    <row r="78" spans="1:8" ht="12" customHeight="1" x14ac:dyDescent="0.25">
      <c r="A78" s="16" t="s">
        <v>53</v>
      </c>
      <c r="B78" s="22" t="s">
        <v>146</v>
      </c>
      <c r="C78" s="584"/>
      <c r="D78" s="585"/>
      <c r="E78" s="585"/>
      <c r="F78" s="585"/>
      <c r="G78" s="585"/>
      <c r="H78" s="1040"/>
    </row>
    <row r="79" spans="1:8" ht="12" customHeight="1" x14ac:dyDescent="0.25">
      <c r="A79" s="16" t="s">
        <v>44</v>
      </c>
      <c r="B79" s="9" t="s">
        <v>168</v>
      </c>
      <c r="C79" s="584"/>
      <c r="D79" s="585"/>
      <c r="E79" s="585"/>
      <c r="F79" s="585"/>
      <c r="G79" s="585"/>
      <c r="H79" s="1040"/>
    </row>
    <row r="80" spans="1:8" ht="12" customHeight="1" x14ac:dyDescent="0.25">
      <c r="A80" s="16" t="s">
        <v>45</v>
      </c>
      <c r="B80" s="114" t="s">
        <v>169</v>
      </c>
      <c r="C80" s="584"/>
      <c r="D80" s="585"/>
      <c r="E80" s="585"/>
      <c r="F80" s="585"/>
      <c r="G80" s="585"/>
      <c r="H80" s="1040"/>
    </row>
    <row r="81" spans="1:8" ht="12" customHeight="1" x14ac:dyDescent="0.25">
      <c r="A81" s="16" t="s">
        <v>54</v>
      </c>
      <c r="B81" s="114" t="s">
        <v>249</v>
      </c>
      <c r="C81" s="584"/>
      <c r="D81" s="585"/>
      <c r="E81" s="585"/>
      <c r="F81" s="585"/>
      <c r="G81" s="585"/>
      <c r="H81" s="1040"/>
    </row>
    <row r="82" spans="1:8" ht="12" customHeight="1" x14ac:dyDescent="0.25">
      <c r="A82" s="16" t="s">
        <v>55</v>
      </c>
      <c r="B82" s="115" t="s">
        <v>170</v>
      </c>
      <c r="C82" s="584"/>
      <c r="D82" s="585"/>
      <c r="E82" s="585"/>
      <c r="F82" s="585"/>
      <c r="G82" s="585"/>
      <c r="H82" s="1040"/>
    </row>
    <row r="83" spans="1:8" ht="12" customHeight="1" x14ac:dyDescent="0.25">
      <c r="A83" s="15" t="s">
        <v>56</v>
      </c>
      <c r="B83" s="116" t="s">
        <v>171</v>
      </c>
      <c r="C83" s="584"/>
      <c r="D83" s="585"/>
      <c r="E83" s="585"/>
      <c r="F83" s="585"/>
      <c r="G83" s="585"/>
      <c r="H83" s="1040"/>
    </row>
    <row r="84" spans="1:8" ht="12" customHeight="1" x14ac:dyDescent="0.25">
      <c r="A84" s="16" t="s">
        <v>57</v>
      </c>
      <c r="B84" s="116" t="s">
        <v>172</v>
      </c>
      <c r="C84" s="584"/>
      <c r="D84" s="585"/>
      <c r="E84" s="585"/>
      <c r="F84" s="585"/>
      <c r="G84" s="585"/>
      <c r="H84" s="1040"/>
    </row>
    <row r="85" spans="1:8" ht="12" customHeight="1" thickBot="1" x14ac:dyDescent="0.3">
      <c r="A85" s="21" t="s">
        <v>59</v>
      </c>
      <c r="B85" s="117" t="s">
        <v>173</v>
      </c>
      <c r="C85" s="587"/>
      <c r="D85" s="588"/>
      <c r="E85" s="588"/>
      <c r="F85" s="588"/>
      <c r="G85" s="588"/>
      <c r="H85" s="1041"/>
    </row>
    <row r="86" spans="1:8" ht="12" customHeight="1" thickBot="1" x14ac:dyDescent="0.3">
      <c r="A86" s="23" t="s">
        <v>856</v>
      </c>
      <c r="B86" s="30" t="s">
        <v>280</v>
      </c>
      <c r="C86" s="566">
        <f>+C87+C88+C89</f>
        <v>0</v>
      </c>
      <c r="D86" s="562">
        <f>+D87+D88+D89</f>
        <v>0</v>
      </c>
      <c r="E86" s="562">
        <f>+E87+E88+E89</f>
        <v>0</v>
      </c>
      <c r="F86" s="562"/>
      <c r="G86" s="562"/>
      <c r="H86" s="607">
        <f>+H87+H88+H89</f>
        <v>0</v>
      </c>
    </row>
    <row r="87" spans="1:8" ht="12" customHeight="1" x14ac:dyDescent="0.25">
      <c r="A87" s="18" t="s">
        <v>46</v>
      </c>
      <c r="B87" s="9" t="s">
        <v>250</v>
      </c>
      <c r="C87" s="589"/>
      <c r="D87" s="590"/>
      <c r="E87" s="590"/>
      <c r="F87" s="590"/>
      <c r="G87" s="590"/>
      <c r="H87" s="1042"/>
    </row>
    <row r="88" spans="1:8" ht="12" customHeight="1" x14ac:dyDescent="0.25">
      <c r="A88" s="18" t="s">
        <v>47</v>
      </c>
      <c r="B88" s="14" t="s">
        <v>148</v>
      </c>
      <c r="C88" s="583"/>
      <c r="D88" s="565"/>
      <c r="E88" s="565"/>
      <c r="F88" s="565"/>
      <c r="G88" s="565"/>
      <c r="H88" s="805"/>
    </row>
    <row r="89" spans="1:8" ht="12" customHeight="1" x14ac:dyDescent="0.25">
      <c r="A89" s="18" t="s">
        <v>48</v>
      </c>
      <c r="B89" s="246" t="s">
        <v>281</v>
      </c>
      <c r="C89" s="564"/>
      <c r="D89" s="565"/>
      <c r="E89" s="565"/>
      <c r="F89" s="565"/>
      <c r="G89" s="565"/>
      <c r="H89" s="805"/>
    </row>
    <row r="90" spans="1:8" ht="12" customHeight="1" x14ac:dyDescent="0.25">
      <c r="A90" s="18" t="s">
        <v>49</v>
      </c>
      <c r="B90" s="246" t="s">
        <v>347</v>
      </c>
      <c r="C90" s="564"/>
      <c r="D90" s="565"/>
      <c r="E90" s="565"/>
      <c r="F90" s="565"/>
      <c r="G90" s="565"/>
      <c r="H90" s="805"/>
    </row>
    <row r="91" spans="1:8" ht="12" customHeight="1" x14ac:dyDescent="0.25">
      <c r="A91" s="18" t="s">
        <v>50</v>
      </c>
      <c r="B91" s="246" t="s">
        <v>282</v>
      </c>
      <c r="C91" s="564"/>
      <c r="D91" s="565"/>
      <c r="E91" s="565"/>
      <c r="F91" s="565"/>
      <c r="G91" s="565"/>
      <c r="H91" s="805"/>
    </row>
    <row r="92" spans="1:8" x14ac:dyDescent="0.25">
      <c r="A92" s="18" t="s">
        <v>58</v>
      </c>
      <c r="B92" s="246" t="s">
        <v>283</v>
      </c>
      <c r="C92" s="564"/>
      <c r="D92" s="565"/>
      <c r="E92" s="565"/>
      <c r="F92" s="565"/>
      <c r="G92" s="565"/>
      <c r="H92" s="805"/>
    </row>
    <row r="93" spans="1:8" ht="12" customHeight="1" x14ac:dyDescent="0.25">
      <c r="A93" s="18" t="s">
        <v>60</v>
      </c>
      <c r="B93" s="347" t="s">
        <v>254</v>
      </c>
      <c r="C93" s="564"/>
      <c r="D93" s="565"/>
      <c r="E93" s="565"/>
      <c r="F93" s="565"/>
      <c r="G93" s="565"/>
      <c r="H93" s="805"/>
    </row>
    <row r="94" spans="1:8" ht="12" customHeight="1" x14ac:dyDescent="0.25">
      <c r="A94" s="18" t="s">
        <v>149</v>
      </c>
      <c r="B94" s="347" t="s">
        <v>255</v>
      </c>
      <c r="C94" s="564"/>
      <c r="D94" s="565"/>
      <c r="E94" s="565"/>
      <c r="F94" s="565"/>
      <c r="G94" s="565"/>
      <c r="H94" s="805"/>
    </row>
    <row r="95" spans="1:8" ht="12" customHeight="1" x14ac:dyDescent="0.25">
      <c r="A95" s="18" t="s">
        <v>150</v>
      </c>
      <c r="B95" s="347" t="s">
        <v>253</v>
      </c>
      <c r="C95" s="564"/>
      <c r="D95" s="565"/>
      <c r="E95" s="565"/>
      <c r="F95" s="565"/>
      <c r="G95" s="565"/>
      <c r="H95" s="805"/>
    </row>
    <row r="96" spans="1:8" ht="24" customHeight="1" thickBot="1" x14ac:dyDescent="0.3">
      <c r="A96" s="15" t="s">
        <v>151</v>
      </c>
      <c r="B96" s="348" t="s">
        <v>252</v>
      </c>
      <c r="C96" s="591"/>
      <c r="D96" s="585"/>
      <c r="E96" s="585"/>
      <c r="F96" s="585"/>
      <c r="G96" s="585"/>
      <c r="H96" s="1040"/>
    </row>
    <row r="97" spans="1:8" ht="12" customHeight="1" thickBot="1" x14ac:dyDescent="0.3">
      <c r="A97" s="23" t="s">
        <v>857</v>
      </c>
      <c r="B97" s="95" t="s">
        <v>284</v>
      </c>
      <c r="C97" s="566">
        <f>+C98+C99</f>
        <v>0</v>
      </c>
      <c r="D97" s="562">
        <f>+D98+D99</f>
        <v>0</v>
      </c>
      <c r="E97" s="562">
        <f>+E98+E99</f>
        <v>0</v>
      </c>
      <c r="F97" s="562"/>
      <c r="G97" s="562"/>
      <c r="H97" s="607">
        <f>+H98+H99</f>
        <v>0</v>
      </c>
    </row>
    <row r="98" spans="1:8" ht="12" customHeight="1" x14ac:dyDescent="0.25">
      <c r="A98" s="18" t="s">
        <v>20</v>
      </c>
      <c r="B98" s="11" t="s">
        <v>3</v>
      </c>
      <c r="C98" s="589"/>
      <c r="D98" s="590"/>
      <c r="E98" s="590"/>
      <c r="F98" s="590"/>
      <c r="G98" s="590"/>
      <c r="H98" s="1042"/>
    </row>
    <row r="99" spans="1:8" ht="12" customHeight="1" thickBot="1" x14ac:dyDescent="0.3">
      <c r="A99" s="19" t="s">
        <v>21</v>
      </c>
      <c r="B99" s="14" t="s">
        <v>4</v>
      </c>
      <c r="C99" s="584"/>
      <c r="D99" s="585"/>
      <c r="E99" s="585"/>
      <c r="F99" s="585"/>
      <c r="G99" s="585"/>
      <c r="H99" s="1040"/>
    </row>
    <row r="100" spans="1:8" s="244" customFormat="1" ht="12" customHeight="1" thickBot="1" x14ac:dyDescent="0.25">
      <c r="A100" s="250" t="s">
        <v>858</v>
      </c>
      <c r="B100" s="245" t="s">
        <v>256</v>
      </c>
      <c r="C100" s="592"/>
      <c r="D100" s="593"/>
      <c r="E100" s="593"/>
      <c r="F100" s="593"/>
      <c r="G100" s="593"/>
      <c r="H100" s="792"/>
    </row>
    <row r="101" spans="1:8" ht="12" customHeight="1" thickBot="1" x14ac:dyDescent="0.3">
      <c r="A101" s="242" t="s">
        <v>859</v>
      </c>
      <c r="B101" s="243" t="s">
        <v>86</v>
      </c>
      <c r="C101" s="558">
        <f>+C73+C86+C97+C100</f>
        <v>958</v>
      </c>
      <c r="D101" s="559">
        <f>+D73+D86+D97+D100</f>
        <v>0</v>
      </c>
      <c r="E101" s="559">
        <f>+E73+E86+E97+E100</f>
        <v>0</v>
      </c>
      <c r="F101" s="559"/>
      <c r="G101" s="559"/>
      <c r="H101" s="1026">
        <f>+H73+H86+H97+H100</f>
        <v>0</v>
      </c>
    </row>
    <row r="102" spans="1:8" ht="12" customHeight="1" thickBot="1" x14ac:dyDescent="0.3">
      <c r="A102" s="250" t="s">
        <v>860</v>
      </c>
      <c r="B102" s="245" t="s">
        <v>348</v>
      </c>
      <c r="C102" s="566">
        <f>+C103+C111</f>
        <v>0</v>
      </c>
      <c r="D102" s="562">
        <f>+D103+D111</f>
        <v>0</v>
      </c>
      <c r="E102" s="562">
        <f>+E103+E111</f>
        <v>0</v>
      </c>
      <c r="F102" s="562"/>
      <c r="G102" s="562"/>
      <c r="H102" s="607">
        <f>+H103+H111</f>
        <v>0</v>
      </c>
    </row>
    <row r="103" spans="1:8" ht="12" customHeight="1" thickBot="1" x14ac:dyDescent="0.3">
      <c r="A103" s="257" t="s">
        <v>27</v>
      </c>
      <c r="B103" s="349" t="s">
        <v>353</v>
      </c>
      <c r="C103" s="566">
        <f>+C104+C105+C106+C107+C108+C109+C110</f>
        <v>0</v>
      </c>
      <c r="D103" s="562">
        <f>+D104+D105+D106+D107+D108+D109+D110</f>
        <v>0</v>
      </c>
      <c r="E103" s="562">
        <f>+E104+E105+E106+E107+E108+E109+E110</f>
        <v>0</v>
      </c>
      <c r="F103" s="562"/>
      <c r="G103" s="562"/>
      <c r="H103" s="607">
        <f>+H104+H105+H106+H107+H108+H109+H110</f>
        <v>0</v>
      </c>
    </row>
    <row r="104" spans="1:8" ht="12" customHeight="1" x14ac:dyDescent="0.25">
      <c r="A104" s="258" t="s">
        <v>30</v>
      </c>
      <c r="B104" s="259" t="s">
        <v>257</v>
      </c>
      <c r="C104" s="596"/>
      <c r="D104" s="597"/>
      <c r="E104" s="597"/>
      <c r="F104" s="597"/>
      <c r="G104" s="597"/>
      <c r="H104" s="1044"/>
    </row>
    <row r="105" spans="1:8" ht="12" customHeight="1" x14ac:dyDescent="0.25">
      <c r="A105" s="251" t="s">
        <v>31</v>
      </c>
      <c r="B105" s="246" t="s">
        <v>258</v>
      </c>
      <c r="C105" s="598"/>
      <c r="D105" s="599"/>
      <c r="E105" s="599"/>
      <c r="F105" s="599"/>
      <c r="G105" s="599"/>
      <c r="H105" s="1045"/>
    </row>
    <row r="106" spans="1:8" ht="12" customHeight="1" x14ac:dyDescent="0.25">
      <c r="A106" s="251" t="s">
        <v>32</v>
      </c>
      <c r="B106" s="246" t="s">
        <v>259</v>
      </c>
      <c r="C106" s="598"/>
      <c r="D106" s="599"/>
      <c r="E106" s="599"/>
      <c r="F106" s="599"/>
      <c r="G106" s="599"/>
      <c r="H106" s="1045"/>
    </row>
    <row r="107" spans="1:8" ht="12" customHeight="1" x14ac:dyDescent="0.25">
      <c r="A107" s="251" t="s">
        <v>33</v>
      </c>
      <c r="B107" s="246" t="s">
        <v>260</v>
      </c>
      <c r="C107" s="598"/>
      <c r="D107" s="599"/>
      <c r="E107" s="599"/>
      <c r="F107" s="599"/>
      <c r="G107" s="599"/>
      <c r="H107" s="1045"/>
    </row>
    <row r="108" spans="1:8" ht="12" customHeight="1" x14ac:dyDescent="0.25">
      <c r="A108" s="251" t="s">
        <v>134</v>
      </c>
      <c r="B108" s="246" t="s">
        <v>261</v>
      </c>
      <c r="C108" s="598"/>
      <c r="D108" s="599"/>
      <c r="E108" s="599"/>
      <c r="F108" s="599"/>
      <c r="G108" s="599"/>
      <c r="H108" s="1045"/>
    </row>
    <row r="109" spans="1:8" ht="12" customHeight="1" x14ac:dyDescent="0.25">
      <c r="A109" s="251" t="s">
        <v>152</v>
      </c>
      <c r="B109" s="246" t="s">
        <v>262</v>
      </c>
      <c r="C109" s="598"/>
      <c r="D109" s="599"/>
      <c r="E109" s="599"/>
      <c r="F109" s="599"/>
      <c r="G109" s="599"/>
      <c r="H109" s="1045"/>
    </row>
    <row r="110" spans="1:8" ht="12" customHeight="1" thickBot="1" x14ac:dyDescent="0.3">
      <c r="A110" s="260" t="s">
        <v>153</v>
      </c>
      <c r="B110" s="261" t="s">
        <v>263</v>
      </c>
      <c r="C110" s="600"/>
      <c r="D110" s="601"/>
      <c r="E110" s="601"/>
      <c r="F110" s="601"/>
      <c r="G110" s="601"/>
      <c r="H110" s="1046"/>
    </row>
    <row r="111" spans="1:8" ht="12" customHeight="1" thickBot="1" x14ac:dyDescent="0.3">
      <c r="A111" s="257" t="s">
        <v>28</v>
      </c>
      <c r="B111" s="349" t="s">
        <v>354</v>
      </c>
      <c r="C111" s="566">
        <f>+C112+C113+C114+C115+C116+C117+C118+C119</f>
        <v>0</v>
      </c>
      <c r="D111" s="562">
        <f>+D112+D113+D114+D115+D116+D117+D118+D119</f>
        <v>0</v>
      </c>
      <c r="E111" s="562">
        <f>+E112+E113+E114+E115+E116+E117+E118+E119</f>
        <v>0</v>
      </c>
      <c r="F111" s="562"/>
      <c r="G111" s="562"/>
      <c r="H111" s="607">
        <f>+H112+H113+H114+H115+H116+H117+H118+H119</f>
        <v>0</v>
      </c>
    </row>
    <row r="112" spans="1:8" ht="12" customHeight="1" x14ac:dyDescent="0.25">
      <c r="A112" s="258" t="s">
        <v>36</v>
      </c>
      <c r="B112" s="259" t="s">
        <v>257</v>
      </c>
      <c r="C112" s="596"/>
      <c r="D112" s="597"/>
      <c r="E112" s="597"/>
      <c r="F112" s="597"/>
      <c r="G112" s="597"/>
      <c r="H112" s="1044"/>
    </row>
    <row r="113" spans="1:10" ht="12" customHeight="1" x14ac:dyDescent="0.25">
      <c r="A113" s="251" t="s">
        <v>37</v>
      </c>
      <c r="B113" s="246" t="s">
        <v>264</v>
      </c>
      <c r="C113" s="598"/>
      <c r="D113" s="599"/>
      <c r="E113" s="599"/>
      <c r="F113" s="599"/>
      <c r="G113" s="599"/>
      <c r="H113" s="1045"/>
    </row>
    <row r="114" spans="1:10" ht="12" customHeight="1" x14ac:dyDescent="0.25">
      <c r="A114" s="251" t="s">
        <v>38</v>
      </c>
      <c r="B114" s="246" t="s">
        <v>259</v>
      </c>
      <c r="C114" s="598"/>
      <c r="D114" s="599"/>
      <c r="E114" s="599"/>
      <c r="F114" s="599"/>
      <c r="G114" s="599"/>
      <c r="H114" s="1045"/>
    </row>
    <row r="115" spans="1:10" ht="12" customHeight="1" x14ac:dyDescent="0.25">
      <c r="A115" s="251" t="s">
        <v>39</v>
      </c>
      <c r="B115" s="246" t="s">
        <v>260</v>
      </c>
      <c r="C115" s="598"/>
      <c r="D115" s="599"/>
      <c r="E115" s="599"/>
      <c r="F115" s="599"/>
      <c r="G115" s="599"/>
      <c r="H115" s="1045"/>
    </row>
    <row r="116" spans="1:10" ht="12" customHeight="1" x14ac:dyDescent="0.25">
      <c r="A116" s="251" t="s">
        <v>135</v>
      </c>
      <c r="B116" s="246" t="s">
        <v>261</v>
      </c>
      <c r="C116" s="598"/>
      <c r="D116" s="599"/>
      <c r="E116" s="599"/>
      <c r="F116" s="599"/>
      <c r="G116" s="599"/>
      <c r="H116" s="1045"/>
    </row>
    <row r="117" spans="1:10" ht="12" customHeight="1" x14ac:dyDescent="0.25">
      <c r="A117" s="251" t="s">
        <v>154</v>
      </c>
      <c r="B117" s="246" t="s">
        <v>265</v>
      </c>
      <c r="C117" s="598"/>
      <c r="D117" s="599"/>
      <c r="E117" s="599"/>
      <c r="F117" s="599"/>
      <c r="G117" s="599"/>
      <c r="H117" s="1045"/>
    </row>
    <row r="118" spans="1:10" ht="12" customHeight="1" x14ac:dyDescent="0.25">
      <c r="A118" s="251" t="s">
        <v>155</v>
      </c>
      <c r="B118" s="246" t="s">
        <v>263</v>
      </c>
      <c r="C118" s="598"/>
      <c r="D118" s="599"/>
      <c r="E118" s="599"/>
      <c r="F118" s="599"/>
      <c r="G118" s="599"/>
      <c r="H118" s="1045"/>
    </row>
    <row r="119" spans="1:10" ht="12" customHeight="1" thickBot="1" x14ac:dyDescent="0.3">
      <c r="A119" s="260" t="s">
        <v>156</v>
      </c>
      <c r="B119" s="261" t="s">
        <v>351</v>
      </c>
      <c r="C119" s="600"/>
      <c r="D119" s="601"/>
      <c r="E119" s="601"/>
      <c r="F119" s="601"/>
      <c r="G119" s="601"/>
      <c r="H119" s="1046"/>
    </row>
    <row r="120" spans="1:10" ht="12" customHeight="1" thickBot="1" x14ac:dyDescent="0.3">
      <c r="A120" s="250" t="s">
        <v>861</v>
      </c>
      <c r="B120" s="345" t="s">
        <v>266</v>
      </c>
      <c r="C120" s="602">
        <f>+C101+C102</f>
        <v>958</v>
      </c>
      <c r="D120" s="603">
        <f>+D101+D102</f>
        <v>0</v>
      </c>
      <c r="E120" s="603">
        <f>+E101+E102</f>
        <v>0</v>
      </c>
      <c r="F120" s="603"/>
      <c r="G120" s="603"/>
      <c r="H120" s="608">
        <f>+H101+H102</f>
        <v>0</v>
      </c>
    </row>
    <row r="121" spans="1:10" ht="15" customHeight="1" thickBot="1" x14ac:dyDescent="0.3">
      <c r="A121" s="250" t="s">
        <v>862</v>
      </c>
      <c r="B121" s="345" t="s">
        <v>267</v>
      </c>
      <c r="C121" s="604"/>
      <c r="D121" s="605"/>
      <c r="E121" s="605"/>
      <c r="F121" s="605"/>
      <c r="G121" s="605"/>
      <c r="H121" s="1047"/>
      <c r="I121" s="96"/>
      <c r="J121" s="96"/>
    </row>
    <row r="122" spans="1:10" s="1" customFormat="1" ht="12.95" customHeight="1" thickBot="1" x14ac:dyDescent="0.25">
      <c r="A122" s="262" t="s">
        <v>863</v>
      </c>
      <c r="B122" s="346" t="s">
        <v>268</v>
      </c>
      <c r="C122" s="576">
        <f>+C120+C121</f>
        <v>958</v>
      </c>
      <c r="D122" s="577">
        <f>+D120+D121</f>
        <v>0</v>
      </c>
      <c r="E122" s="577">
        <f>+E120+E121</f>
        <v>0</v>
      </c>
      <c r="F122" s="577"/>
      <c r="G122" s="577"/>
      <c r="H122" s="1031">
        <f>+H120+H121</f>
        <v>0</v>
      </c>
    </row>
    <row r="123" spans="1:10" ht="7.5" customHeight="1" x14ac:dyDescent="0.25">
      <c r="A123" s="350"/>
      <c r="B123" s="350"/>
      <c r="C123" s="606"/>
      <c r="D123" s="606"/>
      <c r="E123" s="606"/>
      <c r="F123" s="606"/>
      <c r="G123" s="606"/>
      <c r="H123" s="606"/>
    </row>
    <row r="124" spans="1:10" x14ac:dyDescent="0.25">
      <c r="A124" s="1619" t="s">
        <v>89</v>
      </c>
      <c r="B124" s="1619"/>
      <c r="C124" s="1619"/>
      <c r="D124" s="1619"/>
      <c r="E124" s="1619"/>
      <c r="F124" s="1619"/>
      <c r="G124" s="1619"/>
      <c r="H124" s="1619"/>
    </row>
    <row r="125" spans="1:10" ht="15" customHeight="1" thickBot="1" x14ac:dyDescent="0.3">
      <c r="A125" s="1617" t="s">
        <v>82</v>
      </c>
      <c r="B125" s="1617"/>
      <c r="C125" s="266"/>
      <c r="D125" s="266"/>
      <c r="E125" s="266"/>
      <c r="F125" s="266"/>
      <c r="G125" s="266"/>
      <c r="H125" s="266"/>
    </row>
    <row r="126" spans="1:10" ht="13.5" customHeight="1" thickBot="1" x14ac:dyDescent="0.3">
      <c r="A126" s="23">
        <v>1</v>
      </c>
      <c r="B126" s="30" t="s">
        <v>163</v>
      </c>
      <c r="C126" s="566">
        <f>+C51-C101</f>
        <v>0</v>
      </c>
      <c r="D126" s="562">
        <f>+D51-D101</f>
        <v>0</v>
      </c>
      <c r="E126" s="563">
        <f>+E51-E101</f>
        <v>0</v>
      </c>
      <c r="F126" s="563"/>
      <c r="G126" s="563"/>
      <c r="H126" s="563">
        <f>+H51-H101</f>
        <v>0</v>
      </c>
    </row>
    <row r="127" spans="1:10" ht="7.5" customHeight="1" x14ac:dyDescent="0.25">
      <c r="A127" s="350"/>
      <c r="B127" s="350"/>
      <c r="C127" s="606"/>
      <c r="D127" s="606"/>
      <c r="E127" s="606"/>
      <c r="F127" s="606"/>
      <c r="G127" s="606"/>
      <c r="H127" s="606"/>
    </row>
  </sheetData>
  <mergeCells count="6">
    <mergeCell ref="A125:B125"/>
    <mergeCell ref="A2:B2"/>
    <mergeCell ref="A70:B70"/>
    <mergeCell ref="A1:H1"/>
    <mergeCell ref="A69:H69"/>
    <mergeCell ref="A124:H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62" fitToWidth="3" fitToHeight="2" orientation="portrait" r:id="rId1"/>
  <headerFooter alignWithMargins="0">
    <oddHeader>&amp;C&amp;"Times New Roman CE,Félkövér"&amp;12
Csobánka Község Önkormányzat
2015. ÉVI KÖLTSÉGVETÉS ÖNKÉNT VÁLLALT FELADATAINAK MÉRLEGE&amp;R&amp;"Times New Roman CE,Félkövér"&amp;11 1.3. melléklet a 3/2016. (IV.29.)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view="pageLayout" zoomScaleNormal="120" zoomScaleSheetLayoutView="100" workbookViewId="0">
      <selection activeCell="B10" sqref="B10"/>
    </sheetView>
  </sheetViews>
  <sheetFormatPr defaultColWidth="9.33203125" defaultRowHeight="15.75" x14ac:dyDescent="0.25"/>
  <cols>
    <col min="1" max="1" width="9" style="355" customWidth="1"/>
    <col min="2" max="2" width="84.83203125" style="355" customWidth="1"/>
    <col min="3" max="4" width="14.83203125" style="613" hidden="1" customWidth="1"/>
    <col min="5" max="8" width="14.83203125" style="613" customWidth="1"/>
    <col min="9" max="16384" width="9.33203125" style="38"/>
  </cols>
  <sheetData>
    <row r="1" spans="1:8" ht="15.95" customHeight="1" x14ac:dyDescent="0.25">
      <c r="A1" s="1613" t="s">
        <v>852</v>
      </c>
      <c r="B1" s="1613"/>
      <c r="C1" s="1613"/>
      <c r="D1" s="1613"/>
      <c r="E1" s="1613"/>
      <c r="F1" s="1613"/>
      <c r="G1" s="1613"/>
      <c r="H1" s="1613"/>
    </row>
    <row r="2" spans="1:8" ht="15.95" customHeight="1" thickBot="1" x14ac:dyDescent="0.3">
      <c r="A2" s="1617" t="s">
        <v>80</v>
      </c>
      <c r="B2" s="1617"/>
      <c r="C2" s="266"/>
      <c r="D2" s="266"/>
      <c r="E2" s="266"/>
      <c r="F2" s="266"/>
      <c r="G2" s="266"/>
      <c r="H2" s="266" t="s">
        <v>270</v>
      </c>
    </row>
    <row r="3" spans="1:8" ht="38.1" customHeight="1" thickBot="1" x14ac:dyDescent="0.3">
      <c r="A3" s="28" t="s">
        <v>16</v>
      </c>
      <c r="B3" s="29" t="s">
        <v>854</v>
      </c>
      <c r="C3" s="556" t="s">
        <v>998</v>
      </c>
      <c r="D3" s="557" t="s">
        <v>999</v>
      </c>
      <c r="E3" s="557" t="s">
        <v>943</v>
      </c>
      <c r="F3" s="557" t="s">
        <v>1067</v>
      </c>
      <c r="G3" s="1122" t="s">
        <v>1093</v>
      </c>
      <c r="H3" s="1123" t="s">
        <v>1094</v>
      </c>
    </row>
    <row r="4" spans="1:8" s="39" customFormat="1" ht="12" customHeight="1" thickBot="1" x14ac:dyDescent="0.25">
      <c r="A4" s="33">
        <v>1</v>
      </c>
      <c r="B4" s="34">
        <v>2</v>
      </c>
      <c r="C4" s="556">
        <v>3</v>
      </c>
      <c r="D4" s="557">
        <v>4</v>
      </c>
      <c r="E4" s="557">
        <v>3</v>
      </c>
      <c r="F4" s="557">
        <v>4</v>
      </c>
      <c r="G4" s="557">
        <v>5</v>
      </c>
      <c r="H4" s="1025">
        <v>6</v>
      </c>
    </row>
    <row r="5" spans="1:8" s="1" customFormat="1" ht="12" customHeight="1" thickBot="1" x14ac:dyDescent="0.25">
      <c r="A5" s="25" t="s">
        <v>855</v>
      </c>
      <c r="B5" s="24" t="s">
        <v>105</v>
      </c>
      <c r="C5" s="558">
        <f>+C6+C11+C20</f>
        <v>0</v>
      </c>
      <c r="D5" s="559">
        <f>+D6+D11+D20</f>
        <v>0</v>
      </c>
      <c r="E5" s="559">
        <f>+E6+E11+E20</f>
        <v>0</v>
      </c>
      <c r="F5" s="559"/>
      <c r="G5" s="559"/>
      <c r="H5" s="1026">
        <f>+H6+H11+H20</f>
        <v>0</v>
      </c>
    </row>
    <row r="6" spans="1:8" s="1" customFormat="1" ht="12" customHeight="1" thickBot="1" x14ac:dyDescent="0.25">
      <c r="A6" s="23" t="s">
        <v>856</v>
      </c>
      <c r="B6" s="245" t="s">
        <v>341</v>
      </c>
      <c r="C6" s="561">
        <f>+C7+C8+C9+C10</f>
        <v>0</v>
      </c>
      <c r="D6" s="562">
        <f>+D7+D8+D9+D10</f>
        <v>0</v>
      </c>
      <c r="E6" s="562">
        <f>+E7+E8+E9+E10</f>
        <v>0</v>
      </c>
      <c r="F6" s="562"/>
      <c r="G6" s="562"/>
      <c r="H6" s="607">
        <f>+H7+H8+H9+H10</f>
        <v>0</v>
      </c>
    </row>
    <row r="7" spans="1:8" s="1" customFormat="1" ht="12" customHeight="1" x14ac:dyDescent="0.2">
      <c r="A7" s="16" t="s">
        <v>46</v>
      </c>
      <c r="B7" s="339" t="s">
        <v>899</v>
      </c>
      <c r="C7" s="564"/>
      <c r="D7" s="565"/>
      <c r="E7" s="565"/>
      <c r="F7" s="565"/>
      <c r="G7" s="565"/>
      <c r="H7" s="805"/>
    </row>
    <row r="8" spans="1:8" s="1" customFormat="1" ht="12" customHeight="1" x14ac:dyDescent="0.2">
      <c r="A8" s="16" t="s">
        <v>47</v>
      </c>
      <c r="B8" s="259" t="s">
        <v>19</v>
      </c>
      <c r="C8" s="564"/>
      <c r="D8" s="565"/>
      <c r="E8" s="565"/>
      <c r="F8" s="565"/>
      <c r="G8" s="565"/>
      <c r="H8" s="805"/>
    </row>
    <row r="9" spans="1:8" s="1" customFormat="1" ht="12" customHeight="1" x14ac:dyDescent="0.2">
      <c r="A9" s="16" t="s">
        <v>48</v>
      </c>
      <c r="B9" s="259" t="s">
        <v>106</v>
      </c>
      <c r="C9" s="564"/>
      <c r="D9" s="565"/>
      <c r="E9" s="565"/>
      <c r="F9" s="565"/>
      <c r="G9" s="565"/>
      <c r="H9" s="805"/>
    </row>
    <row r="10" spans="1:8" s="1" customFormat="1" ht="12" customHeight="1" thickBot="1" x14ac:dyDescent="0.25">
      <c r="A10" s="16" t="s">
        <v>49</v>
      </c>
      <c r="B10" s="340" t="s">
        <v>107</v>
      </c>
      <c r="C10" s="564"/>
      <c r="D10" s="565"/>
      <c r="E10" s="565"/>
      <c r="F10" s="565"/>
      <c r="G10" s="565"/>
      <c r="H10" s="805"/>
    </row>
    <row r="11" spans="1:8" s="1" customFormat="1" ht="12" customHeight="1" thickBot="1" x14ac:dyDescent="0.25">
      <c r="A11" s="23" t="s">
        <v>857</v>
      </c>
      <c r="B11" s="24" t="s">
        <v>108</v>
      </c>
      <c r="C11" s="566">
        <f>+C12+C13+C14+C15+C16+C17+C18+C19</f>
        <v>0</v>
      </c>
      <c r="D11" s="562">
        <f>+D12+D13+D14+D15+D16+D17+D18+D19</f>
        <v>0</v>
      </c>
      <c r="E11" s="562">
        <f>+E12+E13+E14+E15+E16+E17+E18+E19</f>
        <v>0</v>
      </c>
      <c r="F11" s="562"/>
      <c r="G11" s="562"/>
      <c r="H11" s="607">
        <f>+H12+H13+H14+H15+H16+H17+H18+H19</f>
        <v>0</v>
      </c>
    </row>
    <row r="12" spans="1:8" s="1" customFormat="1" ht="12" customHeight="1" x14ac:dyDescent="0.2">
      <c r="A12" s="20" t="s">
        <v>20</v>
      </c>
      <c r="B12" s="12" t="s">
        <v>113</v>
      </c>
      <c r="C12" s="581"/>
      <c r="D12" s="582"/>
      <c r="E12" s="582"/>
      <c r="F12" s="582"/>
      <c r="G12" s="582"/>
      <c r="H12" s="804"/>
    </row>
    <row r="13" spans="1:8" s="1" customFormat="1" ht="12" customHeight="1" x14ac:dyDescent="0.2">
      <c r="A13" s="16" t="s">
        <v>21</v>
      </c>
      <c r="B13" s="9" t="s">
        <v>114</v>
      </c>
      <c r="C13" s="583"/>
      <c r="D13" s="565"/>
      <c r="E13" s="565"/>
      <c r="F13" s="565"/>
      <c r="G13" s="565"/>
      <c r="H13" s="805"/>
    </row>
    <row r="14" spans="1:8" s="1" customFormat="1" ht="12" customHeight="1" x14ac:dyDescent="0.2">
      <c r="A14" s="16" t="s">
        <v>22</v>
      </c>
      <c r="B14" s="9" t="s">
        <v>115</v>
      </c>
      <c r="C14" s="583"/>
      <c r="D14" s="565"/>
      <c r="E14" s="565"/>
      <c r="F14" s="565"/>
      <c r="G14" s="565"/>
      <c r="H14" s="805"/>
    </row>
    <row r="15" spans="1:8" s="1" customFormat="1" ht="12" customHeight="1" x14ac:dyDescent="0.2">
      <c r="A15" s="16" t="s">
        <v>23</v>
      </c>
      <c r="B15" s="9" t="s">
        <v>116</v>
      </c>
      <c r="C15" s="583"/>
      <c r="D15" s="565"/>
      <c r="E15" s="565"/>
      <c r="F15" s="565"/>
      <c r="G15" s="565"/>
      <c r="H15" s="805"/>
    </row>
    <row r="16" spans="1:8" s="1" customFormat="1" ht="12" customHeight="1" x14ac:dyDescent="0.2">
      <c r="A16" s="15" t="s">
        <v>109</v>
      </c>
      <c r="B16" s="8" t="s">
        <v>117</v>
      </c>
      <c r="C16" s="614"/>
      <c r="D16" s="615"/>
      <c r="E16" s="615"/>
      <c r="F16" s="615"/>
      <c r="G16" s="615"/>
      <c r="H16" s="1050"/>
    </row>
    <row r="17" spans="1:8" s="1" customFormat="1" ht="12" customHeight="1" x14ac:dyDescent="0.2">
      <c r="A17" s="16" t="s">
        <v>110</v>
      </c>
      <c r="B17" s="9" t="s">
        <v>210</v>
      </c>
      <c r="C17" s="583"/>
      <c r="D17" s="565"/>
      <c r="E17" s="565"/>
      <c r="F17" s="565"/>
      <c r="G17" s="565"/>
      <c r="H17" s="805"/>
    </row>
    <row r="18" spans="1:8" s="1" customFormat="1" ht="12" customHeight="1" x14ac:dyDescent="0.2">
      <c r="A18" s="16" t="s">
        <v>111</v>
      </c>
      <c r="B18" s="9" t="s">
        <v>119</v>
      </c>
      <c r="C18" s="583"/>
      <c r="D18" s="565"/>
      <c r="E18" s="565"/>
      <c r="F18" s="565"/>
      <c r="G18" s="565"/>
      <c r="H18" s="805"/>
    </row>
    <row r="19" spans="1:8" s="1" customFormat="1" ht="12" customHeight="1" thickBot="1" x14ac:dyDescent="0.25">
      <c r="A19" s="17" t="s">
        <v>112</v>
      </c>
      <c r="B19" s="10" t="s">
        <v>120</v>
      </c>
      <c r="C19" s="616"/>
      <c r="D19" s="617"/>
      <c r="E19" s="617"/>
      <c r="F19" s="617"/>
      <c r="G19" s="617"/>
      <c r="H19" s="1055"/>
    </row>
    <row r="20" spans="1:8" s="1" customFormat="1" ht="12" customHeight="1" thickBot="1" x14ac:dyDescent="0.25">
      <c r="A20" s="23" t="s">
        <v>121</v>
      </c>
      <c r="B20" s="24" t="s">
        <v>211</v>
      </c>
      <c r="C20" s="618"/>
      <c r="D20" s="619"/>
      <c r="E20" s="619"/>
      <c r="F20" s="619"/>
      <c r="G20" s="619"/>
      <c r="H20" s="1056"/>
    </row>
    <row r="21" spans="1:8" s="1" customFormat="1" ht="12" customHeight="1" thickBot="1" x14ac:dyDescent="0.25">
      <c r="A21" s="23" t="s">
        <v>859</v>
      </c>
      <c r="B21" s="24" t="s">
        <v>123</v>
      </c>
      <c r="C21" s="566">
        <f>+C22+C23+C24+C25+C26+C27+C28+C29</f>
        <v>0</v>
      </c>
      <c r="D21" s="562">
        <f>+D22+D23+D24+D25+D26+D27+D28+D29</f>
        <v>0</v>
      </c>
      <c r="E21" s="562">
        <f>+E22+E23+E24+E25+E26+E27+E28+E29</f>
        <v>0</v>
      </c>
      <c r="F21" s="562"/>
      <c r="G21" s="562"/>
      <c r="H21" s="607">
        <f>+H22+H23+H24+H25+H26+H27+H28+H29</f>
        <v>0</v>
      </c>
    </row>
    <row r="22" spans="1:8" s="1" customFormat="1" ht="12" customHeight="1" x14ac:dyDescent="0.2">
      <c r="A22" s="18" t="s">
        <v>24</v>
      </c>
      <c r="B22" s="11" t="s">
        <v>795</v>
      </c>
      <c r="C22" s="589"/>
      <c r="D22" s="590"/>
      <c r="E22" s="590"/>
      <c r="F22" s="590"/>
      <c r="G22" s="590"/>
      <c r="H22" s="1042"/>
    </row>
    <row r="23" spans="1:8" s="1" customFormat="1" ht="12" customHeight="1" x14ac:dyDescent="0.2">
      <c r="A23" s="16" t="s">
        <v>25</v>
      </c>
      <c r="B23" s="9" t="s">
        <v>129</v>
      </c>
      <c r="C23" s="583"/>
      <c r="D23" s="565"/>
      <c r="E23" s="565"/>
      <c r="F23" s="565"/>
      <c r="G23" s="565"/>
      <c r="H23" s="805"/>
    </row>
    <row r="24" spans="1:8" s="1" customFormat="1" ht="12" customHeight="1" x14ac:dyDescent="0.2">
      <c r="A24" s="16" t="s">
        <v>26</v>
      </c>
      <c r="B24" s="9" t="s">
        <v>29</v>
      </c>
      <c r="C24" s="583"/>
      <c r="D24" s="565"/>
      <c r="E24" s="565"/>
      <c r="F24" s="565"/>
      <c r="G24" s="565"/>
      <c r="H24" s="805"/>
    </row>
    <row r="25" spans="1:8" s="1" customFormat="1" ht="12" customHeight="1" x14ac:dyDescent="0.2">
      <c r="A25" s="19" t="s">
        <v>124</v>
      </c>
      <c r="B25" s="9" t="s">
        <v>130</v>
      </c>
      <c r="C25" s="584"/>
      <c r="D25" s="585"/>
      <c r="E25" s="585"/>
      <c r="F25" s="585"/>
      <c r="G25" s="585"/>
      <c r="H25" s="1040"/>
    </row>
    <row r="26" spans="1:8" s="1" customFormat="1" ht="12" customHeight="1" x14ac:dyDescent="0.2">
      <c r="A26" s="19" t="s">
        <v>125</v>
      </c>
      <c r="B26" s="9" t="s">
        <v>131</v>
      </c>
      <c r="C26" s="584"/>
      <c r="D26" s="585"/>
      <c r="E26" s="585"/>
      <c r="F26" s="585"/>
      <c r="G26" s="585"/>
      <c r="H26" s="1040"/>
    </row>
    <row r="27" spans="1:8" s="1" customFormat="1" ht="12" customHeight="1" x14ac:dyDescent="0.2">
      <c r="A27" s="16" t="s">
        <v>126</v>
      </c>
      <c r="B27" s="9" t="s">
        <v>132</v>
      </c>
      <c r="C27" s="583"/>
      <c r="D27" s="565"/>
      <c r="E27" s="565"/>
      <c r="F27" s="565"/>
      <c r="G27" s="565"/>
      <c r="H27" s="805"/>
    </row>
    <row r="28" spans="1:8" s="1" customFormat="1" ht="12" customHeight="1" x14ac:dyDescent="0.2">
      <c r="A28" s="16" t="s">
        <v>127</v>
      </c>
      <c r="B28" s="9" t="s">
        <v>212</v>
      </c>
      <c r="C28" s="620"/>
      <c r="D28" s="621"/>
      <c r="E28" s="621"/>
      <c r="F28" s="621"/>
      <c r="G28" s="621"/>
      <c r="H28" s="1048"/>
    </row>
    <row r="29" spans="1:8" s="1" customFormat="1" ht="12" customHeight="1" thickBot="1" x14ac:dyDescent="0.25">
      <c r="A29" s="16" t="s">
        <v>128</v>
      </c>
      <c r="B29" s="14" t="s">
        <v>133</v>
      </c>
      <c r="C29" s="620"/>
      <c r="D29" s="621"/>
      <c r="E29" s="621"/>
      <c r="F29" s="621"/>
      <c r="G29" s="621"/>
      <c r="H29" s="1048"/>
    </row>
    <row r="30" spans="1:8" s="1" customFormat="1" ht="12" customHeight="1" thickBot="1" x14ac:dyDescent="0.25">
      <c r="A30" s="238" t="s">
        <v>860</v>
      </c>
      <c r="B30" s="24" t="s">
        <v>342</v>
      </c>
      <c r="C30" s="561">
        <f>+C31+C37</f>
        <v>0</v>
      </c>
      <c r="D30" s="562">
        <f>+D31+D37</f>
        <v>0</v>
      </c>
      <c r="E30" s="562">
        <f>+E31+E37</f>
        <v>0</v>
      </c>
      <c r="F30" s="562"/>
      <c r="G30" s="562"/>
      <c r="H30" s="607">
        <f>+H31+H37</f>
        <v>0</v>
      </c>
    </row>
    <row r="31" spans="1:8" s="1" customFormat="1" ht="12" customHeight="1" x14ac:dyDescent="0.2">
      <c r="A31" s="239" t="s">
        <v>27</v>
      </c>
      <c r="B31" s="341" t="s">
        <v>343</v>
      </c>
      <c r="C31" s="569">
        <f>+C32+C33+C34+C35+C36</f>
        <v>0</v>
      </c>
      <c r="D31" s="570">
        <f>+D32+D33+D34+D35+D36</f>
        <v>0</v>
      </c>
      <c r="E31" s="570">
        <f>+E32+E33+E34+E35+E36</f>
        <v>0</v>
      </c>
      <c r="F31" s="570"/>
      <c r="G31" s="570"/>
      <c r="H31" s="1028">
        <f>+H32+H33+H34+H35+H36</f>
        <v>0</v>
      </c>
    </row>
    <row r="32" spans="1:8" s="1" customFormat="1" ht="12" customHeight="1" x14ac:dyDescent="0.2">
      <c r="A32" s="240" t="s">
        <v>30</v>
      </c>
      <c r="B32" s="246" t="s">
        <v>213</v>
      </c>
      <c r="C32" s="622"/>
      <c r="D32" s="621"/>
      <c r="E32" s="621"/>
      <c r="F32" s="621"/>
      <c r="G32" s="621"/>
      <c r="H32" s="1048"/>
    </row>
    <row r="33" spans="1:8" s="1" customFormat="1" ht="12" customHeight="1" x14ac:dyDescent="0.2">
      <c r="A33" s="240" t="s">
        <v>31</v>
      </c>
      <c r="B33" s="246" t="s">
        <v>214</v>
      </c>
      <c r="C33" s="622"/>
      <c r="D33" s="621"/>
      <c r="E33" s="621"/>
      <c r="F33" s="621"/>
      <c r="G33" s="621"/>
      <c r="H33" s="1048"/>
    </row>
    <row r="34" spans="1:8" s="1" customFormat="1" ht="12" customHeight="1" x14ac:dyDescent="0.2">
      <c r="A34" s="240" t="s">
        <v>32</v>
      </c>
      <c r="B34" s="246" t="s">
        <v>215</v>
      </c>
      <c r="C34" s="622"/>
      <c r="D34" s="621"/>
      <c r="E34" s="621"/>
      <c r="F34" s="621"/>
      <c r="G34" s="621"/>
      <c r="H34" s="1048"/>
    </row>
    <row r="35" spans="1:8" s="1" customFormat="1" ht="12" customHeight="1" x14ac:dyDescent="0.2">
      <c r="A35" s="240" t="s">
        <v>33</v>
      </c>
      <c r="B35" s="246" t="s">
        <v>216</v>
      </c>
      <c r="C35" s="622"/>
      <c r="D35" s="621"/>
      <c r="E35" s="621"/>
      <c r="F35" s="621"/>
      <c r="G35" s="621"/>
      <c r="H35" s="1048"/>
    </row>
    <row r="36" spans="1:8" s="1" customFormat="1" ht="12" customHeight="1" x14ac:dyDescent="0.2">
      <c r="A36" s="240" t="s">
        <v>134</v>
      </c>
      <c r="B36" s="246" t="s">
        <v>344</v>
      </c>
      <c r="C36" s="622"/>
      <c r="D36" s="621"/>
      <c r="E36" s="621"/>
      <c r="F36" s="621"/>
      <c r="G36" s="621"/>
      <c r="H36" s="1048"/>
    </row>
    <row r="37" spans="1:8" s="1" customFormat="1" ht="12" customHeight="1" x14ac:dyDescent="0.2">
      <c r="A37" s="240" t="s">
        <v>28</v>
      </c>
      <c r="B37" s="247" t="s">
        <v>345</v>
      </c>
      <c r="C37" s="571">
        <f>+C38+C39+C40+C41+C42</f>
        <v>0</v>
      </c>
      <c r="D37" s="572">
        <f>+D38+D39+D40+D41+D42</f>
        <v>0</v>
      </c>
      <c r="E37" s="572">
        <f>+E38+E39+E40+E41+E42</f>
        <v>0</v>
      </c>
      <c r="F37" s="572"/>
      <c r="G37" s="572"/>
      <c r="H37" s="1029">
        <f>+H38+H39+H40+H41+H42</f>
        <v>0</v>
      </c>
    </row>
    <row r="38" spans="1:8" s="1" customFormat="1" ht="12" customHeight="1" x14ac:dyDescent="0.2">
      <c r="A38" s="240" t="s">
        <v>36</v>
      </c>
      <c r="B38" s="246" t="s">
        <v>213</v>
      </c>
      <c r="C38" s="622"/>
      <c r="D38" s="621"/>
      <c r="E38" s="621"/>
      <c r="F38" s="621"/>
      <c r="G38" s="621"/>
      <c r="H38" s="1048"/>
    </row>
    <row r="39" spans="1:8" s="1" customFormat="1" ht="12" customHeight="1" x14ac:dyDescent="0.2">
      <c r="A39" s="240" t="s">
        <v>37</v>
      </c>
      <c r="B39" s="246" t="s">
        <v>214</v>
      </c>
      <c r="C39" s="622"/>
      <c r="D39" s="621"/>
      <c r="E39" s="621"/>
      <c r="F39" s="621"/>
      <c r="G39" s="621"/>
      <c r="H39" s="1048"/>
    </row>
    <row r="40" spans="1:8" s="1" customFormat="1" ht="12" customHeight="1" x14ac:dyDescent="0.2">
      <c r="A40" s="240" t="s">
        <v>38</v>
      </c>
      <c r="B40" s="246" t="s">
        <v>215</v>
      </c>
      <c r="C40" s="622"/>
      <c r="D40" s="621"/>
      <c r="E40" s="621"/>
      <c r="F40" s="621"/>
      <c r="G40" s="621"/>
      <c r="H40" s="1048"/>
    </row>
    <row r="41" spans="1:8" s="1" customFormat="1" ht="12" customHeight="1" x14ac:dyDescent="0.2">
      <c r="A41" s="240" t="s">
        <v>39</v>
      </c>
      <c r="B41" s="248" t="s">
        <v>216</v>
      </c>
      <c r="C41" s="622"/>
      <c r="D41" s="621"/>
      <c r="E41" s="621"/>
      <c r="F41" s="621"/>
      <c r="G41" s="621"/>
      <c r="H41" s="1048"/>
    </row>
    <row r="42" spans="1:8" s="1" customFormat="1" ht="12" customHeight="1" thickBot="1" x14ac:dyDescent="0.25">
      <c r="A42" s="241" t="s">
        <v>135</v>
      </c>
      <c r="B42" s="249" t="s">
        <v>346</v>
      </c>
      <c r="C42" s="623"/>
      <c r="D42" s="624"/>
      <c r="E42" s="624"/>
      <c r="F42" s="624"/>
      <c r="G42" s="624"/>
      <c r="H42" s="1049"/>
    </row>
    <row r="43" spans="1:8" s="1" customFormat="1" ht="12" customHeight="1" thickBot="1" x14ac:dyDescent="0.25">
      <c r="A43" s="23" t="s">
        <v>136</v>
      </c>
      <c r="B43" s="342" t="s">
        <v>217</v>
      </c>
      <c r="C43" s="561">
        <f>+C44+C45</f>
        <v>0</v>
      </c>
      <c r="D43" s="562">
        <f>+D44+D45</f>
        <v>0</v>
      </c>
      <c r="E43" s="562">
        <f>+E44+E45</f>
        <v>0</v>
      </c>
      <c r="F43" s="562"/>
      <c r="G43" s="562"/>
      <c r="H43" s="607">
        <f>+H44+H45</f>
        <v>0</v>
      </c>
    </row>
    <row r="44" spans="1:8" s="1" customFormat="1" ht="12" customHeight="1" x14ac:dyDescent="0.2">
      <c r="A44" s="18" t="s">
        <v>34</v>
      </c>
      <c r="B44" s="259" t="s">
        <v>218</v>
      </c>
      <c r="C44" s="625"/>
      <c r="D44" s="590"/>
      <c r="E44" s="590"/>
      <c r="F44" s="590"/>
      <c r="G44" s="590"/>
      <c r="H44" s="1042"/>
    </row>
    <row r="45" spans="1:8" s="1" customFormat="1" ht="12" customHeight="1" thickBot="1" x14ac:dyDescent="0.25">
      <c r="A45" s="15" t="s">
        <v>35</v>
      </c>
      <c r="B45" s="254" t="s">
        <v>222</v>
      </c>
      <c r="C45" s="626"/>
      <c r="D45" s="615"/>
      <c r="E45" s="615"/>
      <c r="F45" s="615"/>
      <c r="G45" s="615"/>
      <c r="H45" s="1050"/>
    </row>
    <row r="46" spans="1:8" s="1" customFormat="1" ht="12" customHeight="1" thickBot="1" x14ac:dyDescent="0.25">
      <c r="A46" s="23" t="s">
        <v>862</v>
      </c>
      <c r="B46" s="342" t="s">
        <v>221</v>
      </c>
      <c r="C46" s="561">
        <f>+C47+C48+C49</f>
        <v>0</v>
      </c>
      <c r="D46" s="562">
        <f>+D47+D48+D49</f>
        <v>0</v>
      </c>
      <c r="E46" s="562">
        <f>+E47+E48+E49</f>
        <v>0</v>
      </c>
      <c r="F46" s="562"/>
      <c r="G46" s="562"/>
      <c r="H46" s="607">
        <f>+H47+H48+H49</f>
        <v>0</v>
      </c>
    </row>
    <row r="47" spans="1:8" s="1" customFormat="1" ht="12" customHeight="1" x14ac:dyDescent="0.2">
      <c r="A47" s="18" t="s">
        <v>139</v>
      </c>
      <c r="B47" s="259" t="s">
        <v>137</v>
      </c>
      <c r="C47" s="627"/>
      <c r="D47" s="628"/>
      <c r="E47" s="628"/>
      <c r="F47" s="628"/>
      <c r="G47" s="628"/>
      <c r="H47" s="1051"/>
    </row>
    <row r="48" spans="1:8" s="1" customFormat="1" ht="12" customHeight="1" x14ac:dyDescent="0.2">
      <c r="A48" s="16" t="s">
        <v>140</v>
      </c>
      <c r="B48" s="246" t="s">
        <v>917</v>
      </c>
      <c r="C48" s="620"/>
      <c r="D48" s="621"/>
      <c r="E48" s="621"/>
      <c r="F48" s="621"/>
      <c r="G48" s="621"/>
      <c r="H48" s="1048"/>
    </row>
    <row r="49" spans="1:8" s="1" customFormat="1" ht="12" customHeight="1" thickBot="1" x14ac:dyDescent="0.25">
      <c r="A49" s="15" t="s">
        <v>279</v>
      </c>
      <c r="B49" s="254" t="s">
        <v>219</v>
      </c>
      <c r="C49" s="629"/>
      <c r="D49" s="630"/>
      <c r="E49" s="630"/>
      <c r="F49" s="630"/>
      <c r="G49" s="630"/>
      <c r="H49" s="1052"/>
    </row>
    <row r="50" spans="1:8" s="1" customFormat="1" ht="17.25" customHeight="1" thickBot="1" x14ac:dyDescent="0.25">
      <c r="A50" s="23" t="s">
        <v>141</v>
      </c>
      <c r="B50" s="343" t="s">
        <v>220</v>
      </c>
      <c r="C50" s="631"/>
      <c r="D50" s="593"/>
      <c r="E50" s="593"/>
      <c r="F50" s="593"/>
      <c r="G50" s="593"/>
      <c r="H50" s="792"/>
    </row>
    <row r="51" spans="1:8" s="1" customFormat="1" ht="12" customHeight="1" thickBot="1" x14ac:dyDescent="0.25">
      <c r="A51" s="23" t="s">
        <v>864</v>
      </c>
      <c r="B51" s="27" t="s">
        <v>142</v>
      </c>
      <c r="C51" s="574">
        <f>+C6+C11+C20+C21+C30+C43+C46+C50</f>
        <v>0</v>
      </c>
      <c r="D51" s="575"/>
      <c r="E51" s="575">
        <f>+E6+E11+E20+E21+E30+E43+E46+E50</f>
        <v>0</v>
      </c>
      <c r="F51" s="575"/>
      <c r="G51" s="575"/>
      <c r="H51" s="1030">
        <f>+H6+H11+H20+H21+H30+H43+H46+H50</f>
        <v>0</v>
      </c>
    </row>
    <row r="52" spans="1:8" s="1" customFormat="1" ht="12" customHeight="1" thickBot="1" x14ac:dyDescent="0.25">
      <c r="A52" s="250" t="s">
        <v>865</v>
      </c>
      <c r="B52" s="245" t="s">
        <v>223</v>
      </c>
      <c r="C52" s="576">
        <f>+C53+C59</f>
        <v>0</v>
      </c>
      <c r="D52" s="577">
        <f>+D53+D59</f>
        <v>0</v>
      </c>
      <c r="E52" s="577">
        <f>+E53+E59</f>
        <v>0</v>
      </c>
      <c r="F52" s="577"/>
      <c r="G52" s="577"/>
      <c r="H52" s="1031">
        <f>+H53+H59</f>
        <v>0</v>
      </c>
    </row>
    <row r="53" spans="1:8" s="1" customFormat="1" ht="12" customHeight="1" x14ac:dyDescent="0.2">
      <c r="A53" s="344" t="s">
        <v>73</v>
      </c>
      <c r="B53" s="341" t="s">
        <v>224</v>
      </c>
      <c r="C53" s="578">
        <f>+C54+C55+C56+C57+C58</f>
        <v>0</v>
      </c>
      <c r="D53" s="570">
        <f>+D54+D55+D56+D57+D58</f>
        <v>0</v>
      </c>
      <c r="E53" s="570">
        <f>+E54+E55+E56+E57+E58</f>
        <v>0</v>
      </c>
      <c r="F53" s="570"/>
      <c r="G53" s="570"/>
      <c r="H53" s="1028">
        <f>+H54+H55+H56+H57+H58</f>
        <v>0</v>
      </c>
    </row>
    <row r="54" spans="1:8" s="1" customFormat="1" ht="12" customHeight="1" x14ac:dyDescent="0.2">
      <c r="A54" s="251" t="s">
        <v>239</v>
      </c>
      <c r="B54" s="246" t="s">
        <v>225</v>
      </c>
      <c r="C54" s="620"/>
      <c r="D54" s="621"/>
      <c r="E54" s="621"/>
      <c r="F54" s="621"/>
      <c r="G54" s="621"/>
      <c r="H54" s="1048"/>
    </row>
    <row r="55" spans="1:8" s="1" customFormat="1" ht="12" customHeight="1" x14ac:dyDescent="0.2">
      <c r="A55" s="251" t="s">
        <v>240</v>
      </c>
      <c r="B55" s="246" t="s">
        <v>226</v>
      </c>
      <c r="C55" s="620"/>
      <c r="D55" s="621"/>
      <c r="E55" s="621"/>
      <c r="F55" s="621"/>
      <c r="G55" s="621"/>
      <c r="H55" s="1048"/>
    </row>
    <row r="56" spans="1:8" s="1" customFormat="1" ht="12" customHeight="1" x14ac:dyDescent="0.2">
      <c r="A56" s="251" t="s">
        <v>241</v>
      </c>
      <c r="B56" s="246" t="s">
        <v>227</v>
      </c>
      <c r="C56" s="620"/>
      <c r="D56" s="621"/>
      <c r="E56" s="621"/>
      <c r="F56" s="621"/>
      <c r="G56" s="621"/>
      <c r="H56" s="1048"/>
    </row>
    <row r="57" spans="1:8" s="1" customFormat="1" ht="12" customHeight="1" x14ac:dyDescent="0.2">
      <c r="A57" s="251" t="s">
        <v>242</v>
      </c>
      <c r="B57" s="246" t="s">
        <v>228</v>
      </c>
      <c r="C57" s="620"/>
      <c r="D57" s="621"/>
      <c r="E57" s="621"/>
      <c r="F57" s="621"/>
      <c r="G57" s="621"/>
      <c r="H57" s="1048"/>
    </row>
    <row r="58" spans="1:8" s="1" customFormat="1" ht="12" customHeight="1" x14ac:dyDescent="0.2">
      <c r="A58" s="251" t="s">
        <v>243</v>
      </c>
      <c r="B58" s="246" t="s">
        <v>229</v>
      </c>
      <c r="C58" s="620"/>
      <c r="D58" s="621"/>
      <c r="E58" s="621"/>
      <c r="F58" s="621"/>
      <c r="G58" s="621"/>
      <c r="H58" s="1048"/>
    </row>
    <row r="59" spans="1:8" s="1" customFormat="1" ht="12" customHeight="1" x14ac:dyDescent="0.2">
      <c r="A59" s="252" t="s">
        <v>74</v>
      </c>
      <c r="B59" s="247" t="s">
        <v>230</v>
      </c>
      <c r="C59" s="579">
        <f>+C60+C61+C62+C63+C64</f>
        <v>0</v>
      </c>
      <c r="D59" s="572">
        <f>+D60+D61+D62+D63+D64</f>
        <v>0</v>
      </c>
      <c r="E59" s="572">
        <f>+E60+E61+E62+E63+E64</f>
        <v>0</v>
      </c>
      <c r="F59" s="572"/>
      <c r="G59" s="572"/>
      <c r="H59" s="1029">
        <f>+H60+H61+H62+H63+H64</f>
        <v>0</v>
      </c>
    </row>
    <row r="60" spans="1:8" s="1" customFormat="1" ht="12" customHeight="1" x14ac:dyDescent="0.2">
      <c r="A60" s="251" t="s">
        <v>244</v>
      </c>
      <c r="B60" s="246" t="s">
        <v>231</v>
      </c>
      <c r="C60" s="620"/>
      <c r="D60" s="621"/>
      <c r="E60" s="621"/>
      <c r="F60" s="621"/>
      <c r="G60" s="621"/>
      <c r="H60" s="1048"/>
    </row>
    <row r="61" spans="1:8" s="1" customFormat="1" ht="12" customHeight="1" x14ac:dyDescent="0.2">
      <c r="A61" s="251" t="s">
        <v>245</v>
      </c>
      <c r="B61" s="246" t="s">
        <v>232</v>
      </c>
      <c r="C61" s="620"/>
      <c r="D61" s="621"/>
      <c r="E61" s="621"/>
      <c r="F61" s="621"/>
      <c r="G61" s="621"/>
      <c r="H61" s="1048"/>
    </row>
    <row r="62" spans="1:8" s="1" customFormat="1" ht="12" customHeight="1" x14ac:dyDescent="0.2">
      <c r="A62" s="251" t="s">
        <v>246</v>
      </c>
      <c r="B62" s="246" t="s">
        <v>233</v>
      </c>
      <c r="C62" s="620"/>
      <c r="D62" s="621"/>
      <c r="E62" s="621"/>
      <c r="F62" s="621"/>
      <c r="G62" s="621"/>
      <c r="H62" s="1048"/>
    </row>
    <row r="63" spans="1:8" s="1" customFormat="1" ht="12" customHeight="1" x14ac:dyDescent="0.2">
      <c r="A63" s="251" t="s">
        <v>247</v>
      </c>
      <c r="B63" s="246" t="s">
        <v>234</v>
      </c>
      <c r="C63" s="620"/>
      <c r="D63" s="621"/>
      <c r="E63" s="621"/>
      <c r="F63" s="621"/>
      <c r="G63" s="621"/>
      <c r="H63" s="1048"/>
    </row>
    <row r="64" spans="1:8" s="1" customFormat="1" ht="12" customHeight="1" thickBot="1" x14ac:dyDescent="0.25">
      <c r="A64" s="253" t="s">
        <v>248</v>
      </c>
      <c r="B64" s="254" t="s">
        <v>235</v>
      </c>
      <c r="C64" s="632"/>
      <c r="D64" s="633"/>
      <c r="E64" s="633"/>
      <c r="F64" s="633"/>
      <c r="G64" s="633"/>
      <c r="H64" s="1053"/>
    </row>
    <row r="65" spans="1:8" s="1" customFormat="1" ht="12" customHeight="1" thickBot="1" x14ac:dyDescent="0.25">
      <c r="A65" s="255" t="s">
        <v>866</v>
      </c>
      <c r="B65" s="345" t="s">
        <v>236</v>
      </c>
      <c r="C65" s="576">
        <f>+C51+C52</f>
        <v>0</v>
      </c>
      <c r="D65" s="577">
        <f>+D51+D52</f>
        <v>0</v>
      </c>
      <c r="E65" s="577">
        <f>+E51+E52</f>
        <v>0</v>
      </c>
      <c r="F65" s="577"/>
      <c r="G65" s="577"/>
      <c r="H65" s="1031">
        <f>+H51+H52</f>
        <v>0</v>
      </c>
    </row>
    <row r="66" spans="1:8" s="1" customFormat="1" ht="13.5" customHeight="1" thickBot="1" x14ac:dyDescent="0.25">
      <c r="A66" s="256" t="s">
        <v>867</v>
      </c>
      <c r="B66" s="346" t="s">
        <v>237</v>
      </c>
      <c r="C66" s="634"/>
      <c r="D66" s="635"/>
      <c r="E66" s="635"/>
      <c r="F66" s="635"/>
      <c r="G66" s="635"/>
      <c r="H66" s="1054"/>
    </row>
    <row r="67" spans="1:8" s="1" customFormat="1" ht="12" customHeight="1" thickBot="1" x14ac:dyDescent="0.25">
      <c r="A67" s="255" t="s">
        <v>868</v>
      </c>
      <c r="B67" s="345" t="s">
        <v>238</v>
      </c>
      <c r="C67" s="576">
        <f>+C65+C66</f>
        <v>0</v>
      </c>
      <c r="D67" s="577">
        <f>+D65+D66</f>
        <v>0</v>
      </c>
      <c r="E67" s="577">
        <f>+E65+E66</f>
        <v>0</v>
      </c>
      <c r="F67" s="577"/>
      <c r="G67" s="577"/>
      <c r="H67" s="1031">
        <f>+H65+H66</f>
        <v>0</v>
      </c>
    </row>
    <row r="68" spans="1:8" s="1" customFormat="1" ht="12.95" customHeight="1" x14ac:dyDescent="0.2">
      <c r="A68" s="6"/>
      <c r="B68" s="7"/>
      <c r="C68" s="580"/>
      <c r="D68" s="580"/>
      <c r="E68" s="580"/>
      <c r="F68" s="580"/>
      <c r="G68" s="580"/>
      <c r="H68" s="580"/>
    </row>
    <row r="69" spans="1:8" ht="16.5" customHeight="1" x14ac:dyDescent="0.25">
      <c r="A69" s="1613" t="s">
        <v>884</v>
      </c>
      <c r="B69" s="1613"/>
      <c r="C69" s="1613"/>
      <c r="D69" s="1613"/>
      <c r="E69" s="1613"/>
      <c r="F69" s="1613"/>
      <c r="G69" s="1613"/>
      <c r="H69" s="1613"/>
    </row>
    <row r="70" spans="1:8" s="268" customFormat="1" ht="16.5" customHeight="1" thickBot="1" x14ac:dyDescent="0.3">
      <c r="A70" s="1618" t="s">
        <v>81</v>
      </c>
      <c r="B70" s="1618"/>
      <c r="C70" s="111"/>
      <c r="D70" s="266"/>
      <c r="E70" s="266"/>
      <c r="F70" s="266"/>
      <c r="G70" s="266"/>
      <c r="H70" s="266" t="s">
        <v>270</v>
      </c>
    </row>
    <row r="71" spans="1:8" ht="38.1" customHeight="1" thickBot="1" x14ac:dyDescent="0.3">
      <c r="A71" s="28" t="s">
        <v>853</v>
      </c>
      <c r="B71" s="29" t="s">
        <v>885</v>
      </c>
      <c r="C71" s="556" t="s">
        <v>998</v>
      </c>
      <c r="D71" s="557" t="s">
        <v>999</v>
      </c>
      <c r="E71" s="557" t="s">
        <v>943</v>
      </c>
      <c r="F71" s="557" t="s">
        <v>1067</v>
      </c>
      <c r="G71" s="1122" t="s">
        <v>1093</v>
      </c>
      <c r="H71" s="1123" t="s">
        <v>1094</v>
      </c>
    </row>
    <row r="72" spans="1:8" s="39" customFormat="1" ht="12" customHeight="1" thickBot="1" x14ac:dyDescent="0.25">
      <c r="A72" s="33">
        <v>1</v>
      </c>
      <c r="B72" s="34">
        <v>2</v>
      </c>
      <c r="C72" s="556">
        <v>3</v>
      </c>
      <c r="D72" s="557">
        <v>4</v>
      </c>
      <c r="E72" s="557">
        <v>3</v>
      </c>
      <c r="F72" s="556">
        <v>4</v>
      </c>
      <c r="G72" s="556">
        <v>5</v>
      </c>
      <c r="H72" s="1025">
        <v>6</v>
      </c>
    </row>
    <row r="73" spans="1:8" ht="12" customHeight="1" thickBot="1" x14ac:dyDescent="0.3">
      <c r="A73" s="25" t="s">
        <v>855</v>
      </c>
      <c r="B73" s="31" t="s">
        <v>143</v>
      </c>
      <c r="C73" s="558">
        <f>+C74+C75+C76+C77+C78</f>
        <v>0</v>
      </c>
      <c r="D73" s="559">
        <f>+D74+D75+D76+D77+D78</f>
        <v>0</v>
      </c>
      <c r="E73" s="559">
        <f>+E74+E75+E76+E77+E78</f>
        <v>0</v>
      </c>
      <c r="F73" s="558"/>
      <c r="G73" s="558"/>
      <c r="H73" s="1026">
        <f>+H74+H75+H76+H77+H78</f>
        <v>0</v>
      </c>
    </row>
    <row r="74" spans="1:8" ht="12" customHeight="1" x14ac:dyDescent="0.25">
      <c r="A74" s="20" t="s">
        <v>40</v>
      </c>
      <c r="B74" s="12" t="s">
        <v>886</v>
      </c>
      <c r="C74" s="581"/>
      <c r="D74" s="582"/>
      <c r="E74" s="582"/>
      <c r="F74" s="581"/>
      <c r="G74" s="581"/>
      <c r="H74" s="804"/>
    </row>
    <row r="75" spans="1:8" ht="12" customHeight="1" x14ac:dyDescent="0.25">
      <c r="A75" s="16" t="s">
        <v>41</v>
      </c>
      <c r="B75" s="9" t="s">
        <v>144</v>
      </c>
      <c r="C75" s="583"/>
      <c r="D75" s="565"/>
      <c r="E75" s="565"/>
      <c r="F75" s="583"/>
      <c r="G75" s="583"/>
      <c r="H75" s="805"/>
    </row>
    <row r="76" spans="1:8" ht="12" customHeight="1" x14ac:dyDescent="0.25">
      <c r="A76" s="16" t="s">
        <v>42</v>
      </c>
      <c r="B76" s="9" t="s">
        <v>70</v>
      </c>
      <c r="C76" s="584"/>
      <c r="D76" s="585"/>
      <c r="E76" s="585"/>
      <c r="F76" s="584"/>
      <c r="G76" s="584"/>
      <c r="H76" s="1040"/>
    </row>
    <row r="77" spans="1:8" ht="12" customHeight="1" x14ac:dyDescent="0.25">
      <c r="A77" s="16" t="s">
        <v>43</v>
      </c>
      <c r="B77" s="13" t="s">
        <v>145</v>
      </c>
      <c r="C77" s="584"/>
      <c r="D77" s="585"/>
      <c r="E77" s="585"/>
      <c r="F77" s="584"/>
      <c r="G77" s="584"/>
      <c r="H77" s="1040"/>
    </row>
    <row r="78" spans="1:8" ht="12" customHeight="1" x14ac:dyDescent="0.25">
      <c r="A78" s="16" t="s">
        <v>53</v>
      </c>
      <c r="B78" s="22" t="s">
        <v>146</v>
      </c>
      <c r="C78" s="584"/>
      <c r="D78" s="585"/>
      <c r="E78" s="585"/>
      <c r="F78" s="584"/>
      <c r="G78" s="584"/>
      <c r="H78" s="1040"/>
    </row>
    <row r="79" spans="1:8" ht="12" customHeight="1" x14ac:dyDescent="0.25">
      <c r="A79" s="16" t="s">
        <v>44</v>
      </c>
      <c r="B79" s="9" t="s">
        <v>168</v>
      </c>
      <c r="C79" s="584"/>
      <c r="D79" s="585"/>
      <c r="E79" s="585"/>
      <c r="F79" s="584"/>
      <c r="G79" s="584"/>
      <c r="H79" s="1040"/>
    </row>
    <row r="80" spans="1:8" ht="12" customHeight="1" x14ac:dyDescent="0.25">
      <c r="A80" s="16" t="s">
        <v>45</v>
      </c>
      <c r="B80" s="114" t="s">
        <v>169</v>
      </c>
      <c r="C80" s="584"/>
      <c r="D80" s="585"/>
      <c r="E80" s="585"/>
      <c r="F80" s="584"/>
      <c r="G80" s="584"/>
      <c r="H80" s="1040"/>
    </row>
    <row r="81" spans="1:8" ht="12" customHeight="1" x14ac:dyDescent="0.25">
      <c r="A81" s="16" t="s">
        <v>54</v>
      </c>
      <c r="B81" s="114" t="s">
        <v>249</v>
      </c>
      <c r="C81" s="584"/>
      <c r="D81" s="585"/>
      <c r="E81" s="585"/>
      <c r="F81" s="584"/>
      <c r="G81" s="584"/>
      <c r="H81" s="1040"/>
    </row>
    <row r="82" spans="1:8" ht="12" customHeight="1" x14ac:dyDescent="0.25">
      <c r="A82" s="16" t="s">
        <v>55</v>
      </c>
      <c r="B82" s="115" t="s">
        <v>170</v>
      </c>
      <c r="C82" s="584"/>
      <c r="D82" s="585"/>
      <c r="E82" s="585"/>
      <c r="F82" s="584"/>
      <c r="G82" s="584"/>
      <c r="H82" s="1040"/>
    </row>
    <row r="83" spans="1:8" ht="12" customHeight="1" x14ac:dyDescent="0.25">
      <c r="A83" s="15" t="s">
        <v>56</v>
      </c>
      <c r="B83" s="116" t="s">
        <v>171</v>
      </c>
      <c r="C83" s="584"/>
      <c r="D83" s="585"/>
      <c r="E83" s="585"/>
      <c r="F83" s="584"/>
      <c r="G83" s="584"/>
      <c r="H83" s="1040"/>
    </row>
    <row r="84" spans="1:8" ht="12" customHeight="1" x14ac:dyDescent="0.25">
      <c r="A84" s="16" t="s">
        <v>57</v>
      </c>
      <c r="B84" s="116" t="s">
        <v>172</v>
      </c>
      <c r="C84" s="584"/>
      <c r="D84" s="585"/>
      <c r="E84" s="585"/>
      <c r="F84" s="584"/>
      <c r="G84" s="584"/>
      <c r="H84" s="1040"/>
    </row>
    <row r="85" spans="1:8" ht="12" customHeight="1" thickBot="1" x14ac:dyDescent="0.3">
      <c r="A85" s="21" t="s">
        <v>59</v>
      </c>
      <c r="B85" s="117" t="s">
        <v>173</v>
      </c>
      <c r="C85" s="587"/>
      <c r="D85" s="588"/>
      <c r="E85" s="588"/>
      <c r="F85" s="587"/>
      <c r="G85" s="587"/>
      <c r="H85" s="1041"/>
    </row>
    <row r="86" spans="1:8" ht="12" customHeight="1" thickBot="1" x14ac:dyDescent="0.3">
      <c r="A86" s="23" t="s">
        <v>856</v>
      </c>
      <c r="B86" s="30" t="s">
        <v>280</v>
      </c>
      <c r="C86" s="566">
        <f>+C87+C88+C89</f>
        <v>0</v>
      </c>
      <c r="D86" s="562">
        <f>+D87+D88+D89</f>
        <v>0</v>
      </c>
      <c r="E86" s="562">
        <f>+E87+E88+E89</f>
        <v>0</v>
      </c>
      <c r="F86" s="566"/>
      <c r="G86" s="566"/>
      <c r="H86" s="607">
        <f>+H87+H88+H89</f>
        <v>0</v>
      </c>
    </row>
    <row r="87" spans="1:8" ht="12" customHeight="1" x14ac:dyDescent="0.25">
      <c r="A87" s="18" t="s">
        <v>46</v>
      </c>
      <c r="B87" s="9" t="s">
        <v>250</v>
      </c>
      <c r="C87" s="589"/>
      <c r="D87" s="590"/>
      <c r="E87" s="590"/>
      <c r="F87" s="589"/>
      <c r="G87" s="589"/>
      <c r="H87" s="1042"/>
    </row>
    <row r="88" spans="1:8" ht="12" customHeight="1" x14ac:dyDescent="0.25">
      <c r="A88" s="18" t="s">
        <v>47</v>
      </c>
      <c r="B88" s="14" t="s">
        <v>148</v>
      </c>
      <c r="C88" s="583"/>
      <c r="D88" s="565"/>
      <c r="E88" s="565"/>
      <c r="F88" s="583"/>
      <c r="G88" s="583"/>
      <c r="H88" s="805"/>
    </row>
    <row r="89" spans="1:8" ht="12" customHeight="1" x14ac:dyDescent="0.25">
      <c r="A89" s="18" t="s">
        <v>48</v>
      </c>
      <c r="B89" s="246" t="s">
        <v>281</v>
      </c>
      <c r="C89" s="564"/>
      <c r="D89" s="565"/>
      <c r="E89" s="565"/>
      <c r="F89" s="583"/>
      <c r="G89" s="583"/>
      <c r="H89" s="805"/>
    </row>
    <row r="90" spans="1:8" ht="12" customHeight="1" x14ac:dyDescent="0.25">
      <c r="A90" s="18" t="s">
        <v>49</v>
      </c>
      <c r="B90" s="246" t="s">
        <v>347</v>
      </c>
      <c r="C90" s="564"/>
      <c r="D90" s="565"/>
      <c r="E90" s="565"/>
      <c r="F90" s="583"/>
      <c r="G90" s="583"/>
      <c r="H90" s="805"/>
    </row>
    <row r="91" spans="1:8" ht="12" customHeight="1" x14ac:dyDescent="0.25">
      <c r="A91" s="18" t="s">
        <v>50</v>
      </c>
      <c r="B91" s="246" t="s">
        <v>282</v>
      </c>
      <c r="C91" s="564"/>
      <c r="D91" s="565"/>
      <c r="E91" s="565"/>
      <c r="F91" s="583"/>
      <c r="G91" s="583"/>
      <c r="H91" s="805"/>
    </row>
    <row r="92" spans="1:8" x14ac:dyDescent="0.25">
      <c r="A92" s="18" t="s">
        <v>58</v>
      </c>
      <c r="B92" s="246" t="s">
        <v>283</v>
      </c>
      <c r="C92" s="564"/>
      <c r="D92" s="565"/>
      <c r="E92" s="565"/>
      <c r="F92" s="583"/>
      <c r="G92" s="583"/>
      <c r="H92" s="805"/>
    </row>
    <row r="93" spans="1:8" ht="12" customHeight="1" x14ac:dyDescent="0.25">
      <c r="A93" s="18" t="s">
        <v>60</v>
      </c>
      <c r="B93" s="347" t="s">
        <v>254</v>
      </c>
      <c r="C93" s="564"/>
      <c r="D93" s="565"/>
      <c r="E93" s="565"/>
      <c r="F93" s="583"/>
      <c r="G93" s="583"/>
      <c r="H93" s="805"/>
    </row>
    <row r="94" spans="1:8" ht="12" customHeight="1" x14ac:dyDescent="0.25">
      <c r="A94" s="18" t="s">
        <v>149</v>
      </c>
      <c r="B94" s="347" t="s">
        <v>255</v>
      </c>
      <c r="C94" s="564"/>
      <c r="D94" s="565"/>
      <c r="E94" s="565"/>
      <c r="F94" s="583"/>
      <c r="G94" s="583"/>
      <c r="H94" s="805"/>
    </row>
    <row r="95" spans="1:8" ht="12" customHeight="1" x14ac:dyDescent="0.25">
      <c r="A95" s="18" t="s">
        <v>150</v>
      </c>
      <c r="B95" s="347" t="s">
        <v>253</v>
      </c>
      <c r="C95" s="564"/>
      <c r="D95" s="565"/>
      <c r="E95" s="565"/>
      <c r="F95" s="583"/>
      <c r="G95" s="583"/>
      <c r="H95" s="805"/>
    </row>
    <row r="96" spans="1:8" ht="24" customHeight="1" thickBot="1" x14ac:dyDescent="0.3">
      <c r="A96" s="15" t="s">
        <v>151</v>
      </c>
      <c r="B96" s="348" t="s">
        <v>252</v>
      </c>
      <c r="C96" s="591"/>
      <c r="D96" s="585"/>
      <c r="E96" s="585"/>
      <c r="F96" s="584"/>
      <c r="G96" s="584"/>
      <c r="H96" s="1040"/>
    </row>
    <row r="97" spans="1:8" ht="12" customHeight="1" thickBot="1" x14ac:dyDescent="0.3">
      <c r="A97" s="23" t="s">
        <v>857</v>
      </c>
      <c r="B97" s="95" t="s">
        <v>284</v>
      </c>
      <c r="C97" s="566">
        <f>+C98+C99</f>
        <v>0</v>
      </c>
      <c r="D97" s="562">
        <f>+D98+D99</f>
        <v>0</v>
      </c>
      <c r="E97" s="562">
        <f>+E98+E99</f>
        <v>0</v>
      </c>
      <c r="F97" s="566"/>
      <c r="G97" s="566"/>
      <c r="H97" s="607">
        <f>+H98+H99</f>
        <v>0</v>
      </c>
    </row>
    <row r="98" spans="1:8" ht="12" customHeight="1" x14ac:dyDescent="0.25">
      <c r="A98" s="18" t="s">
        <v>20</v>
      </c>
      <c r="B98" s="11" t="s">
        <v>3</v>
      </c>
      <c r="C98" s="589"/>
      <c r="D98" s="590"/>
      <c r="E98" s="590"/>
      <c r="F98" s="589"/>
      <c r="G98" s="589"/>
      <c r="H98" s="1042"/>
    </row>
    <row r="99" spans="1:8" ht="12" customHeight="1" thickBot="1" x14ac:dyDescent="0.3">
      <c r="A99" s="19" t="s">
        <v>21</v>
      </c>
      <c r="B99" s="14" t="s">
        <v>4</v>
      </c>
      <c r="C99" s="584"/>
      <c r="D99" s="585"/>
      <c r="E99" s="585"/>
      <c r="F99" s="584"/>
      <c r="G99" s="584"/>
      <c r="H99" s="1040"/>
    </row>
    <row r="100" spans="1:8" s="244" customFormat="1" ht="12" customHeight="1" thickBot="1" x14ac:dyDescent="0.25">
      <c r="A100" s="250" t="s">
        <v>858</v>
      </c>
      <c r="B100" s="245" t="s">
        <v>256</v>
      </c>
      <c r="C100" s="592"/>
      <c r="D100" s="593"/>
      <c r="E100" s="593"/>
      <c r="F100" s="631"/>
      <c r="G100" s="631"/>
      <c r="H100" s="792"/>
    </row>
    <row r="101" spans="1:8" ht="12" customHeight="1" thickBot="1" x14ac:dyDescent="0.3">
      <c r="A101" s="242" t="s">
        <v>859</v>
      </c>
      <c r="B101" s="243" t="s">
        <v>86</v>
      </c>
      <c r="C101" s="558">
        <f>+C73+C86+C97+C100</f>
        <v>0</v>
      </c>
      <c r="D101" s="559">
        <f>+D73+D86+D97+D100</f>
        <v>0</v>
      </c>
      <c r="E101" s="559">
        <f>+E73+E86+E97+E100</f>
        <v>0</v>
      </c>
      <c r="F101" s="558"/>
      <c r="G101" s="558"/>
      <c r="H101" s="1026">
        <f>+H73+H86+H97+H100</f>
        <v>0</v>
      </c>
    </row>
    <row r="102" spans="1:8" ht="12" customHeight="1" thickBot="1" x14ac:dyDescent="0.3">
      <c r="A102" s="250" t="s">
        <v>860</v>
      </c>
      <c r="B102" s="245" t="s">
        <v>348</v>
      </c>
      <c r="C102" s="566">
        <f>+C103+C111</f>
        <v>0</v>
      </c>
      <c r="D102" s="562">
        <f>+D103+D111</f>
        <v>0</v>
      </c>
      <c r="E102" s="562">
        <f>+E103+E111</f>
        <v>0</v>
      </c>
      <c r="F102" s="566"/>
      <c r="G102" s="566"/>
      <c r="H102" s="607">
        <f>+H103+H111</f>
        <v>0</v>
      </c>
    </row>
    <row r="103" spans="1:8" ht="12" customHeight="1" thickBot="1" x14ac:dyDescent="0.3">
      <c r="A103" s="257" t="s">
        <v>27</v>
      </c>
      <c r="B103" s="349" t="s">
        <v>353</v>
      </c>
      <c r="C103" s="566">
        <f>+C104+C105+C106+C107+C108+C109+C110</f>
        <v>0</v>
      </c>
      <c r="D103" s="562">
        <f>+D104+D105+D106+D107+D108+D109+D110</f>
        <v>0</v>
      </c>
      <c r="E103" s="562">
        <f>+E104+E105+E106+E107+E108+E109+E110</f>
        <v>0</v>
      </c>
      <c r="F103" s="566"/>
      <c r="G103" s="566"/>
      <c r="H103" s="607">
        <f>+H104+H105+H106+H107+H108+H109+H110</f>
        <v>0</v>
      </c>
    </row>
    <row r="104" spans="1:8" ht="12" customHeight="1" x14ac:dyDescent="0.25">
      <c r="A104" s="258" t="s">
        <v>30</v>
      </c>
      <c r="B104" s="259" t="s">
        <v>257</v>
      </c>
      <c r="C104" s="596"/>
      <c r="D104" s="597"/>
      <c r="E104" s="597"/>
      <c r="F104" s="596"/>
      <c r="G104" s="596"/>
      <c r="H104" s="1044"/>
    </row>
    <row r="105" spans="1:8" ht="12" customHeight="1" x14ac:dyDescent="0.25">
      <c r="A105" s="251" t="s">
        <v>31</v>
      </c>
      <c r="B105" s="246" t="s">
        <v>258</v>
      </c>
      <c r="C105" s="598"/>
      <c r="D105" s="599"/>
      <c r="E105" s="599"/>
      <c r="F105" s="598"/>
      <c r="G105" s="598"/>
      <c r="H105" s="1045"/>
    </row>
    <row r="106" spans="1:8" ht="12" customHeight="1" x14ac:dyDescent="0.25">
      <c r="A106" s="251" t="s">
        <v>32</v>
      </c>
      <c r="B106" s="246" t="s">
        <v>259</v>
      </c>
      <c r="C106" s="598"/>
      <c r="D106" s="599"/>
      <c r="E106" s="599"/>
      <c r="F106" s="598"/>
      <c r="G106" s="598"/>
      <c r="H106" s="1045"/>
    </row>
    <row r="107" spans="1:8" ht="12" customHeight="1" x14ac:dyDescent="0.25">
      <c r="A107" s="251" t="s">
        <v>33</v>
      </c>
      <c r="B107" s="246" t="s">
        <v>260</v>
      </c>
      <c r="C107" s="598"/>
      <c r="D107" s="599"/>
      <c r="E107" s="599"/>
      <c r="F107" s="598"/>
      <c r="G107" s="598"/>
      <c r="H107" s="1045"/>
    </row>
    <row r="108" spans="1:8" ht="12" customHeight="1" x14ac:dyDescent="0.25">
      <c r="A108" s="251" t="s">
        <v>134</v>
      </c>
      <c r="B108" s="246" t="s">
        <v>261</v>
      </c>
      <c r="C108" s="598"/>
      <c r="D108" s="599"/>
      <c r="E108" s="599"/>
      <c r="F108" s="598"/>
      <c r="G108" s="598"/>
      <c r="H108" s="1045"/>
    </row>
    <row r="109" spans="1:8" ht="12" customHeight="1" x14ac:dyDescent="0.25">
      <c r="A109" s="251" t="s">
        <v>152</v>
      </c>
      <c r="B109" s="246" t="s">
        <v>262</v>
      </c>
      <c r="C109" s="598"/>
      <c r="D109" s="599"/>
      <c r="E109" s="599"/>
      <c r="F109" s="598"/>
      <c r="G109" s="598"/>
      <c r="H109" s="1045"/>
    </row>
    <row r="110" spans="1:8" ht="12" customHeight="1" thickBot="1" x14ac:dyDescent="0.3">
      <c r="A110" s="260" t="s">
        <v>153</v>
      </c>
      <c r="B110" s="261" t="s">
        <v>263</v>
      </c>
      <c r="C110" s="600"/>
      <c r="D110" s="601"/>
      <c r="E110" s="601"/>
      <c r="F110" s="600"/>
      <c r="G110" s="600"/>
      <c r="H110" s="1046"/>
    </row>
    <row r="111" spans="1:8" ht="12" customHeight="1" thickBot="1" x14ac:dyDescent="0.3">
      <c r="A111" s="257" t="s">
        <v>28</v>
      </c>
      <c r="B111" s="349" t="s">
        <v>354</v>
      </c>
      <c r="C111" s="566">
        <f>+C112+C113+C114+C115+C116+C117+C118+C119</f>
        <v>0</v>
      </c>
      <c r="D111" s="562">
        <f>+D112+D113+D114+D115+D116+D117+D118+D119</f>
        <v>0</v>
      </c>
      <c r="E111" s="562">
        <f>+E112+E113+E114+E115+E116+E117+E118+E119</f>
        <v>0</v>
      </c>
      <c r="F111" s="566"/>
      <c r="G111" s="566"/>
      <c r="H111" s="607">
        <f>+H112+H113+H114+H115+H116+H117+H118+H119</f>
        <v>0</v>
      </c>
    </row>
    <row r="112" spans="1:8" ht="12" customHeight="1" x14ac:dyDescent="0.25">
      <c r="A112" s="258" t="s">
        <v>36</v>
      </c>
      <c r="B112" s="259" t="s">
        <v>257</v>
      </c>
      <c r="C112" s="596"/>
      <c r="D112" s="597"/>
      <c r="E112" s="597"/>
      <c r="F112" s="596"/>
      <c r="G112" s="596"/>
      <c r="H112" s="1044"/>
    </row>
    <row r="113" spans="1:10" ht="12" customHeight="1" x14ac:dyDescent="0.25">
      <c r="A113" s="251" t="s">
        <v>37</v>
      </c>
      <c r="B113" s="246" t="s">
        <v>264</v>
      </c>
      <c r="C113" s="598"/>
      <c r="D113" s="599"/>
      <c r="E113" s="599"/>
      <c r="F113" s="598"/>
      <c r="G113" s="598"/>
      <c r="H113" s="1045"/>
    </row>
    <row r="114" spans="1:10" ht="12" customHeight="1" x14ac:dyDescent="0.25">
      <c r="A114" s="251" t="s">
        <v>38</v>
      </c>
      <c r="B114" s="246" t="s">
        <v>259</v>
      </c>
      <c r="C114" s="598"/>
      <c r="D114" s="599"/>
      <c r="E114" s="599"/>
      <c r="F114" s="598"/>
      <c r="G114" s="598"/>
      <c r="H114" s="1045"/>
    </row>
    <row r="115" spans="1:10" ht="12" customHeight="1" x14ac:dyDescent="0.25">
      <c r="A115" s="251" t="s">
        <v>39</v>
      </c>
      <c r="B115" s="246" t="s">
        <v>260</v>
      </c>
      <c r="C115" s="598"/>
      <c r="D115" s="599"/>
      <c r="E115" s="599"/>
      <c r="F115" s="598"/>
      <c r="G115" s="598"/>
      <c r="H115" s="1045"/>
    </row>
    <row r="116" spans="1:10" ht="12" customHeight="1" x14ac:dyDescent="0.25">
      <c r="A116" s="251" t="s">
        <v>135</v>
      </c>
      <c r="B116" s="246" t="s">
        <v>261</v>
      </c>
      <c r="C116" s="598"/>
      <c r="D116" s="599"/>
      <c r="E116" s="599"/>
      <c r="F116" s="598"/>
      <c r="G116" s="598"/>
      <c r="H116" s="1045"/>
    </row>
    <row r="117" spans="1:10" ht="12" customHeight="1" x14ac:dyDescent="0.25">
      <c r="A117" s="251" t="s">
        <v>154</v>
      </c>
      <c r="B117" s="246" t="s">
        <v>265</v>
      </c>
      <c r="C117" s="598"/>
      <c r="D117" s="599"/>
      <c r="E117" s="599"/>
      <c r="F117" s="598"/>
      <c r="G117" s="598"/>
      <c r="H117" s="1045"/>
    </row>
    <row r="118" spans="1:10" ht="12" customHeight="1" x14ac:dyDescent="0.25">
      <c r="A118" s="251" t="s">
        <v>155</v>
      </c>
      <c r="B118" s="246" t="s">
        <v>263</v>
      </c>
      <c r="C118" s="598"/>
      <c r="D118" s="599"/>
      <c r="E118" s="599"/>
      <c r="F118" s="598"/>
      <c r="G118" s="598"/>
      <c r="H118" s="1045"/>
    </row>
    <row r="119" spans="1:10" ht="12" customHeight="1" thickBot="1" x14ac:dyDescent="0.3">
      <c r="A119" s="260" t="s">
        <v>156</v>
      </c>
      <c r="B119" s="261" t="s">
        <v>351</v>
      </c>
      <c r="C119" s="600"/>
      <c r="D119" s="601"/>
      <c r="E119" s="601"/>
      <c r="F119" s="600"/>
      <c r="G119" s="600"/>
      <c r="H119" s="1046"/>
    </row>
    <row r="120" spans="1:10" ht="12" customHeight="1" thickBot="1" x14ac:dyDescent="0.3">
      <c r="A120" s="250" t="s">
        <v>861</v>
      </c>
      <c r="B120" s="345" t="s">
        <v>266</v>
      </c>
      <c r="C120" s="602">
        <f>+C101+C102</f>
        <v>0</v>
      </c>
      <c r="D120" s="603">
        <f>+D101+D102</f>
        <v>0</v>
      </c>
      <c r="E120" s="603">
        <f>+E101+E102</f>
        <v>0</v>
      </c>
      <c r="F120" s="602"/>
      <c r="G120" s="602"/>
      <c r="H120" s="608">
        <f>+H101+H102</f>
        <v>0</v>
      </c>
    </row>
    <row r="121" spans="1:10" ht="15" customHeight="1" thickBot="1" x14ac:dyDescent="0.3">
      <c r="A121" s="250" t="s">
        <v>862</v>
      </c>
      <c r="B121" s="345" t="s">
        <v>267</v>
      </c>
      <c r="C121" s="604"/>
      <c r="D121" s="605"/>
      <c r="E121" s="605"/>
      <c r="F121" s="604"/>
      <c r="G121" s="604"/>
      <c r="H121" s="1047"/>
      <c r="I121" s="96"/>
      <c r="J121" s="96"/>
    </row>
    <row r="122" spans="1:10" s="1" customFormat="1" ht="12.95" customHeight="1" thickBot="1" x14ac:dyDescent="0.25">
      <c r="A122" s="262" t="s">
        <v>863</v>
      </c>
      <c r="B122" s="346" t="s">
        <v>268</v>
      </c>
      <c r="C122" s="576">
        <f>+C120+C121</f>
        <v>0</v>
      </c>
      <c r="D122" s="577">
        <f>+D120+D121</f>
        <v>0</v>
      </c>
      <c r="E122" s="577">
        <f>+E120+E121</f>
        <v>0</v>
      </c>
      <c r="F122" s="576"/>
      <c r="G122" s="576"/>
      <c r="H122" s="1031">
        <f>+H120+H121</f>
        <v>0</v>
      </c>
    </row>
    <row r="123" spans="1:10" ht="7.5" customHeight="1" x14ac:dyDescent="0.25">
      <c r="A123" s="350"/>
      <c r="B123" s="350"/>
      <c r="C123" s="606"/>
      <c r="D123" s="606"/>
      <c r="E123" s="606"/>
      <c r="F123" s="606"/>
      <c r="G123" s="606"/>
      <c r="H123" s="606"/>
    </row>
    <row r="124" spans="1:10" x14ac:dyDescent="0.25">
      <c r="A124" s="1619" t="s">
        <v>89</v>
      </c>
      <c r="B124" s="1619"/>
      <c r="C124" s="1619"/>
      <c r="D124" s="1619"/>
      <c r="E124" s="1619"/>
      <c r="F124" s="1619"/>
      <c r="G124" s="1619"/>
      <c r="H124" s="1619"/>
    </row>
    <row r="125" spans="1:10" ht="15" customHeight="1" thickBot="1" x14ac:dyDescent="0.3">
      <c r="A125" s="1617" t="s">
        <v>82</v>
      </c>
      <c r="B125" s="1617"/>
      <c r="C125" s="266"/>
      <c r="D125" s="266"/>
      <c r="E125" s="266" t="s">
        <v>270</v>
      </c>
      <c r="F125" s="266"/>
      <c r="G125" s="266"/>
      <c r="H125" s="266" t="s">
        <v>270</v>
      </c>
    </row>
    <row r="126" spans="1:10" ht="13.5" customHeight="1" thickBot="1" x14ac:dyDescent="0.3">
      <c r="A126" s="23">
        <v>1</v>
      </c>
      <c r="B126" s="30" t="s">
        <v>163</v>
      </c>
      <c r="C126" s="566">
        <f>+C51-C101</f>
        <v>0</v>
      </c>
      <c r="D126" s="607">
        <f>+D51-D101</f>
        <v>0</v>
      </c>
      <c r="E126" s="607">
        <f>+E51-E101</f>
        <v>0</v>
      </c>
      <c r="F126" s="607"/>
      <c r="G126" s="607"/>
      <c r="H126" s="607">
        <f>+H51-H101</f>
        <v>0</v>
      </c>
    </row>
    <row r="127" spans="1:10" ht="7.5" customHeight="1" x14ac:dyDescent="0.25">
      <c r="A127" s="350"/>
      <c r="B127" s="350"/>
      <c r="C127" s="606"/>
      <c r="D127" s="606"/>
      <c r="E127" s="606"/>
      <c r="F127" s="606"/>
      <c r="G127" s="606"/>
      <c r="H127" s="606"/>
    </row>
  </sheetData>
  <mergeCells count="6">
    <mergeCell ref="A125:B125"/>
    <mergeCell ref="A2:B2"/>
    <mergeCell ref="A70:B70"/>
    <mergeCell ref="A1:H1"/>
    <mergeCell ref="A69:H69"/>
    <mergeCell ref="A124:H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62" fitToWidth="3" fitToHeight="2" orientation="portrait" r:id="rId1"/>
  <headerFooter alignWithMargins="0">
    <oddHeader>&amp;C&amp;"Times New Roman CE,Félkövér"&amp;12
Csobánka Község Önkormányzat
 2015. ÉVI KÖLTSÉGVETÉS ÁLLAMI FELADATOK MÉRLEGE&amp;R&amp;"Times New Roman CE,Félkövér dőlt"&amp;11 &amp;"Times New Roman CE,Félkövér"1.4. melléklet a 3/2016. (IV.29.)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Layout" topLeftCell="L1" zoomScaleNormal="100" zoomScaleSheetLayoutView="100" workbookViewId="0">
      <selection activeCell="P1" sqref="P1:P32"/>
    </sheetView>
  </sheetViews>
  <sheetFormatPr defaultColWidth="9.33203125" defaultRowHeight="12.75" x14ac:dyDescent="0.2"/>
  <cols>
    <col min="1" max="1" width="6.83203125" style="50" customWidth="1"/>
    <col min="2" max="2" width="50.83203125" style="147" customWidth="1"/>
    <col min="3" max="4" width="13.33203125" style="645" hidden="1" customWidth="1"/>
    <col min="5" max="8" width="13.33203125" style="645" customWidth="1"/>
    <col min="9" max="9" width="50.83203125" style="50" customWidth="1"/>
    <col min="10" max="11" width="13.33203125" style="645" hidden="1" customWidth="1"/>
    <col min="12" max="15" width="13.33203125" style="645" customWidth="1"/>
    <col min="16" max="16" width="4.83203125" style="50" customWidth="1"/>
    <col min="17" max="16384" width="9.33203125" style="50"/>
  </cols>
  <sheetData>
    <row r="1" spans="1:16" ht="39.75" customHeight="1" x14ac:dyDescent="0.2">
      <c r="B1" s="1626" t="s">
        <v>90</v>
      </c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832" t="s">
        <v>1558</v>
      </c>
    </row>
    <row r="2" spans="1:16" ht="14.25" thickBot="1" x14ac:dyDescent="0.25">
      <c r="J2" s="638"/>
      <c r="K2" s="638"/>
      <c r="L2" s="638"/>
      <c r="N2" s="638"/>
      <c r="O2" s="638" t="s">
        <v>11</v>
      </c>
      <c r="P2" s="1622"/>
    </row>
    <row r="3" spans="1:16" ht="18" customHeight="1" thickBot="1" x14ac:dyDescent="0.25">
      <c r="A3" s="1620" t="s">
        <v>16</v>
      </c>
      <c r="B3" s="274" t="s">
        <v>897</v>
      </c>
      <c r="C3" s="646"/>
      <c r="D3" s="646"/>
      <c r="E3" s="647"/>
      <c r="F3" s="647"/>
      <c r="G3" s="647"/>
      <c r="H3" s="647"/>
      <c r="I3" s="1623" t="s">
        <v>1</v>
      </c>
      <c r="J3" s="1624"/>
      <c r="K3" s="1624"/>
      <c r="L3" s="1624"/>
      <c r="M3" s="1624"/>
      <c r="N3" s="1624"/>
      <c r="O3" s="1625"/>
      <c r="P3" s="1622"/>
    </row>
    <row r="4" spans="1:16" s="275" customFormat="1" ht="39" thickBot="1" x14ac:dyDescent="0.25">
      <c r="A4" s="1621"/>
      <c r="B4" s="148" t="s">
        <v>12</v>
      </c>
      <c r="C4" s="640" t="s">
        <v>998</v>
      </c>
      <c r="D4" s="640" t="s">
        <v>999</v>
      </c>
      <c r="E4" s="640" t="s">
        <v>1078</v>
      </c>
      <c r="F4" s="640" t="s">
        <v>1068</v>
      </c>
      <c r="G4" s="648" t="s">
        <v>1093</v>
      </c>
      <c r="H4" s="648" t="s">
        <v>1094</v>
      </c>
      <c r="I4" s="148" t="s">
        <v>12</v>
      </c>
      <c r="J4" s="640" t="s">
        <v>998</v>
      </c>
      <c r="K4" s="639" t="s">
        <v>999</v>
      </c>
      <c r="L4" s="1146" t="s">
        <v>1078</v>
      </c>
      <c r="M4" s="1146" t="s">
        <v>1068</v>
      </c>
      <c r="N4" s="1146" t="s">
        <v>1093</v>
      </c>
      <c r="O4" s="1147" t="s">
        <v>1094</v>
      </c>
      <c r="P4" s="1622"/>
    </row>
    <row r="5" spans="1:16" s="278" customFormat="1" ht="12" customHeight="1" thickBot="1" x14ac:dyDescent="0.25">
      <c r="A5" s="276" t="s">
        <v>855</v>
      </c>
      <c r="B5" s="277">
        <v>2</v>
      </c>
      <c r="C5" s="639" t="s">
        <v>857</v>
      </c>
      <c r="D5" s="640" t="s">
        <v>858</v>
      </c>
      <c r="E5" s="648" t="s">
        <v>857</v>
      </c>
      <c r="F5" s="648" t="s">
        <v>858</v>
      </c>
      <c r="G5" s="648" t="s">
        <v>859</v>
      </c>
      <c r="H5" s="648" t="s">
        <v>860</v>
      </c>
      <c r="I5" s="277" t="s">
        <v>861</v>
      </c>
      <c r="J5" s="639" t="s">
        <v>861</v>
      </c>
      <c r="K5" s="639">
        <v>8</v>
      </c>
      <c r="L5" s="640" t="s">
        <v>862</v>
      </c>
      <c r="M5" s="640" t="s">
        <v>863</v>
      </c>
      <c r="N5" s="640" t="s">
        <v>864</v>
      </c>
      <c r="O5" s="998" t="s">
        <v>865</v>
      </c>
      <c r="P5" s="1622"/>
    </row>
    <row r="6" spans="1:16" ht="12.95" customHeight="1" x14ac:dyDescent="0.2">
      <c r="A6" s="279" t="s">
        <v>855</v>
      </c>
      <c r="B6" s="280" t="s">
        <v>122</v>
      </c>
      <c r="C6" s="660">
        <f>'1.1.sz.mell.'!C6</f>
        <v>95825</v>
      </c>
      <c r="D6" s="649">
        <f>'1.1.sz.mell.'!D6</f>
        <v>79070</v>
      </c>
      <c r="E6" s="649">
        <f>'1.1.sz.mell.'!E6</f>
        <v>98689</v>
      </c>
      <c r="F6" s="649">
        <f>'1.1.sz.mell.'!F6</f>
        <v>92798</v>
      </c>
      <c r="G6" s="650">
        <v>92161</v>
      </c>
      <c r="H6" s="1320">
        <f>G6/F6</f>
        <v>0.99313562792301557</v>
      </c>
      <c r="I6" s="280" t="s">
        <v>13</v>
      </c>
      <c r="J6" s="660">
        <f>'1.1.sz.mell.'!C74</f>
        <v>108275</v>
      </c>
      <c r="K6" s="660">
        <f>'1.1.sz.mell.'!D74</f>
        <v>143462</v>
      </c>
      <c r="L6" s="649">
        <f>'1.1.sz.mell.'!E74</f>
        <v>128480</v>
      </c>
      <c r="M6" s="649">
        <f>'1.1.sz.mell.'!F74</f>
        <v>131129</v>
      </c>
      <c r="N6" s="649">
        <v>122052</v>
      </c>
      <c r="O6" s="1231">
        <f>N6/M6</f>
        <v>0.93077808875229739</v>
      </c>
      <c r="P6" s="1622"/>
    </row>
    <row r="7" spans="1:16" ht="12.95" customHeight="1" x14ac:dyDescent="0.2">
      <c r="A7" s="281" t="s">
        <v>856</v>
      </c>
      <c r="B7" s="282" t="s">
        <v>898</v>
      </c>
      <c r="C7" s="653">
        <f>'1.1.sz.mell.'!C11</f>
        <v>13212</v>
      </c>
      <c r="D7" s="651">
        <f>'1.1.sz.mell.'!D11</f>
        <v>13483</v>
      </c>
      <c r="E7" s="651">
        <f>'1.1.sz.mell.'!E11</f>
        <v>22409</v>
      </c>
      <c r="F7" s="651">
        <f>'1.1.sz.mell.'!F11</f>
        <v>23945</v>
      </c>
      <c r="G7" s="652">
        <v>20869</v>
      </c>
      <c r="H7" s="1320">
        <f t="shared" ref="H7:H15" si="0">G7/F7</f>
        <v>0.87153894341198579</v>
      </c>
      <c r="I7" s="282" t="s">
        <v>144</v>
      </c>
      <c r="J7" s="653">
        <f>'1.1.sz.mell.'!C75</f>
        <v>25837</v>
      </c>
      <c r="K7" s="653">
        <f>'1.1.sz.mell.'!D75</f>
        <v>37659</v>
      </c>
      <c r="L7" s="651">
        <f>'1.1.sz.mell.'!E75</f>
        <v>33112</v>
      </c>
      <c r="M7" s="651">
        <f>'1.1.sz.mell.'!F75</f>
        <v>34639</v>
      </c>
      <c r="N7" s="651">
        <v>32751</v>
      </c>
      <c r="O7" s="1231">
        <f t="shared" ref="O7:O11" si="1">N7/M7</f>
        <v>0.94549496232570229</v>
      </c>
      <c r="P7" s="1622"/>
    </row>
    <row r="8" spans="1:16" ht="12.95" customHeight="1" x14ac:dyDescent="0.2">
      <c r="A8" s="281" t="s">
        <v>857</v>
      </c>
      <c r="B8" s="282" t="s">
        <v>0</v>
      </c>
      <c r="C8" s="653">
        <f>'1.1.sz.mell.'!C20</f>
        <v>7833</v>
      </c>
      <c r="D8" s="651">
        <f>'1.1.sz.mell.'!D20</f>
        <v>8000</v>
      </c>
      <c r="E8" s="651">
        <f>'1.1.sz.mell.'!E20</f>
        <v>8132</v>
      </c>
      <c r="F8" s="651">
        <f>'1.1.sz.mell.'!F20</f>
        <v>8132</v>
      </c>
      <c r="G8" s="652">
        <v>7351</v>
      </c>
      <c r="H8" s="1320">
        <f t="shared" si="0"/>
        <v>0.90395966551893758</v>
      </c>
      <c r="I8" s="282" t="s">
        <v>298</v>
      </c>
      <c r="J8" s="653">
        <f>'1.1.sz.mell.'!C76</f>
        <v>102127</v>
      </c>
      <c r="K8" s="653">
        <f>'1.1.sz.mell.'!D76</f>
        <v>105330</v>
      </c>
      <c r="L8" s="651">
        <f>'1.1.sz.mell.'!E76</f>
        <v>88289</v>
      </c>
      <c r="M8" s="651">
        <f>'1.1.sz.mell.'!F76</f>
        <v>129141</v>
      </c>
      <c r="N8" s="651">
        <v>115604</v>
      </c>
      <c r="O8" s="1231">
        <f t="shared" si="1"/>
        <v>0.89517658992883742</v>
      </c>
      <c r="P8" s="1622"/>
    </row>
    <row r="9" spans="1:16" ht="12.95" customHeight="1" x14ac:dyDescent="0.2">
      <c r="A9" s="281" t="s">
        <v>858</v>
      </c>
      <c r="B9" s="283" t="s">
        <v>285</v>
      </c>
      <c r="C9" s="653">
        <f>'1.1.sz.mell.'!C21</f>
        <v>136964</v>
      </c>
      <c r="D9" s="651">
        <f>'1.1.sz.mell.'!D21</f>
        <v>154410</v>
      </c>
      <c r="E9" s="651">
        <f>'1.1.sz.mell.'!E21</f>
        <v>166940</v>
      </c>
      <c r="F9" s="651">
        <f>'9. sz. mell'!G24-'9. sz. mell'!G31</f>
        <v>175672</v>
      </c>
      <c r="G9" s="652">
        <v>175672</v>
      </c>
      <c r="H9" s="1320">
        <f t="shared" si="0"/>
        <v>1</v>
      </c>
      <c r="I9" s="282" t="s">
        <v>145</v>
      </c>
      <c r="J9" s="653">
        <f>'1.1.sz.mell.'!C77</f>
        <v>17819</v>
      </c>
      <c r="K9" s="653">
        <f>'1.1.sz.mell.'!D77</f>
        <v>13626</v>
      </c>
      <c r="L9" s="651">
        <f>'1.1.sz.mell.'!E77</f>
        <v>9584</v>
      </c>
      <c r="M9" s="651">
        <f>'1.1.sz.mell.'!F77</f>
        <v>11297</v>
      </c>
      <c r="N9" s="651">
        <v>9120</v>
      </c>
      <c r="O9" s="1231">
        <f t="shared" si="1"/>
        <v>0.80729397185093388</v>
      </c>
      <c r="P9" s="1622"/>
    </row>
    <row r="10" spans="1:16" ht="12.95" customHeight="1" x14ac:dyDescent="0.2">
      <c r="A10" s="281" t="s">
        <v>859</v>
      </c>
      <c r="B10" s="282" t="s">
        <v>286</v>
      </c>
      <c r="C10" s="653">
        <f>'1.1.sz.mell.'!C31</f>
        <v>14598</v>
      </c>
      <c r="D10" s="651">
        <f>'1.1.sz.mell.'!D31</f>
        <v>22134</v>
      </c>
      <c r="E10" s="651">
        <f>'1.1.sz.mell.'!E31</f>
        <v>10419</v>
      </c>
      <c r="F10" s="651">
        <f>'1.1.sz.mell.'!F31</f>
        <v>10419</v>
      </c>
      <c r="G10" s="652">
        <v>14925</v>
      </c>
      <c r="H10" s="1320">
        <f t="shared" si="0"/>
        <v>1.4324791246760726</v>
      </c>
      <c r="I10" s="282" t="s">
        <v>146</v>
      </c>
      <c r="J10" s="653">
        <f>'1.1.sz.mell.'!C78</f>
        <v>8580</v>
      </c>
      <c r="K10" s="653">
        <f>'1.1.sz.mell.'!D78</f>
        <v>7590</v>
      </c>
      <c r="L10" s="651">
        <f>'1.1.sz.mell.'!E78</f>
        <v>6287</v>
      </c>
      <c r="M10" s="651">
        <f>'1.1.sz.mell.'!F78</f>
        <v>13309</v>
      </c>
      <c r="N10" s="651">
        <v>6352</v>
      </c>
      <c r="O10" s="1231">
        <f t="shared" si="1"/>
        <v>0.47727101961078972</v>
      </c>
      <c r="P10" s="1622"/>
    </row>
    <row r="11" spans="1:16" ht="12.95" customHeight="1" x14ac:dyDescent="0.2">
      <c r="A11" s="281" t="s">
        <v>860</v>
      </c>
      <c r="B11" s="282" t="s">
        <v>319</v>
      </c>
      <c r="C11" s="653"/>
      <c r="D11" s="651"/>
      <c r="E11" s="651"/>
      <c r="F11" s="651"/>
      <c r="G11" s="652"/>
      <c r="H11" s="1320"/>
      <c r="I11" s="282" t="s">
        <v>887</v>
      </c>
      <c r="J11" s="653">
        <f>'1.1.sz.mell.'!C98</f>
        <v>0</v>
      </c>
      <c r="K11" s="653">
        <v>11026</v>
      </c>
      <c r="L11" s="651">
        <f>'1.1.sz.mell.'!E98</f>
        <v>6592</v>
      </c>
      <c r="M11" s="651">
        <f>'9. sz. mell'!G90</f>
        <v>18296</v>
      </c>
      <c r="N11" s="651"/>
      <c r="O11" s="1231">
        <f t="shared" si="1"/>
        <v>0</v>
      </c>
      <c r="P11" s="1622"/>
    </row>
    <row r="12" spans="1:16" ht="12.95" customHeight="1" x14ac:dyDescent="0.2">
      <c r="A12" s="281" t="s">
        <v>861</v>
      </c>
      <c r="B12" s="282" t="s">
        <v>287</v>
      </c>
      <c r="C12" s="653"/>
      <c r="D12" s="651"/>
      <c r="E12" s="651">
        <f>'1.2.sz.mell. _köt'!E44</f>
        <v>209</v>
      </c>
      <c r="F12" s="651">
        <f>'1.2.sz.mell. _köt'!F44</f>
        <v>209</v>
      </c>
      <c r="G12" s="652">
        <v>209</v>
      </c>
      <c r="H12" s="1320">
        <f t="shared" si="0"/>
        <v>1</v>
      </c>
      <c r="I12" s="282" t="s">
        <v>850</v>
      </c>
      <c r="J12" s="653"/>
      <c r="K12" s="653"/>
      <c r="L12" s="651"/>
      <c r="M12" s="651"/>
      <c r="N12" s="651"/>
      <c r="O12" s="642"/>
      <c r="P12" s="1622"/>
    </row>
    <row r="13" spans="1:16" ht="12.95" customHeight="1" x14ac:dyDescent="0.2">
      <c r="A13" s="281" t="s">
        <v>862</v>
      </c>
      <c r="B13" s="282" t="s">
        <v>288</v>
      </c>
      <c r="C13" s="653"/>
      <c r="D13" s="651"/>
      <c r="E13" s="651"/>
      <c r="F13" s="651"/>
      <c r="G13" s="652"/>
      <c r="H13" s="1320"/>
      <c r="I13" s="43"/>
      <c r="J13" s="653"/>
      <c r="K13" s="653"/>
      <c r="L13" s="651"/>
      <c r="M13" s="651"/>
      <c r="N13" s="651"/>
      <c r="O13" s="642"/>
      <c r="P13" s="1622"/>
    </row>
    <row r="14" spans="1:16" ht="12.95" customHeight="1" x14ac:dyDescent="0.2">
      <c r="A14" s="281" t="s">
        <v>863</v>
      </c>
      <c r="B14" s="287" t="s">
        <v>289</v>
      </c>
      <c r="C14" s="653"/>
      <c r="D14" s="651"/>
      <c r="E14" s="651"/>
      <c r="F14" s="651"/>
      <c r="G14" s="652"/>
      <c r="H14" s="1320"/>
      <c r="I14" s="43"/>
      <c r="J14" s="653"/>
      <c r="K14" s="653"/>
      <c r="L14" s="651"/>
      <c r="M14" s="651"/>
      <c r="N14" s="651"/>
      <c r="O14" s="642"/>
      <c r="P14" s="1622"/>
    </row>
    <row r="15" spans="1:16" ht="12.95" customHeight="1" x14ac:dyDescent="0.2">
      <c r="A15" s="281" t="s">
        <v>864</v>
      </c>
      <c r="B15" s="425" t="s">
        <v>538</v>
      </c>
      <c r="C15" s="653">
        <v>-12762</v>
      </c>
      <c r="D15" s="651"/>
      <c r="E15" s="651">
        <v>-34454</v>
      </c>
      <c r="F15" s="651">
        <f>-40082-5986-1880+11688-90</f>
        <v>-36350</v>
      </c>
      <c r="G15" s="652">
        <v>-36350</v>
      </c>
      <c r="H15" s="1320">
        <f t="shared" si="0"/>
        <v>1</v>
      </c>
      <c r="I15" s="43"/>
      <c r="J15" s="653"/>
      <c r="K15" s="653"/>
      <c r="L15" s="651"/>
      <c r="M15" s="651"/>
      <c r="N15" s="651"/>
      <c r="O15" s="642"/>
      <c r="P15" s="1622"/>
    </row>
    <row r="16" spans="1:16" ht="12.95" customHeight="1" x14ac:dyDescent="0.2">
      <c r="A16" s="281" t="s">
        <v>865</v>
      </c>
      <c r="B16" s="43"/>
      <c r="C16" s="653"/>
      <c r="D16" s="651"/>
      <c r="E16" s="651"/>
      <c r="F16" s="651"/>
      <c r="G16" s="652"/>
      <c r="H16" s="650"/>
      <c r="I16" s="43"/>
      <c r="J16" s="653"/>
      <c r="K16" s="653"/>
      <c r="L16" s="651"/>
      <c r="M16" s="651"/>
      <c r="N16" s="651"/>
      <c r="O16" s="642"/>
      <c r="P16" s="1622"/>
    </row>
    <row r="17" spans="1:16" ht="12.95" customHeight="1" thickBot="1" x14ac:dyDescent="0.25">
      <c r="A17" s="281" t="s">
        <v>866</v>
      </c>
      <c r="B17" s="51"/>
      <c r="C17" s="661"/>
      <c r="D17" s="654"/>
      <c r="E17" s="654"/>
      <c r="F17" s="654"/>
      <c r="G17" s="1141"/>
      <c r="H17" s="1141"/>
      <c r="I17" s="43"/>
      <c r="J17" s="661"/>
      <c r="K17" s="661"/>
      <c r="L17" s="654"/>
      <c r="M17" s="654"/>
      <c r="N17" s="654"/>
      <c r="O17" s="975"/>
      <c r="P17" s="1622"/>
    </row>
    <row r="18" spans="1:16" ht="15.95" customHeight="1" thickBot="1" x14ac:dyDescent="0.25">
      <c r="A18" s="284" t="s">
        <v>867</v>
      </c>
      <c r="B18" s="97" t="s">
        <v>312</v>
      </c>
      <c r="C18" s="662">
        <f>+C6+C7+C8+C9+C10+C12+C13+C14+C15+C16+C17</f>
        <v>255670</v>
      </c>
      <c r="D18" s="511">
        <f>+D6+D7+D8+D9+D10+D12+D13+D14+D15+D16+D17</f>
        <v>277097</v>
      </c>
      <c r="E18" s="511">
        <f>+E6+E7+E8+E9+E10+E12+E13+E14+E15+E16+E17</f>
        <v>272344</v>
      </c>
      <c r="F18" s="511">
        <f>+F6+F7+F8+F9+F10+F12+F13+F14+F15+F16+F17</f>
        <v>274825</v>
      </c>
      <c r="G18" s="511">
        <f>+G6+G7+G8+G9+G10+G12+G13+G14+G15+G16+G17</f>
        <v>274837</v>
      </c>
      <c r="H18" s="1321">
        <f>G18/F18</f>
        <v>1.0000436641499135</v>
      </c>
      <c r="I18" s="97" t="s">
        <v>311</v>
      </c>
      <c r="J18" s="662">
        <f>SUM(J6:J17)</f>
        <v>262638</v>
      </c>
      <c r="K18" s="662">
        <f>SUM(K6:K17)</f>
        <v>318693</v>
      </c>
      <c r="L18" s="511">
        <f>SUM(L6:L17)</f>
        <v>272344</v>
      </c>
      <c r="M18" s="511">
        <f>SUM(M6:M17)</f>
        <v>337811</v>
      </c>
      <c r="N18" s="511">
        <f>SUM(N6:N17)</f>
        <v>285879</v>
      </c>
      <c r="O18" s="1230">
        <f>N18/M18</f>
        <v>0.84626906761473131</v>
      </c>
      <c r="P18" s="1622"/>
    </row>
    <row r="19" spans="1:16" ht="12.95" customHeight="1" x14ac:dyDescent="0.2">
      <c r="A19" s="285" t="s">
        <v>868</v>
      </c>
      <c r="B19" s="286" t="s">
        <v>290</v>
      </c>
      <c r="C19" s="669">
        <f>+C20+C21+C22+C23</f>
        <v>26281</v>
      </c>
      <c r="D19" s="655">
        <f>+D20+D21+D22+D23</f>
        <v>41596</v>
      </c>
      <c r="E19" s="655">
        <f>+E20+E21+E22+E23</f>
        <v>0</v>
      </c>
      <c r="F19" s="655">
        <f>+F20+F21+F22+F23</f>
        <v>42764</v>
      </c>
      <c r="G19" s="1143">
        <v>42756</v>
      </c>
      <c r="H19" s="1322">
        <f>G19/F19</f>
        <v>0.99981292676082689</v>
      </c>
      <c r="I19" s="287" t="s">
        <v>157</v>
      </c>
      <c r="J19" s="663"/>
      <c r="K19" s="663"/>
      <c r="L19" s="649"/>
      <c r="M19" s="649"/>
      <c r="N19" s="649"/>
      <c r="O19" s="641"/>
      <c r="P19" s="1622"/>
    </row>
    <row r="20" spans="1:16" ht="12.95" customHeight="1" x14ac:dyDescent="0.2">
      <c r="A20" s="288" t="s">
        <v>869</v>
      </c>
      <c r="B20" s="287" t="s">
        <v>225</v>
      </c>
      <c r="C20" s="653">
        <v>26281</v>
      </c>
      <c r="D20" s="651">
        <v>41596</v>
      </c>
      <c r="E20" s="651"/>
      <c r="F20" s="651">
        <f>60405-'2.2.sz.mell  '!F20</f>
        <v>42764</v>
      </c>
      <c r="G20" s="652">
        <v>42756</v>
      </c>
      <c r="H20" s="1322">
        <f>G20/F20</f>
        <v>0.99981292676082689</v>
      </c>
      <c r="I20" s="287" t="s">
        <v>158</v>
      </c>
      <c r="J20" s="653"/>
      <c r="K20" s="653"/>
      <c r="L20" s="651"/>
      <c r="M20" s="651"/>
      <c r="N20" s="651"/>
      <c r="O20" s="642"/>
      <c r="P20" s="1622"/>
    </row>
    <row r="21" spans="1:16" ht="12.95" customHeight="1" x14ac:dyDescent="0.2">
      <c r="A21" s="288" t="s">
        <v>870</v>
      </c>
      <c r="B21" s="287" t="s">
        <v>226</v>
      </c>
      <c r="C21" s="653"/>
      <c r="D21" s="651"/>
      <c r="E21" s="651"/>
      <c r="F21" s="651"/>
      <c r="G21" s="652"/>
      <c r="H21" s="652"/>
      <c r="I21" s="287" t="s">
        <v>87</v>
      </c>
      <c r="J21" s="653">
        <f>'1.1.sz.mell.'!C107</f>
        <v>0</v>
      </c>
      <c r="K21" s="653"/>
      <c r="L21" s="651"/>
      <c r="M21" s="651"/>
      <c r="N21" s="651"/>
      <c r="O21" s="642"/>
      <c r="P21" s="1622"/>
    </row>
    <row r="22" spans="1:16" ht="12.95" customHeight="1" x14ac:dyDescent="0.2">
      <c r="A22" s="288" t="s">
        <v>871</v>
      </c>
      <c r="B22" s="287" t="s">
        <v>291</v>
      </c>
      <c r="C22" s="653"/>
      <c r="D22" s="651"/>
      <c r="E22" s="651"/>
      <c r="F22" s="651"/>
      <c r="G22" s="652"/>
      <c r="H22" s="652"/>
      <c r="I22" s="287" t="s">
        <v>88</v>
      </c>
      <c r="J22" s="653"/>
      <c r="K22" s="653"/>
      <c r="L22" s="651"/>
      <c r="M22" s="651"/>
      <c r="N22" s="651"/>
      <c r="O22" s="642"/>
      <c r="P22" s="1622"/>
    </row>
    <row r="23" spans="1:16" ht="12.95" customHeight="1" x14ac:dyDescent="0.2">
      <c r="A23" s="288" t="s">
        <v>872</v>
      </c>
      <c r="B23" s="287" t="s">
        <v>292</v>
      </c>
      <c r="C23" s="653"/>
      <c r="D23" s="651"/>
      <c r="E23" s="651"/>
      <c r="F23" s="651"/>
      <c r="G23" s="656"/>
      <c r="H23" s="656"/>
      <c r="I23" s="286" t="s">
        <v>299</v>
      </c>
      <c r="J23" s="653"/>
      <c r="K23" s="653"/>
      <c r="L23" s="651"/>
      <c r="M23" s="651"/>
      <c r="N23" s="651"/>
      <c r="O23" s="642"/>
      <c r="P23" s="1622"/>
    </row>
    <row r="24" spans="1:16" ht="12.95" customHeight="1" x14ac:dyDescent="0.2">
      <c r="A24" s="288" t="s">
        <v>873</v>
      </c>
      <c r="B24" s="287" t="s">
        <v>293</v>
      </c>
      <c r="C24" s="670">
        <f>+C25+C26</f>
        <v>0</v>
      </c>
      <c r="D24" s="657">
        <f>+D25+D26</f>
        <v>0</v>
      </c>
      <c r="E24" s="657">
        <f>+E25+E26</f>
        <v>0</v>
      </c>
      <c r="F24" s="657">
        <f>+F25+F26</f>
        <v>0</v>
      </c>
      <c r="G24" s="1144"/>
      <c r="H24" s="1144"/>
      <c r="I24" s="287" t="s">
        <v>159</v>
      </c>
      <c r="J24" s="653"/>
      <c r="K24" s="653"/>
      <c r="L24" s="651"/>
      <c r="M24" s="651"/>
      <c r="N24" s="651"/>
      <c r="O24" s="642"/>
      <c r="P24" s="1622"/>
    </row>
    <row r="25" spans="1:16" ht="12.95" customHeight="1" x14ac:dyDescent="0.2">
      <c r="A25" s="285" t="s">
        <v>874</v>
      </c>
      <c r="B25" s="286" t="s">
        <v>294</v>
      </c>
      <c r="C25" s="663"/>
      <c r="D25" s="658"/>
      <c r="E25" s="658"/>
      <c r="F25" s="658"/>
      <c r="G25" s="656"/>
      <c r="H25" s="656"/>
      <c r="I25" s="280" t="s">
        <v>160</v>
      </c>
      <c r="J25" s="663"/>
      <c r="K25" s="663"/>
      <c r="L25" s="651"/>
      <c r="M25" s="651"/>
      <c r="N25" s="651"/>
      <c r="O25" s="642"/>
      <c r="P25" s="1622"/>
    </row>
    <row r="26" spans="1:16" ht="12.95" customHeight="1" thickBot="1" x14ac:dyDescent="0.25">
      <c r="A26" s="288" t="s">
        <v>875</v>
      </c>
      <c r="B26" s="287" t="s">
        <v>235</v>
      </c>
      <c r="C26" s="653"/>
      <c r="D26" s="651"/>
      <c r="E26" s="651"/>
      <c r="F26" s="651"/>
      <c r="G26" s="652">
        <v>6185</v>
      </c>
      <c r="H26" s="1323">
        <v>0</v>
      </c>
      <c r="I26" s="43" t="s">
        <v>1081</v>
      </c>
      <c r="J26" s="653"/>
      <c r="K26" s="653"/>
      <c r="L26" s="654"/>
      <c r="M26" s="654">
        <v>5704</v>
      </c>
      <c r="N26" s="654"/>
      <c r="O26" s="1324">
        <v>0</v>
      </c>
      <c r="P26" s="1622"/>
    </row>
    <row r="27" spans="1:16" ht="21.75" thickBot="1" x14ac:dyDescent="0.25">
      <c r="A27" s="284" t="s">
        <v>876</v>
      </c>
      <c r="B27" s="97" t="s">
        <v>309</v>
      </c>
      <c r="C27" s="662">
        <f>+C19+C24</f>
        <v>26281</v>
      </c>
      <c r="D27" s="511">
        <f>+D19+D24</f>
        <v>41596</v>
      </c>
      <c r="E27" s="511">
        <f>+E19+E24</f>
        <v>0</v>
      </c>
      <c r="F27" s="511">
        <f>+F19+F24</f>
        <v>42764</v>
      </c>
      <c r="G27" s="511">
        <f>+G19+G24+G26</f>
        <v>48941</v>
      </c>
      <c r="H27" s="1321">
        <f>G27/F27</f>
        <v>1.1444439247965579</v>
      </c>
      <c r="I27" s="97" t="s">
        <v>310</v>
      </c>
      <c r="J27" s="662">
        <f>SUM(J19:J26)</f>
        <v>0</v>
      </c>
      <c r="K27" s="662">
        <f>SUM(K19:K26)</f>
        <v>0</v>
      </c>
      <c r="L27" s="511">
        <f>SUM(L19:L26)</f>
        <v>0</v>
      </c>
      <c r="M27" s="511">
        <f>SUM(M19:M26)</f>
        <v>5704</v>
      </c>
      <c r="N27" s="511">
        <f>SUM(N19:N26)</f>
        <v>0</v>
      </c>
      <c r="O27" s="1230">
        <v>0</v>
      </c>
      <c r="P27" s="1622"/>
    </row>
    <row r="28" spans="1:16" ht="24.75" thickBot="1" x14ac:dyDescent="0.25">
      <c r="A28" s="284" t="s">
        <v>877</v>
      </c>
      <c r="B28" s="289" t="s">
        <v>297</v>
      </c>
      <c r="C28" s="662">
        <f>+C18+C27</f>
        <v>281951</v>
      </c>
      <c r="D28" s="511">
        <f>+D18+D27</f>
        <v>318693</v>
      </c>
      <c r="E28" s="511">
        <f>+E18+E27</f>
        <v>272344</v>
      </c>
      <c r="F28" s="511">
        <f>+F18+F27</f>
        <v>317589</v>
      </c>
      <c r="G28" s="511">
        <f>+G18+G27</f>
        <v>323778</v>
      </c>
      <c r="H28" s="1321">
        <f t="shared" ref="H28:H30" si="2">G28/F28</f>
        <v>1.0194874507618337</v>
      </c>
      <c r="I28" s="289" t="s">
        <v>300</v>
      </c>
      <c r="J28" s="662">
        <f>+J18+J27</f>
        <v>262638</v>
      </c>
      <c r="K28" s="662">
        <f>+K18+K27</f>
        <v>318693</v>
      </c>
      <c r="L28" s="511">
        <f>+L18+L27</f>
        <v>272344</v>
      </c>
      <c r="M28" s="511">
        <f>+M18+M27</f>
        <v>343515</v>
      </c>
      <c r="N28" s="511">
        <f>+N18+N27</f>
        <v>285879</v>
      </c>
      <c r="O28" s="1230">
        <f>N28/M28</f>
        <v>0.83221693375835115</v>
      </c>
      <c r="P28" s="1622"/>
    </row>
    <row r="29" spans="1:16" ht="18" customHeight="1" thickBot="1" x14ac:dyDescent="0.25">
      <c r="A29" s="284" t="s">
        <v>878</v>
      </c>
      <c r="B29" s="97" t="s">
        <v>295</v>
      </c>
      <c r="C29" s="664"/>
      <c r="D29" s="659">
        <f>'1.1.sz.mell.'!D66</f>
        <v>0</v>
      </c>
      <c r="E29" s="659"/>
      <c r="F29" s="659"/>
      <c r="G29" s="1145"/>
      <c r="H29" s="1321"/>
      <c r="I29" s="97" t="s">
        <v>301</v>
      </c>
      <c r="J29" s="664"/>
      <c r="K29" s="664">
        <f>'1.1.sz.mell.'!D122</f>
        <v>0</v>
      </c>
      <c r="L29" s="659"/>
      <c r="M29" s="659"/>
      <c r="N29" s="659"/>
      <c r="O29" s="1230"/>
      <c r="P29" s="1622"/>
    </row>
    <row r="30" spans="1:16" ht="13.5" thickBot="1" x14ac:dyDescent="0.25">
      <c r="A30" s="284" t="s">
        <v>879</v>
      </c>
      <c r="B30" s="290" t="s">
        <v>296</v>
      </c>
      <c r="C30" s="509">
        <f>+C28+C29</f>
        <v>281951</v>
      </c>
      <c r="D30" s="511">
        <f>+D28+D29</f>
        <v>318693</v>
      </c>
      <c r="E30" s="511">
        <f>+E28+E29</f>
        <v>272344</v>
      </c>
      <c r="F30" s="511">
        <f>+F28+F29</f>
        <v>317589</v>
      </c>
      <c r="G30" s="511">
        <f>+G28+G29</f>
        <v>323778</v>
      </c>
      <c r="H30" s="1321">
        <f t="shared" si="2"/>
        <v>1.0194874507618337</v>
      </c>
      <c r="I30" s="290" t="s">
        <v>302</v>
      </c>
      <c r="J30" s="509">
        <f>+J28+J29</f>
        <v>262638</v>
      </c>
      <c r="K30" s="662">
        <f>+K28+K29</f>
        <v>318693</v>
      </c>
      <c r="L30" s="511">
        <f>+L28+L29</f>
        <v>272344</v>
      </c>
      <c r="M30" s="511">
        <f>+M28+M29</f>
        <v>343515</v>
      </c>
      <c r="N30" s="511">
        <f>+N28+N29</f>
        <v>285879</v>
      </c>
      <c r="O30" s="1230">
        <f t="shared" ref="O30" si="3">N30/M30</f>
        <v>0.83221693375835115</v>
      </c>
      <c r="P30" s="1622"/>
    </row>
    <row r="31" spans="1:16" ht="13.5" thickBot="1" x14ac:dyDescent="0.25">
      <c r="A31" s="284" t="s">
        <v>880</v>
      </c>
      <c r="B31" s="290" t="s">
        <v>103</v>
      </c>
      <c r="C31" s="509">
        <v>0</v>
      </c>
      <c r="D31" s="511" t="str">
        <f>IF(D18-P18&lt;0,P18-D18,"-")</f>
        <v>-</v>
      </c>
      <c r="E31" s="511" t="str">
        <f>IF(E18-Q18&lt;0,Q18-E18,"-")</f>
        <v>-</v>
      </c>
      <c r="F31" s="511" t="str">
        <f>IF(F18-R18&lt;0,R18-F18,"-")</f>
        <v>-</v>
      </c>
      <c r="G31" s="1142"/>
      <c r="H31" s="1142"/>
      <c r="I31" s="290" t="s">
        <v>104</v>
      </c>
      <c r="J31" s="509" t="str">
        <f>IF(C18-J18&gt;0,C18-J18,"-")</f>
        <v>-</v>
      </c>
      <c r="K31" s="662" t="str">
        <f>IF(D18-K18&gt;0,D18-K18,"-")</f>
        <v>-</v>
      </c>
      <c r="L31" s="511" t="str">
        <f>IF(E18-L18&gt;0,E18-L18,"-")</f>
        <v>-</v>
      </c>
      <c r="M31" s="511" t="str">
        <f>IF(F18-M18&gt;0,F18-M18,"-")</f>
        <v>-</v>
      </c>
      <c r="N31" s="511"/>
      <c r="O31" s="510"/>
      <c r="P31" s="1622"/>
    </row>
    <row r="32" spans="1:16" ht="13.5" thickBot="1" x14ac:dyDescent="0.25">
      <c r="A32" s="284" t="s">
        <v>881</v>
      </c>
      <c r="B32" s="290" t="s">
        <v>303</v>
      </c>
      <c r="C32" s="509" t="str">
        <f>IF(C18+C19-J28&lt;0,J28-(C18+C19),"-")</f>
        <v>-</v>
      </c>
      <c r="D32" s="511" t="str">
        <f>IF(D18+D19-P28&lt;0,P28-(D18+D19),"-")</f>
        <v>-</v>
      </c>
      <c r="E32" s="511" t="str">
        <f>IF(E18+E19-Q28&lt;0,Q28-(E18+E19),"-")</f>
        <v>-</v>
      </c>
      <c r="F32" s="511" t="str">
        <f>IF(F18+F19-R28&lt;0,R28-(F18+F19),"-")</f>
        <v>-</v>
      </c>
      <c r="G32" s="1142"/>
      <c r="H32" s="1142"/>
      <c r="I32" s="290" t="s">
        <v>304</v>
      </c>
      <c r="J32" s="509">
        <f>IF(C18+C19-J28&gt;0,C18+C19-J28,"-")</f>
        <v>19313</v>
      </c>
      <c r="K32" s="662" t="str">
        <f>IF(D18+D19-K28&gt;0,D18+D19-K28,"-")</f>
        <v>-</v>
      </c>
      <c r="L32" s="511" t="str">
        <f>IF(E18+E19-L28&gt;0,E18+E19-L28,"-")</f>
        <v>-</v>
      </c>
      <c r="M32" s="511" t="str">
        <f>IF(F18+F19-M28&gt;0,F18+F19-M28,"-")</f>
        <v>-</v>
      </c>
      <c r="N32" s="511"/>
      <c r="O32" s="510"/>
      <c r="P32" s="1622"/>
    </row>
  </sheetData>
  <mergeCells count="4">
    <mergeCell ref="A3:A4"/>
    <mergeCell ref="P1:P32"/>
    <mergeCell ref="I3:O3"/>
    <mergeCell ref="B1:O1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view="pageLayout" topLeftCell="E1" zoomScaleNormal="100" zoomScaleSheetLayoutView="100" workbookViewId="0">
      <selection activeCell="P1" sqref="P1:P36"/>
    </sheetView>
  </sheetViews>
  <sheetFormatPr defaultColWidth="9.33203125" defaultRowHeight="12.75" x14ac:dyDescent="0.2"/>
  <cols>
    <col min="1" max="1" width="6.83203125" style="50" customWidth="1"/>
    <col min="2" max="2" width="50.83203125" style="147" customWidth="1"/>
    <col min="3" max="4" width="13.33203125" style="645" hidden="1" customWidth="1"/>
    <col min="5" max="8" width="13.33203125" style="645" customWidth="1"/>
    <col min="9" max="9" width="50.83203125" style="50" customWidth="1"/>
    <col min="10" max="11" width="13.33203125" style="645" hidden="1" customWidth="1"/>
    <col min="12" max="15" width="13.33203125" style="645" customWidth="1"/>
    <col min="16" max="16" width="4.83203125" style="50" customWidth="1"/>
    <col min="17" max="16384" width="9.33203125" style="50"/>
  </cols>
  <sheetData>
    <row r="1" spans="1:16" ht="31.5" x14ac:dyDescent="0.2">
      <c r="B1" s="272" t="s">
        <v>91</v>
      </c>
      <c r="C1" s="637"/>
      <c r="D1" s="637"/>
      <c r="E1" s="637"/>
      <c r="F1" s="637"/>
      <c r="G1" s="637"/>
      <c r="H1" s="637"/>
      <c r="I1" s="273"/>
      <c r="J1" s="637"/>
      <c r="K1" s="637"/>
      <c r="L1" s="637"/>
      <c r="M1" s="637"/>
      <c r="N1" s="637"/>
      <c r="O1" s="637"/>
      <c r="P1" s="1832" t="s">
        <v>1559</v>
      </c>
    </row>
    <row r="2" spans="1:16" ht="14.25" thickBot="1" x14ac:dyDescent="0.25">
      <c r="J2" s="638"/>
      <c r="K2" s="638" t="s">
        <v>11</v>
      </c>
      <c r="L2" s="638"/>
      <c r="M2" s="638"/>
      <c r="N2" s="638"/>
      <c r="O2" s="638"/>
      <c r="P2" s="1833"/>
    </row>
    <row r="3" spans="1:16" ht="13.5" thickBot="1" x14ac:dyDescent="0.25">
      <c r="A3" s="1627" t="s">
        <v>16</v>
      </c>
      <c r="B3" s="274" t="s">
        <v>897</v>
      </c>
      <c r="C3" s="646"/>
      <c r="D3" s="646"/>
      <c r="E3" s="647"/>
      <c r="F3" s="647"/>
      <c r="G3" s="647"/>
      <c r="H3" s="647"/>
      <c r="I3" s="1623" t="s">
        <v>1</v>
      </c>
      <c r="J3" s="1624"/>
      <c r="K3" s="1624"/>
      <c r="L3" s="1624"/>
      <c r="M3" s="1624"/>
      <c r="N3" s="1624"/>
      <c r="O3" s="1625"/>
      <c r="P3" s="1833"/>
    </row>
    <row r="4" spans="1:16" s="275" customFormat="1" ht="39" thickBot="1" x14ac:dyDescent="0.25">
      <c r="A4" s="1628"/>
      <c r="B4" s="148" t="s">
        <v>12</v>
      </c>
      <c r="C4" s="640" t="s">
        <v>998</v>
      </c>
      <c r="D4" s="640" t="s">
        <v>999</v>
      </c>
      <c r="E4" s="640" t="s">
        <v>1078</v>
      </c>
      <c r="F4" s="648" t="s">
        <v>1068</v>
      </c>
      <c r="G4" s="648" t="s">
        <v>1093</v>
      </c>
      <c r="H4" s="648" t="s">
        <v>1094</v>
      </c>
      <c r="I4" s="148" t="s">
        <v>12</v>
      </c>
      <c r="J4" s="640" t="s">
        <v>998</v>
      </c>
      <c r="K4" s="640" t="s">
        <v>999</v>
      </c>
      <c r="L4" s="640" t="s">
        <v>1078</v>
      </c>
      <c r="M4" s="639" t="s">
        <v>1068</v>
      </c>
      <c r="N4" s="640" t="s">
        <v>1093</v>
      </c>
      <c r="O4" s="998" t="s">
        <v>1094</v>
      </c>
      <c r="P4" s="1833"/>
    </row>
    <row r="5" spans="1:16" s="1020" customFormat="1" thickBot="1" x14ac:dyDescent="0.25">
      <c r="A5" s="1015" t="s">
        <v>855</v>
      </c>
      <c r="B5" s="1016" t="s">
        <v>856</v>
      </c>
      <c r="C5" s="1017" t="s">
        <v>857</v>
      </c>
      <c r="D5" s="1017" t="s">
        <v>858</v>
      </c>
      <c r="E5" s="1018" t="s">
        <v>857</v>
      </c>
      <c r="F5" s="1018" t="s">
        <v>858</v>
      </c>
      <c r="G5" s="1018" t="s">
        <v>859</v>
      </c>
      <c r="H5" s="1018" t="s">
        <v>860</v>
      </c>
      <c r="I5" s="1016" t="s">
        <v>861</v>
      </c>
      <c r="J5" s="1019" t="s">
        <v>861</v>
      </c>
      <c r="K5" s="1017">
        <v>8</v>
      </c>
      <c r="L5" s="1017" t="s">
        <v>862</v>
      </c>
      <c r="M5" s="1019" t="s">
        <v>863</v>
      </c>
      <c r="N5" s="1017" t="s">
        <v>864</v>
      </c>
      <c r="O5" s="1148" t="s">
        <v>865</v>
      </c>
      <c r="P5" s="1833"/>
    </row>
    <row r="6" spans="1:16" x14ac:dyDescent="0.2">
      <c r="A6" s="279" t="s">
        <v>855</v>
      </c>
      <c r="B6" s="280" t="s">
        <v>339</v>
      </c>
      <c r="C6" s="649">
        <v>7184</v>
      </c>
      <c r="D6" s="649"/>
      <c r="E6" s="649"/>
      <c r="F6" s="649"/>
      <c r="G6" s="650"/>
      <c r="H6" s="650"/>
      <c r="I6" s="280" t="s">
        <v>250</v>
      </c>
      <c r="J6" s="660">
        <f>'1.1.sz.mell.'!C88</f>
        <v>14406</v>
      </c>
      <c r="K6" s="649">
        <f>'1.1.sz.mell.'!D88</f>
        <v>10099</v>
      </c>
      <c r="L6" s="649">
        <f>'1.1.sz.mell.'!E88</f>
        <v>9602</v>
      </c>
      <c r="M6" s="660">
        <f>'1.1.sz.mell.'!F88</f>
        <v>26046</v>
      </c>
      <c r="N6" s="649">
        <v>5370</v>
      </c>
      <c r="O6" s="1231">
        <f>N6/M6</f>
        <v>0.20617369269753513</v>
      </c>
      <c r="P6" s="1833"/>
    </row>
    <row r="7" spans="1:16" ht="22.5" x14ac:dyDescent="0.2">
      <c r="A7" s="281" t="s">
        <v>856</v>
      </c>
      <c r="B7" s="282" t="s">
        <v>313</v>
      </c>
      <c r="C7" s="651">
        <f>'1.1.sz.mell.'!C48</f>
        <v>0</v>
      </c>
      <c r="D7" s="651">
        <f>'1.1.sz.mell.'!D48</f>
        <v>414</v>
      </c>
      <c r="E7" s="651">
        <f>'1.1.sz.mell.'!E48</f>
        <v>0</v>
      </c>
      <c r="F7" s="651">
        <f>'1.1.sz.mell.'!F48</f>
        <v>0</v>
      </c>
      <c r="G7" s="652">
        <v>414</v>
      </c>
      <c r="H7" s="1323">
        <v>0</v>
      </c>
      <c r="I7" s="282" t="s">
        <v>148</v>
      </c>
      <c r="J7" s="653">
        <f>'1.1.sz.mell.'!C89</f>
        <v>3307</v>
      </c>
      <c r="K7" s="651">
        <f>'1.1.sz.mell.'!D89</f>
        <v>8076</v>
      </c>
      <c r="L7" s="651">
        <f>'1.1.sz.mell.'!E89</f>
        <v>36867</v>
      </c>
      <c r="M7" s="653">
        <f>'1.1.sz.mell.'!F89</f>
        <v>114931</v>
      </c>
      <c r="N7" s="651">
        <v>103413</v>
      </c>
      <c r="O7" s="1231">
        <f t="shared" ref="O7:O16" si="0">N7/M7</f>
        <v>0.89978334826983142</v>
      </c>
      <c r="P7" s="1833"/>
    </row>
    <row r="8" spans="1:16" x14ac:dyDescent="0.2">
      <c r="A8" s="281" t="s">
        <v>857</v>
      </c>
      <c r="B8" s="282" t="s">
        <v>85</v>
      </c>
      <c r="C8" s="651"/>
      <c r="D8" s="651"/>
      <c r="E8" s="651"/>
      <c r="F8" s="651"/>
      <c r="G8" s="652"/>
      <c r="H8" s="652"/>
      <c r="I8" s="282" t="s">
        <v>281</v>
      </c>
      <c r="J8" s="653"/>
      <c r="K8" s="651"/>
      <c r="L8" s="651"/>
      <c r="M8" s="653">
        <f>SUM(M9:M14)</f>
        <v>2053</v>
      </c>
      <c r="N8" s="651">
        <v>2078</v>
      </c>
      <c r="O8" s="1231">
        <f t="shared" si="0"/>
        <v>1.0121773015099853</v>
      </c>
      <c r="P8" s="1833"/>
    </row>
    <row r="9" spans="1:16" ht="15" customHeight="1" x14ac:dyDescent="0.2">
      <c r="A9" s="281" t="s">
        <v>858</v>
      </c>
      <c r="B9" s="282" t="s">
        <v>131</v>
      </c>
      <c r="C9" s="651"/>
      <c r="D9" s="651"/>
      <c r="E9" s="651"/>
      <c r="F9" s="651"/>
      <c r="G9" s="652"/>
      <c r="H9" s="652"/>
      <c r="I9" s="282" t="s">
        <v>320</v>
      </c>
      <c r="J9" s="653"/>
      <c r="K9" s="651"/>
      <c r="L9" s="651"/>
      <c r="M9" s="653"/>
      <c r="N9" s="651"/>
      <c r="O9" s="1231"/>
      <c r="P9" s="1833"/>
    </row>
    <row r="10" spans="1:16" ht="15" customHeight="1" x14ac:dyDescent="0.2">
      <c r="A10" s="281" t="s">
        <v>859</v>
      </c>
      <c r="B10" s="282" t="s">
        <v>212</v>
      </c>
      <c r="C10" s="651"/>
      <c r="D10" s="651"/>
      <c r="E10" s="651"/>
      <c r="F10" s="651">
        <f>'9. sz. mell'!G31</f>
        <v>139</v>
      </c>
      <c r="G10" s="652">
        <v>139</v>
      </c>
      <c r="H10" s="1323">
        <v>1</v>
      </c>
      <c r="I10" s="282" t="s">
        <v>321</v>
      </c>
      <c r="J10" s="653"/>
      <c r="K10" s="651"/>
      <c r="L10" s="651"/>
      <c r="M10" s="653">
        <f>'9. sz. mell'!G82</f>
        <v>209</v>
      </c>
      <c r="N10" s="651">
        <v>209</v>
      </c>
      <c r="O10" s="1231">
        <f t="shared" si="0"/>
        <v>1</v>
      </c>
      <c r="P10" s="1833"/>
    </row>
    <row r="11" spans="1:16" x14ac:dyDescent="0.2">
      <c r="A11" s="281" t="s">
        <v>860</v>
      </c>
      <c r="B11" s="282" t="s">
        <v>314</v>
      </c>
      <c r="C11" s="653"/>
      <c r="D11" s="653"/>
      <c r="E11" s="651"/>
      <c r="F11" s="651"/>
      <c r="G11" s="652"/>
      <c r="H11" s="652"/>
      <c r="I11" s="294" t="s">
        <v>322</v>
      </c>
      <c r="J11" s="653"/>
      <c r="K11" s="651"/>
      <c r="L11" s="651"/>
      <c r="M11" s="653"/>
      <c r="N11" s="651"/>
      <c r="O11" s="1231"/>
      <c r="P11" s="1833"/>
    </row>
    <row r="12" spans="1:16" x14ac:dyDescent="0.2">
      <c r="A12" s="281" t="s">
        <v>861</v>
      </c>
      <c r="B12" s="282" t="s">
        <v>315</v>
      </c>
      <c r="C12" s="651"/>
      <c r="D12" s="651"/>
      <c r="E12" s="651"/>
      <c r="F12" s="651"/>
      <c r="G12" s="652"/>
      <c r="H12" s="652"/>
      <c r="I12" s="294" t="s">
        <v>254</v>
      </c>
      <c r="J12" s="653"/>
      <c r="K12" s="651"/>
      <c r="L12" s="651"/>
      <c r="M12" s="653"/>
      <c r="N12" s="651"/>
      <c r="O12" s="1231"/>
      <c r="P12" s="1833"/>
    </row>
    <row r="13" spans="1:16" x14ac:dyDescent="0.2">
      <c r="A13" s="281" t="s">
        <v>862</v>
      </c>
      <c r="B13" s="282" t="s">
        <v>318</v>
      </c>
      <c r="C13" s="651">
        <f>'1.1.sz.mell.'!C37</f>
        <v>1453</v>
      </c>
      <c r="D13" s="651">
        <f>'1.1.sz.mell.'!D37</f>
        <v>15761</v>
      </c>
      <c r="E13" s="651">
        <f>'1.1.sz.mell.'!E37</f>
        <v>12015</v>
      </c>
      <c r="F13" s="651">
        <f>'1.1.sz.mell.'!F37</f>
        <v>119791</v>
      </c>
      <c r="G13" s="652">
        <v>113308</v>
      </c>
      <c r="H13" s="1323">
        <f>G13/F13</f>
        <v>0.9458807422928267</v>
      </c>
      <c r="I13" s="295" t="s">
        <v>255</v>
      </c>
      <c r="J13" s="653"/>
      <c r="K13" s="651"/>
      <c r="L13" s="651"/>
      <c r="M13" s="653"/>
      <c r="N13" s="651"/>
      <c r="O13" s="1231"/>
      <c r="P13" s="1833"/>
    </row>
    <row r="14" spans="1:16" ht="15" customHeight="1" x14ac:dyDescent="0.2">
      <c r="A14" s="281" t="s">
        <v>863</v>
      </c>
      <c r="B14" s="296" t="s">
        <v>337</v>
      </c>
      <c r="C14" s="653">
        <v>1453</v>
      </c>
      <c r="D14" s="653"/>
      <c r="E14" s="651">
        <v>5532</v>
      </c>
      <c r="F14" s="651">
        <v>5532</v>
      </c>
      <c r="G14" s="652">
        <v>105481</v>
      </c>
      <c r="H14" s="1323">
        <f t="shared" ref="H14:H17" si="1">G14/F14</f>
        <v>19.067425885755604</v>
      </c>
      <c r="I14" s="294" t="s">
        <v>323</v>
      </c>
      <c r="J14" s="653"/>
      <c r="K14" s="651"/>
      <c r="L14" s="651"/>
      <c r="M14" s="653">
        <v>1844</v>
      </c>
      <c r="N14" s="651">
        <v>1869</v>
      </c>
      <c r="O14" s="1231">
        <f t="shared" si="0"/>
        <v>1.0135574837310195</v>
      </c>
      <c r="P14" s="1833"/>
    </row>
    <row r="15" spans="1:16" ht="29.25" customHeight="1" x14ac:dyDescent="0.2">
      <c r="A15" s="281" t="s">
        <v>864</v>
      </c>
      <c r="B15" s="282" t="s">
        <v>316</v>
      </c>
      <c r="C15" s="653">
        <v>1037</v>
      </c>
      <c r="D15" s="653"/>
      <c r="E15" s="651"/>
      <c r="F15" s="651"/>
      <c r="G15" s="652"/>
      <c r="H15" s="1323"/>
      <c r="I15" s="294" t="s">
        <v>324</v>
      </c>
      <c r="J15" s="653"/>
      <c r="K15" s="651"/>
      <c r="L15" s="651"/>
      <c r="M15" s="653"/>
      <c r="N15" s="651"/>
      <c r="O15" s="1231"/>
      <c r="P15" s="1833"/>
    </row>
    <row r="16" spans="1:16" x14ac:dyDescent="0.2">
      <c r="A16" s="281" t="s">
        <v>865</v>
      </c>
      <c r="B16" s="282" t="s">
        <v>317</v>
      </c>
      <c r="C16" s="653"/>
      <c r="D16" s="653"/>
      <c r="E16" s="651"/>
      <c r="F16" s="651"/>
      <c r="G16" s="652"/>
      <c r="H16" s="1323"/>
      <c r="I16" s="282" t="s">
        <v>887</v>
      </c>
      <c r="J16" s="653"/>
      <c r="K16" s="651">
        <v>2817</v>
      </c>
      <c r="L16" s="651"/>
      <c r="M16" s="653">
        <f>'9. sz. mell'!G91</f>
        <v>4965</v>
      </c>
      <c r="N16" s="651"/>
      <c r="O16" s="1231">
        <f t="shared" si="0"/>
        <v>0</v>
      </c>
      <c r="P16" s="1833"/>
    </row>
    <row r="17" spans="1:16" ht="13.5" thickBot="1" x14ac:dyDescent="0.25">
      <c r="A17" s="356" t="s">
        <v>866</v>
      </c>
      <c r="B17" s="357" t="s">
        <v>791</v>
      </c>
      <c r="C17" s="663">
        <v>12762</v>
      </c>
      <c r="D17" s="663"/>
      <c r="E17" s="658">
        <v>34454</v>
      </c>
      <c r="F17" s="658">
        <f>40082+5986+1880-11688+90</f>
        <v>36350</v>
      </c>
      <c r="G17" s="656">
        <v>36350</v>
      </c>
      <c r="H17" s="1323">
        <f t="shared" si="1"/>
        <v>1</v>
      </c>
      <c r="I17" s="357" t="s">
        <v>850</v>
      </c>
      <c r="J17" s="663"/>
      <c r="K17" s="658">
        <v>1858</v>
      </c>
      <c r="L17" s="658"/>
      <c r="M17" s="663"/>
      <c r="N17" s="658"/>
      <c r="O17" s="643"/>
      <c r="P17" s="1833"/>
    </row>
    <row r="18" spans="1:16" ht="13.5" thickBot="1" x14ac:dyDescent="0.25">
      <c r="A18" s="284" t="s">
        <v>867</v>
      </c>
      <c r="B18" s="97" t="s">
        <v>75</v>
      </c>
      <c r="C18" s="511">
        <f>+C6+C7+C8+C9+C10+C11+C12+C13+C15+C16+C17</f>
        <v>22436</v>
      </c>
      <c r="D18" s="511">
        <f>+D6+D7+D8+D9+D10+D11+D12+D13+D15+D16+D17</f>
        <v>16175</v>
      </c>
      <c r="E18" s="511">
        <f>+E6+E7+E8+E9+E10+E11+E12+E13+E15+E16+E17</f>
        <v>46469</v>
      </c>
      <c r="F18" s="511">
        <f>+F6+F7+F8+F9+F10+F11+F12+F13+F15+F16+F17</f>
        <v>156280</v>
      </c>
      <c r="G18" s="511">
        <f>+G6+G7+G8+G9+G10+G11+G12+G13+G15+G16+G17</f>
        <v>150211</v>
      </c>
      <c r="H18" s="1321">
        <f>G18/F18</f>
        <v>0.96116585615561811</v>
      </c>
      <c r="I18" s="97" t="s">
        <v>76</v>
      </c>
      <c r="J18" s="662">
        <f>+J6+J7+J8+J16+J17</f>
        <v>17713</v>
      </c>
      <c r="K18" s="511">
        <f>+K6+K7+K8+K16+K17</f>
        <v>22850</v>
      </c>
      <c r="L18" s="511">
        <f>+L6+L7+L8+L16+L17</f>
        <v>46469</v>
      </c>
      <c r="M18" s="662">
        <f>+M6+M7+M8+M16+M17</f>
        <v>147995</v>
      </c>
      <c r="N18" s="662">
        <f>+N6+N7+N8+N16+N17</f>
        <v>110861</v>
      </c>
      <c r="O18" s="1230">
        <f>N18/M18</f>
        <v>0.74908611777424916</v>
      </c>
      <c r="P18" s="1833"/>
    </row>
    <row r="19" spans="1:16" x14ac:dyDescent="0.2">
      <c r="A19" s="297" t="s">
        <v>868</v>
      </c>
      <c r="B19" s="298" t="s">
        <v>336</v>
      </c>
      <c r="C19" s="671">
        <f>+C20+C21+C22+C23+C24</f>
        <v>26316</v>
      </c>
      <c r="D19" s="671">
        <f>+D20+D21+D22+D23+D24</f>
        <v>6675</v>
      </c>
      <c r="E19" s="672"/>
      <c r="F19" s="672">
        <f>SUM(F20:F24)</f>
        <v>17641</v>
      </c>
      <c r="G19" s="672">
        <f>SUM(G20:G24)</f>
        <v>17641</v>
      </c>
      <c r="H19" s="1325">
        <f>G19/F19</f>
        <v>1</v>
      </c>
      <c r="I19" s="287" t="s">
        <v>157</v>
      </c>
      <c r="J19" s="660">
        <v>11</v>
      </c>
      <c r="K19" s="649"/>
      <c r="L19" s="649"/>
      <c r="M19" s="660"/>
      <c r="N19" s="649"/>
      <c r="O19" s="641"/>
      <c r="P19" s="1833"/>
    </row>
    <row r="20" spans="1:16" x14ac:dyDescent="0.2">
      <c r="A20" s="281" t="s">
        <v>869</v>
      </c>
      <c r="B20" s="299" t="s">
        <v>325</v>
      </c>
      <c r="C20" s="651">
        <v>26316</v>
      </c>
      <c r="D20" s="651">
        <v>6675</v>
      </c>
      <c r="E20" s="652"/>
      <c r="F20" s="652">
        <f>1844+15797</f>
        <v>17641</v>
      </c>
      <c r="G20" s="652">
        <v>17641</v>
      </c>
      <c r="H20" s="1325">
        <f>G20/F20</f>
        <v>1</v>
      </c>
      <c r="I20" s="287" t="s">
        <v>161</v>
      </c>
      <c r="J20" s="653"/>
      <c r="K20" s="651"/>
      <c r="L20" s="651"/>
      <c r="M20" s="653"/>
      <c r="N20" s="651"/>
      <c r="O20" s="642"/>
      <c r="P20" s="1833"/>
    </row>
    <row r="21" spans="1:16" x14ac:dyDescent="0.2">
      <c r="A21" s="297" t="s">
        <v>870</v>
      </c>
      <c r="B21" s="299" t="s">
        <v>326</v>
      </c>
      <c r="C21" s="651"/>
      <c r="D21" s="651"/>
      <c r="E21" s="652"/>
      <c r="F21" s="652"/>
      <c r="G21" s="652"/>
      <c r="H21" s="652"/>
      <c r="I21" s="287" t="s">
        <v>87</v>
      </c>
      <c r="J21" s="653"/>
      <c r="K21" s="651"/>
      <c r="L21" s="651"/>
      <c r="M21" s="653"/>
      <c r="N21" s="651"/>
      <c r="O21" s="642"/>
      <c r="P21" s="1833"/>
    </row>
    <row r="22" spans="1:16" x14ac:dyDescent="0.2">
      <c r="A22" s="281" t="s">
        <v>871</v>
      </c>
      <c r="B22" s="299" t="s">
        <v>327</v>
      </c>
      <c r="C22" s="651"/>
      <c r="D22" s="651"/>
      <c r="E22" s="652"/>
      <c r="F22" s="652"/>
      <c r="G22" s="652"/>
      <c r="H22" s="652"/>
      <c r="I22" s="287" t="s">
        <v>88</v>
      </c>
      <c r="J22" s="653">
        <f>'1.1.sz.mell.'!C114</f>
        <v>0</v>
      </c>
      <c r="K22" s="651"/>
      <c r="L22" s="651"/>
      <c r="M22" s="653"/>
      <c r="N22" s="651"/>
      <c r="O22" s="642"/>
      <c r="P22" s="1833"/>
    </row>
    <row r="23" spans="1:16" x14ac:dyDescent="0.2">
      <c r="A23" s="297" t="s">
        <v>872</v>
      </c>
      <c r="B23" s="299" t="s">
        <v>328</v>
      </c>
      <c r="C23" s="651"/>
      <c r="D23" s="651"/>
      <c r="E23" s="656"/>
      <c r="F23" s="656"/>
      <c r="G23" s="656"/>
      <c r="H23" s="656"/>
      <c r="I23" s="286" t="s">
        <v>299</v>
      </c>
      <c r="J23" s="653"/>
      <c r="K23" s="651"/>
      <c r="L23" s="651"/>
      <c r="M23" s="653"/>
      <c r="N23" s="651"/>
      <c r="O23" s="642"/>
      <c r="P23" s="1833"/>
    </row>
    <row r="24" spans="1:16" x14ac:dyDescent="0.2">
      <c r="A24" s="281" t="s">
        <v>873</v>
      </c>
      <c r="B24" s="300" t="s">
        <v>329</v>
      </c>
      <c r="C24" s="651"/>
      <c r="D24" s="651"/>
      <c r="E24" s="652"/>
      <c r="F24" s="652"/>
      <c r="G24" s="652"/>
      <c r="H24" s="652"/>
      <c r="I24" s="287" t="s">
        <v>162</v>
      </c>
      <c r="J24" s="653"/>
      <c r="K24" s="651"/>
      <c r="L24" s="651"/>
      <c r="M24" s="653"/>
      <c r="N24" s="651"/>
      <c r="O24" s="642"/>
      <c r="P24" s="1833"/>
    </row>
    <row r="25" spans="1:16" x14ac:dyDescent="0.2">
      <c r="A25" s="297" t="s">
        <v>874</v>
      </c>
      <c r="B25" s="301" t="s">
        <v>330</v>
      </c>
      <c r="C25" s="657">
        <f>+C26+C27+C28+C29+C30</f>
        <v>0</v>
      </c>
      <c r="D25" s="657">
        <f>+D26+D27+D28+D29+D30</f>
        <v>0</v>
      </c>
      <c r="E25" s="672"/>
      <c r="F25" s="672"/>
      <c r="G25" s="672"/>
      <c r="H25" s="672"/>
      <c r="I25" s="302" t="s">
        <v>160</v>
      </c>
      <c r="J25" s="653"/>
      <c r="K25" s="651"/>
      <c r="L25" s="651"/>
      <c r="M25" s="653"/>
      <c r="N25" s="651"/>
      <c r="O25" s="642"/>
      <c r="P25" s="1833"/>
    </row>
    <row r="26" spans="1:16" x14ac:dyDescent="0.2">
      <c r="A26" s="281" t="s">
        <v>875</v>
      </c>
      <c r="B26" s="300" t="s">
        <v>331</v>
      </c>
      <c r="C26" s="651">
        <f>'1.1.sz.mell.'!C60</f>
        <v>0</v>
      </c>
      <c r="D26" s="651"/>
      <c r="E26" s="650"/>
      <c r="F26" s="650"/>
      <c r="G26" s="650"/>
      <c r="H26" s="650"/>
      <c r="I26" s="302" t="s">
        <v>338</v>
      </c>
      <c r="J26" s="653"/>
      <c r="K26" s="651"/>
      <c r="L26" s="651"/>
      <c r="M26" s="653"/>
      <c r="N26" s="651"/>
      <c r="O26" s="642"/>
      <c r="P26" s="1833"/>
    </row>
    <row r="27" spans="1:16" x14ac:dyDescent="0.2">
      <c r="A27" s="297" t="s">
        <v>876</v>
      </c>
      <c r="B27" s="300" t="s">
        <v>332</v>
      </c>
      <c r="C27" s="651"/>
      <c r="D27" s="651"/>
      <c r="E27" s="650"/>
      <c r="F27" s="650"/>
      <c r="G27" s="650"/>
      <c r="H27" s="650"/>
      <c r="I27" s="293"/>
      <c r="J27" s="653"/>
      <c r="K27" s="651"/>
      <c r="L27" s="651"/>
      <c r="M27" s="653"/>
      <c r="N27" s="651"/>
      <c r="O27" s="642"/>
      <c r="P27" s="1833"/>
    </row>
    <row r="28" spans="1:16" x14ac:dyDescent="0.2">
      <c r="A28" s="281" t="s">
        <v>877</v>
      </c>
      <c r="B28" s="299" t="s">
        <v>333</v>
      </c>
      <c r="C28" s="651"/>
      <c r="D28" s="651"/>
      <c r="E28" s="650"/>
      <c r="F28" s="650"/>
      <c r="G28" s="650"/>
      <c r="H28" s="650"/>
      <c r="I28" s="94"/>
      <c r="J28" s="653"/>
      <c r="K28" s="651"/>
      <c r="L28" s="651"/>
      <c r="M28" s="653"/>
      <c r="N28" s="651"/>
      <c r="O28" s="642"/>
      <c r="P28" s="1833"/>
    </row>
    <row r="29" spans="1:16" x14ac:dyDescent="0.2">
      <c r="A29" s="297" t="s">
        <v>878</v>
      </c>
      <c r="B29" s="303" t="s">
        <v>334</v>
      </c>
      <c r="C29" s="651"/>
      <c r="D29" s="651"/>
      <c r="E29" s="652"/>
      <c r="F29" s="652"/>
      <c r="G29" s="652"/>
      <c r="H29" s="652"/>
      <c r="I29" s="43"/>
      <c r="J29" s="653"/>
      <c r="K29" s="651"/>
      <c r="L29" s="651"/>
      <c r="M29" s="653"/>
      <c r="N29" s="651"/>
      <c r="O29" s="642"/>
      <c r="P29" s="1833"/>
    </row>
    <row r="30" spans="1:16" ht="13.5" thickBot="1" x14ac:dyDescent="0.25">
      <c r="A30" s="281" t="s">
        <v>879</v>
      </c>
      <c r="B30" s="304" t="s">
        <v>335</v>
      </c>
      <c r="C30" s="651"/>
      <c r="D30" s="651"/>
      <c r="E30" s="650"/>
      <c r="F30" s="650"/>
      <c r="G30" s="650"/>
      <c r="H30" s="650"/>
      <c r="I30" s="94"/>
      <c r="J30" s="653"/>
      <c r="K30" s="651"/>
      <c r="L30" s="651"/>
      <c r="M30" s="653"/>
      <c r="N30" s="651"/>
      <c r="O30" s="642"/>
      <c r="P30" s="1833"/>
    </row>
    <row r="31" spans="1:16" ht="21.75" thickBot="1" x14ac:dyDescent="0.25">
      <c r="A31" s="284" t="s">
        <v>880</v>
      </c>
      <c r="B31" s="97" t="s">
        <v>377</v>
      </c>
      <c r="C31" s="511">
        <f>+C19+C25</f>
        <v>26316</v>
      </c>
      <c r="D31" s="511">
        <f>+D19+D25</f>
        <v>6675</v>
      </c>
      <c r="E31" s="511">
        <f>+E19+E25</f>
        <v>0</v>
      </c>
      <c r="F31" s="511">
        <f>+F19+F25</f>
        <v>17641</v>
      </c>
      <c r="G31" s="511">
        <f>+G19+G25</f>
        <v>17641</v>
      </c>
      <c r="H31" s="1321">
        <f>G31/F31</f>
        <v>1</v>
      </c>
      <c r="I31" s="97" t="s">
        <v>378</v>
      </c>
      <c r="J31" s="662">
        <f>SUM(J19:J30)</f>
        <v>11</v>
      </c>
      <c r="K31" s="511">
        <f>SUM(K19:K30)</f>
        <v>0</v>
      </c>
      <c r="L31" s="511">
        <f>SUM(L19:L30)</f>
        <v>0</v>
      </c>
      <c r="M31" s="662">
        <f>SUM(M19:M30)</f>
        <v>0</v>
      </c>
      <c r="N31" s="511"/>
      <c r="O31" s="510"/>
      <c r="P31" s="1833"/>
    </row>
    <row r="32" spans="1:16" ht="24.75" thickBot="1" x14ac:dyDescent="0.25">
      <c r="A32" s="284" t="s">
        <v>881</v>
      </c>
      <c r="B32" s="289" t="s">
        <v>375</v>
      </c>
      <c r="C32" s="511">
        <f>+C18+C31</f>
        <v>48752</v>
      </c>
      <c r="D32" s="511">
        <f>+D18+D31</f>
        <v>22850</v>
      </c>
      <c r="E32" s="511">
        <f>+E18+E31</f>
        <v>46469</v>
      </c>
      <c r="F32" s="511">
        <f>+F18+F31</f>
        <v>173921</v>
      </c>
      <c r="G32" s="511">
        <f>+G18+G31</f>
        <v>167852</v>
      </c>
      <c r="H32" s="1321">
        <f t="shared" ref="H32:H34" si="2">G32/F32</f>
        <v>0.96510484645327477</v>
      </c>
      <c r="I32" s="289" t="s">
        <v>379</v>
      </c>
      <c r="J32" s="662">
        <f>+J18+J31</f>
        <v>17724</v>
      </c>
      <c r="K32" s="511">
        <f>+K18+K31</f>
        <v>22850</v>
      </c>
      <c r="L32" s="511">
        <f>+L18+L31</f>
        <v>46469</v>
      </c>
      <c r="M32" s="662">
        <f>+M18+M31</f>
        <v>147995</v>
      </c>
      <c r="N32" s="662">
        <f>+N18+N31</f>
        <v>110861</v>
      </c>
      <c r="O32" s="1230">
        <f>N32/M32</f>
        <v>0.74908611777424916</v>
      </c>
      <c r="P32" s="1833"/>
    </row>
    <row r="33" spans="1:16" ht="13.5" thickBot="1" x14ac:dyDescent="0.25">
      <c r="A33" s="284" t="s">
        <v>882</v>
      </c>
      <c r="B33" s="97" t="s">
        <v>295</v>
      </c>
      <c r="C33" s="659">
        <v>341</v>
      </c>
      <c r="D33" s="659"/>
      <c r="E33" s="659"/>
      <c r="F33" s="659"/>
      <c r="G33" s="1145"/>
      <c r="H33" s="1321"/>
      <c r="I33" s="97" t="s">
        <v>301</v>
      </c>
      <c r="J33" s="664">
        <v>6015</v>
      </c>
      <c r="K33" s="659"/>
      <c r="L33" s="659"/>
      <c r="M33" s="664"/>
      <c r="N33" s="659"/>
      <c r="O33" s="1230"/>
      <c r="P33" s="1833"/>
    </row>
    <row r="34" spans="1:16" ht="13.5" thickBot="1" x14ac:dyDescent="0.25">
      <c r="A34" s="284" t="s">
        <v>883</v>
      </c>
      <c r="B34" s="290" t="s">
        <v>376</v>
      </c>
      <c r="C34" s="509">
        <f>+C32+C33</f>
        <v>49093</v>
      </c>
      <c r="D34" s="511">
        <f>+D32+D33</f>
        <v>22850</v>
      </c>
      <c r="E34" s="511">
        <f>+E32+E33</f>
        <v>46469</v>
      </c>
      <c r="F34" s="511">
        <f>+F32+F33</f>
        <v>173921</v>
      </c>
      <c r="G34" s="511">
        <f>+G32+G33</f>
        <v>167852</v>
      </c>
      <c r="H34" s="1321">
        <f t="shared" si="2"/>
        <v>0.96510484645327477</v>
      </c>
      <c r="I34" s="290" t="s">
        <v>380</v>
      </c>
      <c r="J34" s="509">
        <f>+J32+J33</f>
        <v>23739</v>
      </c>
      <c r="K34" s="511">
        <f>+K32+K33</f>
        <v>22850</v>
      </c>
      <c r="L34" s="511">
        <f>+L32+L33</f>
        <v>46469</v>
      </c>
      <c r="M34" s="662">
        <f>+M32+M33</f>
        <v>147995</v>
      </c>
      <c r="N34" s="662">
        <f>+N32+N33</f>
        <v>110861</v>
      </c>
      <c r="O34" s="1230">
        <f t="shared" ref="O34:O35" si="3">N34/M34</f>
        <v>0.74908611777424916</v>
      </c>
      <c r="P34" s="1833"/>
    </row>
    <row r="35" spans="1:16" ht="13.5" thickBot="1" x14ac:dyDescent="0.25">
      <c r="A35" s="284" t="s">
        <v>68</v>
      </c>
      <c r="B35" s="290" t="s">
        <v>103</v>
      </c>
      <c r="C35" s="509" t="str">
        <f>IF(C18-J18&lt;0,J18-C18,"-")</f>
        <v>-</v>
      </c>
      <c r="D35" s="511" t="str">
        <f>IF(D18-P18&lt;0,P18-D18,"-")</f>
        <v>-</v>
      </c>
      <c r="E35" s="511" t="str">
        <f>IF(E18-Q18&lt;0,Q18-E18,"-")</f>
        <v>-</v>
      </c>
      <c r="F35" s="511" t="str">
        <f>IF(F18-R18&lt;0,R18-F18,"-")</f>
        <v>-</v>
      </c>
      <c r="G35" s="1142"/>
      <c r="H35" s="1321"/>
      <c r="I35" s="290" t="s">
        <v>104</v>
      </c>
      <c r="J35" s="509">
        <f>IF(C18-J18&gt;0,C18-J18,"-")</f>
        <v>4723</v>
      </c>
      <c r="K35" s="511" t="str">
        <f>IF(D18-K18&gt;0,D18-K18,"-")</f>
        <v>-</v>
      </c>
      <c r="L35" s="511" t="str">
        <f>IF(E18-L18&gt;0,E18-L18,"-")</f>
        <v>-</v>
      </c>
      <c r="M35" s="662">
        <f>IF(F18-M18&gt;0,F18-M18,"-")</f>
        <v>8285</v>
      </c>
      <c r="N35" s="662">
        <f>IF(G18-N18&gt;0,G18-N18,"-")</f>
        <v>39350</v>
      </c>
      <c r="O35" s="1230">
        <f t="shared" si="3"/>
        <v>4.7495473747736874</v>
      </c>
      <c r="P35" s="1833"/>
    </row>
    <row r="36" spans="1:16" ht="13.5" thickBot="1" x14ac:dyDescent="0.25">
      <c r="A36" s="284" t="s">
        <v>69</v>
      </c>
      <c r="B36" s="290" t="s">
        <v>303</v>
      </c>
      <c r="C36" s="509" t="str">
        <f>IF(C18+C19-J32&lt;0,J32-(C18+C19),"-")</f>
        <v>-</v>
      </c>
      <c r="D36" s="511" t="str">
        <f>IF(D18+D19-P32&lt;0,P32-(D18+D19),"-")</f>
        <v>-</v>
      </c>
      <c r="E36" s="511">
        <f>L34-E34</f>
        <v>0</v>
      </c>
      <c r="F36" s="511">
        <f>M34-F34</f>
        <v>-25926</v>
      </c>
      <c r="G36" s="511">
        <f>N34-G34</f>
        <v>-56991</v>
      </c>
      <c r="H36" s="1321"/>
      <c r="I36" s="290" t="s">
        <v>304</v>
      </c>
      <c r="J36" s="509">
        <f>IF(C18+C19-J32&gt;0,C18+C19-J32,"-")</f>
        <v>31028</v>
      </c>
      <c r="K36" s="511" t="str">
        <f>IF(D18+D19-K32&gt;0,D18+D19-K32,"-")</f>
        <v>-</v>
      </c>
      <c r="L36" s="511" t="str">
        <f>IF(E18+E19-L32&gt;0,E18+E19-L32,"-")</f>
        <v>-</v>
      </c>
      <c r="M36" s="662">
        <f>IF(F18+F19-M32&gt;0,F18+F19-M32,"-")</f>
        <v>25926</v>
      </c>
      <c r="N36" s="662">
        <f>IF(G18+G19-N32&gt;0,G18+G19-N32,"-")</f>
        <v>56991</v>
      </c>
      <c r="O36" s="510"/>
      <c r="P36" s="1833"/>
    </row>
    <row r="39" spans="1:16" x14ac:dyDescent="0.2">
      <c r="C39" s="645">
        <f>C34+'2.1.sz.mell  '!C30</f>
        <v>331044</v>
      </c>
      <c r="D39" s="645">
        <f>D34+'2.1.sz.mell  '!D30</f>
        <v>341543</v>
      </c>
      <c r="I39" s="645"/>
      <c r="J39" s="645">
        <f>J34+'2.1.sz.mell  '!J30</f>
        <v>286377</v>
      </c>
      <c r="K39" s="645">
        <f>K34+'2.1.sz.mell  '!K30</f>
        <v>341543</v>
      </c>
      <c r="P39" s="645">
        <f>P34+'2.1.sz.mell  '!P30</f>
        <v>0</v>
      </c>
    </row>
    <row r="40" spans="1:16" x14ac:dyDescent="0.2">
      <c r="C40" s="645">
        <f>'1.1.sz.mell.'!C67-'2.2.sz.mell  '!C39</f>
        <v>0</v>
      </c>
      <c r="F40" s="645">
        <f>M39-F39</f>
        <v>0</v>
      </c>
      <c r="J40" s="645">
        <f>'1.1.sz.mell.'!C123-J39</f>
        <v>0</v>
      </c>
    </row>
    <row r="41" spans="1:16" x14ac:dyDescent="0.2">
      <c r="E41" s="645">
        <f>'1.1.sz.mell.'!E67-'2.1.sz.mell  '!E30-'2.2.sz.mell  '!E34</f>
        <v>0</v>
      </c>
    </row>
  </sheetData>
  <mergeCells count="3">
    <mergeCell ref="A3:A4"/>
    <mergeCell ref="P1:P36"/>
    <mergeCell ref="I3:O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27</vt:i4>
      </vt:variant>
    </vt:vector>
  </HeadingPairs>
  <TitlesOfParts>
    <vt:vector size="63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 mell</vt:lpstr>
      <vt:lpstr>4.sz.mell.</vt:lpstr>
      <vt:lpstr>5.sz.mell.</vt:lpstr>
      <vt:lpstr>6.sz.mell.</vt:lpstr>
      <vt:lpstr>7.sz.mell.</vt:lpstr>
      <vt:lpstr>8. sz. mell.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12.sz.mell.  </vt:lpstr>
      <vt:lpstr>13. sz. mell.</vt:lpstr>
      <vt:lpstr>14.sz. mell</vt:lpstr>
      <vt:lpstr>1.sz tájékoztató t.</vt:lpstr>
      <vt:lpstr>2.sz tájékoztató t.</vt:lpstr>
      <vt:lpstr>13.sz.mell</vt:lpstr>
      <vt:lpstr>1a sz tájékoztató t.</vt:lpstr>
      <vt:lpstr>1b. sz tájékoztató t.</vt:lpstr>
      <vt:lpstr>3. sz tájékoztató t.</vt:lpstr>
      <vt:lpstr>3.sz tájékoztató t.</vt:lpstr>
      <vt:lpstr>4.sz tájékoztató t.</vt:lpstr>
      <vt:lpstr>5.sz tájékoztató t.</vt:lpstr>
      <vt:lpstr>'11. sz. mell.'!Nyomtatási_cím</vt:lpstr>
      <vt:lpstr>'1a sz tájékoztató t.'!Nyomtatási_cím</vt:lpstr>
      <vt:lpstr>'1b. sz tájékoztató t.'!Nyomtatási_cím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'10. sz. mell.'!Nyomtatási_terület</vt:lpstr>
      <vt:lpstr>'11. sz. mell.'!Nyomtatási_terület</vt:lpstr>
      <vt:lpstr>'13. sz. mell.'!Nyomtatási_terület</vt:lpstr>
      <vt:lpstr>'14.sz. mell'!Nyomtatási_terület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'3.sz mell'!Nyomtatási_terület</vt:lpstr>
      <vt:lpstr>'5.sz.mell.'!Nyomtatási_terület</vt:lpstr>
      <vt:lpstr>'7.sz.mell.'!Nyomtatási_terület</vt:lpstr>
      <vt:lpstr>'8. sz. mell.'!Nyomtatási_terület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2016-04-13T11:57:12Z</cp:lastPrinted>
  <dcterms:created xsi:type="dcterms:W3CDTF">1999-10-30T10:30:45Z</dcterms:created>
  <dcterms:modified xsi:type="dcterms:W3CDTF">2016-04-29T07:18:52Z</dcterms:modified>
</cp:coreProperties>
</file>