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640" windowHeight="11760"/>
  </bookViews>
  <sheets>
    <sheet name="Mérleg" sheetId="23" r:id="rId1"/>
    <sheet name="Műk.és felhalm.mérleg" sheetId="4" r:id="rId2"/>
    <sheet name="PH" sheetId="36" r:id="rId3"/>
    <sheet name="Átadott" sheetId="10" r:id="rId4"/>
    <sheet name="likvid. ütemterv" sheetId="34" r:id="rId5"/>
  </sheets>
  <definedNames>
    <definedName name="_xlnm.Print_Area" localSheetId="3">Átadott!$A$1:$D$54</definedName>
    <definedName name="_xlnm.Print_Area" localSheetId="4">'likvid. ütemterv'!$A$1:$X$31</definedName>
    <definedName name="_xlnm.Print_Area" localSheetId="0">Mérleg!$A$1:$G$22</definedName>
    <definedName name="_xlnm.Print_Area" localSheetId="1">'Műk.és felhalm.mérleg'!$A$1:$S$100</definedName>
    <definedName name="_xlnm.Print_Area" localSheetId="2">PH!$A$1:$M$12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1" i="4"/>
  <c r="T27" i="34" l="1"/>
  <c r="N27"/>
  <c r="M27"/>
  <c r="M23"/>
  <c r="M22"/>
  <c r="M15"/>
  <c r="M10"/>
  <c r="T10"/>
  <c r="C8" i="36"/>
  <c r="I9"/>
  <c r="I8"/>
  <c r="K105" i="4"/>
  <c r="N105"/>
  <c r="O105"/>
  <c r="R105"/>
  <c r="S105"/>
  <c r="J105"/>
  <c r="P64" l="1"/>
  <c r="P60"/>
  <c r="P59"/>
  <c r="G61"/>
  <c r="O60"/>
  <c r="O59"/>
  <c r="F69"/>
  <c r="D105"/>
  <c r="E105"/>
  <c r="C105"/>
  <c r="H104"/>
  <c r="H99" l="1"/>
  <c r="F29" i="34" l="1"/>
  <c r="F30"/>
  <c r="F24"/>
  <c r="W24" s="1"/>
  <c r="F25"/>
  <c r="F26"/>
  <c r="F27"/>
  <c r="F23"/>
  <c r="F22"/>
  <c r="F12"/>
  <c r="L29"/>
  <c r="I27"/>
  <c r="I26"/>
  <c r="I25"/>
  <c r="P24"/>
  <c r="P23"/>
  <c r="P22"/>
  <c r="U13"/>
  <c r="O14"/>
  <c r="Q13"/>
  <c r="P13"/>
  <c r="O13"/>
  <c r="O10"/>
  <c r="U11"/>
  <c r="U12"/>
  <c r="U16"/>
  <c r="U17"/>
  <c r="U20"/>
  <c r="U21"/>
  <c r="U28"/>
  <c r="D24" i="10" l="1"/>
  <c r="C24"/>
  <c r="H8" i="36"/>
  <c r="K10"/>
  <c r="K9"/>
  <c r="K8"/>
  <c r="J10"/>
  <c r="J9"/>
  <c r="J8"/>
  <c r="I10"/>
  <c r="D21" i="10" l="1"/>
  <c r="D13"/>
  <c r="D11"/>
  <c r="D10" s="1"/>
  <c r="D19" s="1"/>
  <c r="E13" i="36"/>
  <c r="L11"/>
  <c r="D8"/>
  <c r="G102" i="4"/>
  <c r="G105" s="1"/>
  <c r="F102"/>
  <c r="F105" s="1"/>
  <c r="E102"/>
  <c r="D102"/>
  <c r="C102"/>
  <c r="Q102"/>
  <c r="P102"/>
  <c r="O102"/>
  <c r="N102"/>
  <c r="K102"/>
  <c r="J102"/>
  <c r="D25" i="10" l="1"/>
  <c r="G84" i="4"/>
  <c r="G63"/>
  <c r="K61"/>
  <c r="J61"/>
  <c r="S89"/>
  <c r="S90"/>
  <c r="S91"/>
  <c r="S92"/>
  <c r="S93"/>
  <c r="S94"/>
  <c r="S95"/>
  <c r="S96"/>
  <c r="Q97"/>
  <c r="Q98" s="1"/>
  <c r="R97"/>
  <c r="R93"/>
  <c r="P62"/>
  <c r="N88" l="1"/>
  <c r="N98" s="1"/>
  <c r="N82"/>
  <c r="L88"/>
  <c r="L98" s="1"/>
  <c r="L61"/>
  <c r="L59" l="1"/>
  <c r="L60"/>
  <c r="K98" l="1"/>
  <c r="K88"/>
  <c r="K24" i="34" l="1"/>
  <c r="V11"/>
  <c r="V16"/>
  <c r="V17"/>
  <c r="V18"/>
  <c r="V20"/>
  <c r="V21"/>
  <c r="V28"/>
  <c r="V30"/>
  <c r="K25"/>
  <c r="W17" l="1"/>
  <c r="W21"/>
  <c r="F20"/>
  <c r="W20" s="1"/>
  <c r="F21"/>
  <c r="W28"/>
  <c r="W30"/>
  <c r="F11"/>
  <c r="W11" s="1"/>
  <c r="F16"/>
  <c r="W16" s="1"/>
  <c r="F17"/>
  <c r="F18"/>
  <c r="W18" s="1"/>
  <c r="K27"/>
  <c r="J27"/>
  <c r="H27"/>
  <c r="G27"/>
  <c r="L26"/>
  <c r="K26"/>
  <c r="J26"/>
  <c r="H26"/>
  <c r="G26"/>
  <c r="J24"/>
  <c r="I24"/>
  <c r="H24"/>
  <c r="G24"/>
  <c r="K23"/>
  <c r="J23"/>
  <c r="I23"/>
  <c r="H23"/>
  <c r="G23"/>
  <c r="K22"/>
  <c r="J22"/>
  <c r="I22"/>
  <c r="H22"/>
  <c r="G22"/>
  <c r="K15"/>
  <c r="J15"/>
  <c r="I15"/>
  <c r="H15"/>
  <c r="G15"/>
  <c r="K10"/>
  <c r="J10"/>
  <c r="I10"/>
  <c r="F10" s="1"/>
  <c r="H10"/>
  <c r="G10"/>
  <c r="T31"/>
  <c r="T32" s="1"/>
  <c r="T19"/>
  <c r="C11" i="10"/>
  <c r="H10" i="36"/>
  <c r="H9"/>
  <c r="H11" s="1"/>
  <c r="R60" i="4"/>
  <c r="G10"/>
  <c r="H8"/>
  <c r="C16"/>
  <c r="H69"/>
  <c r="C67"/>
  <c r="K66"/>
  <c r="K74" s="1"/>
  <c r="K101" s="1"/>
  <c r="P97"/>
  <c r="O97"/>
  <c r="J97"/>
  <c r="S97" s="1"/>
  <c r="G20" i="23" s="1"/>
  <c r="H96" i="4"/>
  <c r="H95"/>
  <c r="H94"/>
  <c r="H93"/>
  <c r="G92"/>
  <c r="F92"/>
  <c r="C92"/>
  <c r="H92" s="1"/>
  <c r="H91"/>
  <c r="H90"/>
  <c r="G89"/>
  <c r="G97" s="1"/>
  <c r="F89"/>
  <c r="F97" s="1"/>
  <c r="C89"/>
  <c r="P88"/>
  <c r="O88"/>
  <c r="O98" s="1"/>
  <c r="J88"/>
  <c r="G88"/>
  <c r="F88"/>
  <c r="C88"/>
  <c r="R87"/>
  <c r="S87" s="1"/>
  <c r="H87"/>
  <c r="R86"/>
  <c r="S86" s="1"/>
  <c r="H86"/>
  <c r="R85"/>
  <c r="S85" s="1"/>
  <c r="H85"/>
  <c r="R84"/>
  <c r="S84" s="1"/>
  <c r="H84"/>
  <c r="D18" i="23" s="1"/>
  <c r="R83" i="4"/>
  <c r="S83" s="1"/>
  <c r="G18" i="23" s="1"/>
  <c r="H83" i="4"/>
  <c r="R82"/>
  <c r="S82" s="1"/>
  <c r="G17" i="23" s="1"/>
  <c r="H82" i="4"/>
  <c r="D17" i="23" s="1"/>
  <c r="P73" i="4"/>
  <c r="O73"/>
  <c r="J73"/>
  <c r="S72"/>
  <c r="H72"/>
  <c r="S71"/>
  <c r="H71"/>
  <c r="S70"/>
  <c r="G70"/>
  <c r="F70"/>
  <c r="C70"/>
  <c r="S69"/>
  <c r="F67"/>
  <c r="F73" s="1"/>
  <c r="S68"/>
  <c r="H68"/>
  <c r="S67"/>
  <c r="S73" s="1"/>
  <c r="G67"/>
  <c r="G73" s="1"/>
  <c r="D67"/>
  <c r="D73" s="1"/>
  <c r="Q66"/>
  <c r="Q74" s="1"/>
  <c r="Q101" s="1"/>
  <c r="O66"/>
  <c r="O74" s="1"/>
  <c r="O101" s="1"/>
  <c r="M66"/>
  <c r="M74" s="1"/>
  <c r="L66"/>
  <c r="L74" s="1"/>
  <c r="J66"/>
  <c r="J74" s="1"/>
  <c r="F66"/>
  <c r="D66"/>
  <c r="C66"/>
  <c r="R65"/>
  <c r="N65"/>
  <c r="S65" s="1"/>
  <c r="H65"/>
  <c r="R64"/>
  <c r="N64"/>
  <c r="H64"/>
  <c r="D11" i="23" s="1"/>
  <c r="R63" i="4"/>
  <c r="N63"/>
  <c r="H63"/>
  <c r="D14" i="23" s="1"/>
  <c r="R62" i="4"/>
  <c r="N62"/>
  <c r="H62"/>
  <c r="R61"/>
  <c r="N61"/>
  <c r="G66"/>
  <c r="N60"/>
  <c r="E60"/>
  <c r="E66" s="1"/>
  <c r="R59"/>
  <c r="N59"/>
  <c r="H59"/>
  <c r="D12" i="23" s="1"/>
  <c r="R102" i="4" l="1"/>
  <c r="F98"/>
  <c r="V10" i="34"/>
  <c r="W10" s="1"/>
  <c r="V26"/>
  <c r="W26" s="1"/>
  <c r="J98" i="4"/>
  <c r="S63"/>
  <c r="G14" i="23" s="1"/>
  <c r="G98" i="4"/>
  <c r="H89"/>
  <c r="G74"/>
  <c r="G101" s="1"/>
  <c r="P98"/>
  <c r="S62"/>
  <c r="G13" i="23" s="1"/>
  <c r="S61" i="4"/>
  <c r="G12" i="23" s="1"/>
  <c r="J101" i="4"/>
  <c r="S64"/>
  <c r="G15" i="23" s="1"/>
  <c r="R66" i="4"/>
  <c r="R74" s="1"/>
  <c r="P66"/>
  <c r="P74" s="1"/>
  <c r="S60"/>
  <c r="G11" i="23" s="1"/>
  <c r="C73" i="4"/>
  <c r="F74"/>
  <c r="F101" s="1"/>
  <c r="S59"/>
  <c r="G10" i="23" s="1"/>
  <c r="C74" i="4"/>
  <c r="D74"/>
  <c r="D101" s="1"/>
  <c r="H60"/>
  <c r="D13" i="23" s="1"/>
  <c r="N66" i="4"/>
  <c r="N74" s="1"/>
  <c r="N101" s="1"/>
  <c r="E67"/>
  <c r="E73" s="1"/>
  <c r="E74" s="1"/>
  <c r="E101" s="1"/>
  <c r="C97"/>
  <c r="H61"/>
  <c r="D10" i="23" s="1"/>
  <c r="H88" i="4"/>
  <c r="R88"/>
  <c r="R98" s="1"/>
  <c r="H70"/>
  <c r="R101" l="1"/>
  <c r="S102" s="1"/>
  <c r="H102"/>
  <c r="H105" s="1"/>
  <c r="S88"/>
  <c r="S98"/>
  <c r="P101"/>
  <c r="H66"/>
  <c r="H67"/>
  <c r="S66"/>
  <c r="S74" s="1"/>
  <c r="S101" s="1"/>
  <c r="H73"/>
  <c r="D15" i="23" s="1"/>
  <c r="H74" i="4"/>
  <c r="H97"/>
  <c r="D20" i="23" s="1"/>
  <c r="C98" i="4"/>
  <c r="H98" s="1"/>
  <c r="H100" s="1"/>
  <c r="S103" l="1"/>
  <c r="H75"/>
  <c r="C101"/>
  <c r="H76"/>
  <c r="H101"/>
  <c r="T99" l="1"/>
  <c r="G21" i="23" l="1"/>
  <c r="G16"/>
  <c r="D21"/>
  <c r="D16"/>
  <c r="N23" i="34"/>
  <c r="N22"/>
  <c r="R32" i="4"/>
  <c r="R33"/>
  <c r="R34"/>
  <c r="R35"/>
  <c r="R36"/>
  <c r="R31"/>
  <c r="S31"/>
  <c r="R9"/>
  <c r="R10"/>
  <c r="R11"/>
  <c r="R12"/>
  <c r="R13"/>
  <c r="R14"/>
  <c r="R8"/>
  <c r="Q15"/>
  <c r="Q23"/>
  <c r="N9"/>
  <c r="S9" s="1"/>
  <c r="N10"/>
  <c r="N11"/>
  <c r="S11" s="1"/>
  <c r="N12"/>
  <c r="N13"/>
  <c r="S13" s="1"/>
  <c r="N14"/>
  <c r="N8"/>
  <c r="S8" s="1"/>
  <c r="M15"/>
  <c r="M23" s="1"/>
  <c r="K11" i="36"/>
  <c r="G10"/>
  <c r="M11"/>
  <c r="F11"/>
  <c r="E11"/>
  <c r="D11"/>
  <c r="G8"/>
  <c r="C11"/>
  <c r="G9"/>
  <c r="J11"/>
  <c r="F21" i="23"/>
  <c r="C16"/>
  <c r="R15" i="34"/>
  <c r="L15"/>
  <c r="M19"/>
  <c r="N15"/>
  <c r="S15" s="1"/>
  <c r="U15" s="1"/>
  <c r="O15"/>
  <c r="P15"/>
  <c r="Q15"/>
  <c r="J10" i="4"/>
  <c r="S10" s="1"/>
  <c r="F18"/>
  <c r="L13" i="34"/>
  <c r="N13"/>
  <c r="J13"/>
  <c r="I13"/>
  <c r="V29"/>
  <c r="G12"/>
  <c r="S10"/>
  <c r="U10" s="1"/>
  <c r="S29"/>
  <c r="P27"/>
  <c r="O27"/>
  <c r="L27"/>
  <c r="R27"/>
  <c r="S26"/>
  <c r="U26" s="1"/>
  <c r="O25"/>
  <c r="G25"/>
  <c r="R25"/>
  <c r="Q24"/>
  <c r="O24"/>
  <c r="M24"/>
  <c r="L24"/>
  <c r="K31"/>
  <c r="R24"/>
  <c r="R31" s="1"/>
  <c r="S23"/>
  <c r="U23" s="1"/>
  <c r="E31"/>
  <c r="S18"/>
  <c r="U18" s="1"/>
  <c r="S17"/>
  <c r="S16"/>
  <c r="Q14"/>
  <c r="Q19"/>
  <c r="P14"/>
  <c r="P19" s="1"/>
  <c r="M14"/>
  <c r="L14"/>
  <c r="K14"/>
  <c r="K19" s="1"/>
  <c r="I14"/>
  <c r="H14"/>
  <c r="G14"/>
  <c r="H13"/>
  <c r="O12"/>
  <c r="S11"/>
  <c r="E19"/>
  <c r="S30"/>
  <c r="U30" s="1"/>
  <c r="U34" s="1"/>
  <c r="H19"/>
  <c r="J14"/>
  <c r="N14"/>
  <c r="R14"/>
  <c r="R19" s="1"/>
  <c r="N24"/>
  <c r="H25"/>
  <c r="L25"/>
  <c r="P25"/>
  <c r="Q27"/>
  <c r="S27" s="1"/>
  <c r="U27" s="1"/>
  <c r="I31"/>
  <c r="M25"/>
  <c r="Q25"/>
  <c r="J25"/>
  <c r="N25"/>
  <c r="H31"/>
  <c r="P15" i="4"/>
  <c r="E18"/>
  <c r="H18" s="1"/>
  <c r="F16" i="23"/>
  <c r="C21"/>
  <c r="C22" s="1"/>
  <c r="E9" i="4"/>
  <c r="H9" s="1"/>
  <c r="C13" i="10"/>
  <c r="C10"/>
  <c r="C19" s="1"/>
  <c r="C25" s="1"/>
  <c r="F22" i="23"/>
  <c r="D16" i="4"/>
  <c r="D22" s="1"/>
  <c r="F16"/>
  <c r="F22" s="1"/>
  <c r="G16"/>
  <c r="G22" s="1"/>
  <c r="G23" s="1"/>
  <c r="K15"/>
  <c r="K23" s="1"/>
  <c r="L15"/>
  <c r="L23" s="1"/>
  <c r="O15"/>
  <c r="D15"/>
  <c r="E15"/>
  <c r="F15"/>
  <c r="G15"/>
  <c r="H34"/>
  <c r="S19"/>
  <c r="G37"/>
  <c r="P22"/>
  <c r="P23"/>
  <c r="S16"/>
  <c r="S22" s="1"/>
  <c r="S17"/>
  <c r="S18"/>
  <c r="S20"/>
  <c r="S21"/>
  <c r="J37"/>
  <c r="J46"/>
  <c r="O37"/>
  <c r="O46"/>
  <c r="P37"/>
  <c r="R37" s="1"/>
  <c r="P46"/>
  <c r="P47" s="1"/>
  <c r="C37"/>
  <c r="C38"/>
  <c r="C41"/>
  <c r="F37"/>
  <c r="F38"/>
  <c r="F41"/>
  <c r="G41"/>
  <c r="G19"/>
  <c r="C15"/>
  <c r="C19"/>
  <c r="C22" s="1"/>
  <c r="C23" s="1"/>
  <c r="F19"/>
  <c r="S32"/>
  <c r="S33"/>
  <c r="S34"/>
  <c r="S35"/>
  <c r="S36"/>
  <c r="S38"/>
  <c r="S39"/>
  <c r="S40"/>
  <c r="S41"/>
  <c r="S43"/>
  <c r="S44"/>
  <c r="S45"/>
  <c r="H32"/>
  <c r="H33"/>
  <c r="H35"/>
  <c r="H36"/>
  <c r="H40"/>
  <c r="H42"/>
  <c r="H43"/>
  <c r="H44"/>
  <c r="H45"/>
  <c r="H31"/>
  <c r="H20"/>
  <c r="H21"/>
  <c r="H17"/>
  <c r="H10"/>
  <c r="H11"/>
  <c r="H12"/>
  <c r="H13"/>
  <c r="H14"/>
  <c r="O22"/>
  <c r="O23" s="1"/>
  <c r="J22"/>
  <c r="J47"/>
  <c r="F46"/>
  <c r="G38"/>
  <c r="G46" s="1"/>
  <c r="G47" s="1"/>
  <c r="H39"/>
  <c r="S37"/>
  <c r="J19" i="34"/>
  <c r="S22"/>
  <c r="U22" s="1"/>
  <c r="J31"/>
  <c r="O47" i="4"/>
  <c r="W29" i="34" l="1"/>
  <c r="U29"/>
  <c r="V14"/>
  <c r="F14"/>
  <c r="V25"/>
  <c r="O19"/>
  <c r="V27"/>
  <c r="L19"/>
  <c r="G11" i="36"/>
  <c r="G14" s="1"/>
  <c r="G31" i="34"/>
  <c r="H37" i="4"/>
  <c r="S46"/>
  <c r="S25" i="34"/>
  <c r="U25" s="1"/>
  <c r="P31"/>
  <c r="S13"/>
  <c r="V13"/>
  <c r="F13"/>
  <c r="S14"/>
  <c r="U14" s="1"/>
  <c r="V24"/>
  <c r="Q31"/>
  <c r="G19"/>
  <c r="V12"/>
  <c r="W12" s="1"/>
  <c r="N19"/>
  <c r="F15"/>
  <c r="V15"/>
  <c r="V22"/>
  <c r="N15" i="4"/>
  <c r="N23" s="1"/>
  <c r="R15"/>
  <c r="R23" s="1"/>
  <c r="S47"/>
  <c r="J15"/>
  <c r="J23" s="1"/>
  <c r="H19"/>
  <c r="H41"/>
  <c r="D23"/>
  <c r="H23" s="1"/>
  <c r="L31" i="34"/>
  <c r="S14" i="4"/>
  <c r="V23" i="34"/>
  <c r="M31"/>
  <c r="S24"/>
  <c r="U24" s="1"/>
  <c r="O31"/>
  <c r="N31"/>
  <c r="H15" i="4"/>
  <c r="G22" i="23"/>
  <c r="G23" s="1"/>
  <c r="D22"/>
  <c r="D23" s="1"/>
  <c r="F23" i="4"/>
  <c r="E16"/>
  <c r="E22" s="1"/>
  <c r="E23" s="1"/>
  <c r="S12" i="34"/>
  <c r="S12" i="4"/>
  <c r="C46"/>
  <c r="H16"/>
  <c r="H38"/>
  <c r="I19" i="34"/>
  <c r="F47" i="4"/>
  <c r="I11" i="36"/>
  <c r="W15" i="34" l="1"/>
  <c r="W23"/>
  <c r="V31"/>
  <c r="F31"/>
  <c r="F32" s="1"/>
  <c r="V19"/>
  <c r="H22" i="4"/>
  <c r="S15"/>
  <c r="S23" s="1"/>
  <c r="S50" s="1"/>
  <c r="W13" i="34"/>
  <c r="W25"/>
  <c r="S19"/>
  <c r="U19" s="1"/>
  <c r="W22"/>
  <c r="F19"/>
  <c r="F33" s="1"/>
  <c r="W27"/>
  <c r="W14"/>
  <c r="S31"/>
  <c r="U31" s="1"/>
  <c r="H46" i="4"/>
  <c r="C47"/>
  <c r="H47" s="1"/>
  <c r="H50" s="1"/>
  <c r="W31" i="34" l="1"/>
  <c r="W19"/>
  <c r="H25" i="4"/>
  <c r="H24"/>
  <c r="H49"/>
  <c r="H48"/>
  <c r="T48" l="1"/>
</calcChain>
</file>

<file path=xl/sharedStrings.xml><?xml version="1.0" encoding="utf-8"?>
<sst xmlns="http://schemas.openxmlformats.org/spreadsheetml/2006/main" count="516" uniqueCount="206">
  <si>
    <t xml:space="preserve"> </t>
  </si>
  <si>
    <t>I.</t>
  </si>
  <si>
    <t>1.</t>
  </si>
  <si>
    <t>2.</t>
  </si>
  <si>
    <t>3.</t>
  </si>
  <si>
    <t>4.</t>
  </si>
  <si>
    <t>III.</t>
  </si>
  <si>
    <t>5.</t>
  </si>
  <si>
    <t>6.</t>
  </si>
  <si>
    <t>Hosszú lejáratú hitelek, kölcsönök felvétele</t>
  </si>
  <si>
    <t>Rövid lejáratú hitelek, kölcsönök felvétele</t>
  </si>
  <si>
    <t>FINANSZÍROZÁSI KIADÁSOK</t>
  </si>
  <si>
    <t>S</t>
  </si>
  <si>
    <t>BEVÉTELI ELŐIRÁNYZAT</t>
  </si>
  <si>
    <t>KIADÁSI ELŐIRÁNYZAT</t>
  </si>
  <si>
    <t>sz.</t>
  </si>
  <si>
    <t>ÖSSZEVONT</t>
  </si>
  <si>
    <t>Személyi juttatások</t>
  </si>
  <si>
    <t>Munkaadót terhelő járulékok</t>
  </si>
  <si>
    <t>Dologi jellegű kiadások</t>
  </si>
  <si>
    <t>Működési célú pénzeszközátadások</t>
  </si>
  <si>
    <t>Felhalmozási célú pénzeszközátadás</t>
  </si>
  <si>
    <t>Felhalmozási célú pénzeszközátvétel</t>
  </si>
  <si>
    <t>7.</t>
  </si>
  <si>
    <t>8.</t>
  </si>
  <si>
    <t>Működési bevételek</t>
  </si>
  <si>
    <t>Működési célú pénzeszközátvételek</t>
  </si>
  <si>
    <t>Működési célú támogatások ÁHT-n belülről</t>
  </si>
  <si>
    <t>KÖLTSÉGVETÉSI BEVÉTELEK</t>
  </si>
  <si>
    <t>KÖLTSÉGVETÉSI KIADÁSOK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</si>
  <si>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</si>
  <si>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</si>
  <si>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</si>
  <si>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</si>
  <si>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</si>
  <si>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</si>
  <si>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</si>
  <si>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</si>
  <si>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</si>
  <si>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</si>
  <si>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</si>
  <si>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Költségvetési maradvány igénybevétele</t>
  </si>
  <si>
    <t>Egyéb belső finanszírozási bevételek</t>
  </si>
  <si>
    <t>Hiány belső finanszírozásának bevételei</t>
  </si>
  <si>
    <t>Hiány külső finanszírozásának bevételei</t>
  </si>
  <si>
    <t>Likviditási célú hitelek, kölcsönök felvétele</t>
  </si>
  <si>
    <t>FINANSZÍROZÁSI BEVÉTELEK</t>
  </si>
  <si>
    <t>MŰKÖDÉSI BEVÉTELEK ÖSSZESEN</t>
  </si>
  <si>
    <t>Költségvetési hiány</t>
  </si>
  <si>
    <t>Tárgyévi hiány</t>
  </si>
  <si>
    <t>Értékpapír vásárlás</t>
  </si>
  <si>
    <t>Likviditási célú hitelek törlesztése</t>
  </si>
  <si>
    <t>Rövid lejáratú hitelek törlesztése</t>
  </si>
  <si>
    <t>Értékpapírok bevételei</t>
  </si>
  <si>
    <t>MŰKÖDÉSI KIADÁSOK ÖSSZESEN</t>
  </si>
  <si>
    <t>Beruházások</t>
  </si>
  <si>
    <t>Felújítások</t>
  </si>
  <si>
    <t>Felhalmozási bevételek</t>
  </si>
  <si>
    <t>Önkormányzatok fejlesztési támogatásai</t>
  </si>
  <si>
    <t>Önkormányzat működési támogatásai</t>
  </si>
  <si>
    <t>Felhalmozási célú támogatások ÁHT-n belülről</t>
  </si>
  <si>
    <t>Felhalmozási célú átvett pénzeszközök</t>
  </si>
  <si>
    <t>Egyéb felhalmozási bevételek</t>
  </si>
  <si>
    <t>MŰKÖDÉSI</t>
  </si>
  <si>
    <t>BEVÉTELEK</t>
  </si>
  <si>
    <t>KIADÁSOK</t>
  </si>
  <si>
    <t>FELHALMOZÁSI</t>
  </si>
  <si>
    <t>Összesen</t>
  </si>
  <si>
    <t xml:space="preserve">                                                                                         adatok ezer Ft-ban</t>
  </si>
  <si>
    <t>előirányzat</t>
  </si>
  <si>
    <t>MŰKÖDÉSI CÉLÚ ÁTADÁS ÁHT-N BELÜLRE</t>
  </si>
  <si>
    <t>Ellátottak juttatásai</t>
  </si>
  <si>
    <t>Tartalék</t>
  </si>
  <si>
    <t>Dologi kiadások</t>
  </si>
  <si>
    <t>Közhatalmi bevételek</t>
  </si>
  <si>
    <t>Működési célú átvett pénzeszközök</t>
  </si>
  <si>
    <t>BEVÉTELEK ÖSSZESEN</t>
  </si>
  <si>
    <t>FEJLESZTÉSI BEVÉTELEK ÖSSZESEN</t>
  </si>
  <si>
    <t>FEJLESZTÉSI KIADÁSOK ÖSSZESEN</t>
  </si>
  <si>
    <t>Felhalmozási célú kölcsön vissztérülése</t>
  </si>
  <si>
    <t>Hosszú lejáratú hitelek törlesztése</t>
  </si>
  <si>
    <t>adatok forintban</t>
  </si>
  <si>
    <t>adatok Ft-ban</t>
  </si>
  <si>
    <t>Áht-n belüli megelőlegezés</t>
  </si>
  <si>
    <t>Csanádpalota Város Önkormányzat</t>
  </si>
  <si>
    <t>Csanádpalota</t>
  </si>
  <si>
    <t>Művelődési Ház</t>
  </si>
  <si>
    <t>Összeg</t>
  </si>
  <si>
    <t>A</t>
  </si>
  <si>
    <t>B</t>
  </si>
  <si>
    <t>C</t>
  </si>
  <si>
    <t>D</t>
  </si>
  <si>
    <t>Működési kiadások</t>
  </si>
  <si>
    <t>Felhalmozási kiadások</t>
  </si>
  <si>
    <t>KIADÁSOK ÖSSZESEN</t>
  </si>
  <si>
    <t>Működési célú támogatások államháztartáson belülről</t>
  </si>
  <si>
    <t>Finanszírozási bevételek</t>
  </si>
  <si>
    <t xml:space="preserve">Munkaadókat terhelő járulékok </t>
  </si>
  <si>
    <t>Ellátottak pénzbeli juttatásai</t>
  </si>
  <si>
    <t>Egyéb működési célú kiadások</t>
  </si>
  <si>
    <t>Finanszírozási kiadások</t>
  </si>
  <si>
    <t>Felhalmozási célú támogatások államháztartáson belülről</t>
  </si>
  <si>
    <t>Egyéb felhalmozási célú kiadások</t>
  </si>
  <si>
    <t>2019. évi költségvetésének pénzeszközátadásai</t>
  </si>
  <si>
    <t>Jogcímei</t>
  </si>
  <si>
    <t>Települési önkormányzatok köznevelési feladatalapú támogatásának átadása</t>
  </si>
  <si>
    <t xml:space="preserve"> -Csanádpalota Térségi Napsugár Óvoda</t>
  </si>
  <si>
    <t xml:space="preserve"> -Bölcsödei tagintézmény</t>
  </si>
  <si>
    <t>Köznevelési társulás megállapodás alapján az önkormányzat által átadott pénzeszköz</t>
  </si>
  <si>
    <t>Csanád-Mikro Térségi Társulásnak átadott hozzájárulás</t>
  </si>
  <si>
    <t>Makói Kistérségi Többcélú Társulás</t>
  </si>
  <si>
    <t>MŰKÖDÉSI CÉLÚ ÁTADÁSOK ÁH-ON BELÜLRE ÖSSZESEN</t>
  </si>
  <si>
    <t>MŰKÖDÉSI CÉLÚ ÁTADÁSOK ÁH-ON KÍVÜLRE</t>
  </si>
  <si>
    <t xml:space="preserve"> -Civil szervezeteknek átadott</t>
  </si>
  <si>
    <t>MŰKÖDÉSI CÉLÚ ÁTADÁSOK ÁH-ON KÍVÜLRE ÖSSZESEN</t>
  </si>
  <si>
    <t>Felújítás</t>
  </si>
  <si>
    <t>MŰKÖDÉSI CÉLÚ ÁTADÁSOK ÖSSZESEN</t>
  </si>
  <si>
    <t xml:space="preserve"> -Marosháti Kistérség Turizmusáért Egyesület</t>
  </si>
  <si>
    <t>Int.tám</t>
  </si>
  <si>
    <t>Egyéb működési célú pénzeszköz átadások kiadások</t>
  </si>
  <si>
    <t>2019.évi bevételeinek és kiadásainak mérlegszerű kimutatása</t>
  </si>
  <si>
    <t xml:space="preserve">       adatok  Ft-ban</t>
  </si>
  <si>
    <t xml:space="preserve"> -Költségvetési maradvány igénybevétele</t>
  </si>
  <si>
    <t xml:space="preserve"> -Központi irányitószervi támogatás</t>
  </si>
  <si>
    <t xml:space="preserve"> -Likviditási célú hitelek, kölcsönök felvétele</t>
  </si>
  <si>
    <t xml:space="preserve"> -Értékpapírok bevételei</t>
  </si>
  <si>
    <t xml:space="preserve">CSANÁDPALOTA VÁROSI ÖNKORMÁNYZAT ÉS KÖLTSÉGVETÉSI SZERVEI </t>
  </si>
  <si>
    <t>Kiemelt előirányzatok</t>
  </si>
  <si>
    <t xml:space="preserve">eredeti előirányzat 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</si>
  <si>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</si>
  <si>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</si>
  <si>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</si>
  <si>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</si>
  <si>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</si>
  <si>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</si>
  <si>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</si>
  <si>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</si>
  <si>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</si>
  <si>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</si>
  <si>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</si>
  <si>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</si>
  <si>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</si>
  <si>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Működési célú támogatások ÁH-on belülről</t>
  </si>
  <si>
    <t>Önkormányzatok rendkívüli támogatása</t>
  </si>
  <si>
    <t>Hitel és kölcsön felvétel ÁH-on kívülről</t>
  </si>
  <si>
    <t>Munkaadókat terhelő járulékok és SZOCHO</t>
  </si>
  <si>
    <t xml:space="preserve">2019. ÉVI  ÖSSZESÍTETT ELŐIRÁNYZAT FELHASZNÁLÁSI ÜTEMTERVE </t>
  </si>
  <si>
    <t>DAREH Önkormányzati Társulás</t>
  </si>
  <si>
    <t>Működési célú átvétel államháztartáson kívülről</t>
  </si>
  <si>
    <t>Működési célú átvétel ÁHT-n kívülről</t>
  </si>
  <si>
    <r>
      <t xml:space="preserve">CSANÁDPALOTAI KÖZÖS ÖNKORMÁNYZATI HIVATAL 2019. ÉVI BEVÉTELEI ÉS KIADÁSAI                </t>
    </r>
    <r>
      <rPr>
        <sz val="10"/>
        <rFont val="Arial CE"/>
        <charset val="238"/>
      </rPr>
      <t xml:space="preserve"> </t>
    </r>
  </si>
  <si>
    <t>E</t>
  </si>
  <si>
    <t>F</t>
  </si>
  <si>
    <t>G</t>
  </si>
  <si>
    <t>H</t>
  </si>
  <si>
    <t>I</t>
  </si>
  <si>
    <t>J</t>
  </si>
  <si>
    <t>K</t>
  </si>
  <si>
    <t>Megnevezés</t>
  </si>
  <si>
    <t>Működési célú bevételek</t>
  </si>
  <si>
    <t>Bevétel összesen</t>
  </si>
  <si>
    <t>Kiadás összesen</t>
  </si>
  <si>
    <t>Álláshely-létszám (fő)</t>
  </si>
  <si>
    <t>Központi irányítószervi támogatás (normatív támogatás)</t>
  </si>
  <si>
    <t>Működési célú átvett pénzeszköz Társulásoktól</t>
  </si>
  <si>
    <t>Működési célú átvett pénzeszköz Önkormány-zatoktól</t>
  </si>
  <si>
    <t>Maradvány bevétel</t>
  </si>
  <si>
    <t>Munkaadót terhelő járulék és a SZOCHO</t>
  </si>
  <si>
    <t>Közös Önkormányzati Hivatal Csanádpalota</t>
  </si>
  <si>
    <t>Közös Önkormányzati Hivatal Királyhegyes</t>
  </si>
  <si>
    <t>Közös Önkormányzati Hivatal Kövegy</t>
  </si>
  <si>
    <t>Kelemen László</t>
  </si>
  <si>
    <t>Városi Könyvtár</t>
  </si>
  <si>
    <t>Szociális Intézm.</t>
  </si>
  <si>
    <t>Gyermekj.Szolg.</t>
  </si>
  <si>
    <t>Önkormányzti</t>
  </si>
  <si>
    <t>Hivatal</t>
  </si>
  <si>
    <t>Városi</t>
  </si>
  <si>
    <t>Önkormányzat</t>
  </si>
  <si>
    <t>Önkormányzati</t>
  </si>
  <si>
    <t>Önkéntvállalt f.</t>
  </si>
  <si>
    <t>Városi Önkormányzat</t>
  </si>
  <si>
    <t>Kötelező fel.</t>
  </si>
  <si>
    <t>Önkéntváll.fel.</t>
  </si>
  <si>
    <t>Szoc. Intézmény és Gyermekjóléti Szolg.</t>
  </si>
  <si>
    <t>Csanádpalotai</t>
  </si>
  <si>
    <t>Szoc.Intémény és Gyermekjóléti Szolg.</t>
  </si>
  <si>
    <t>2019.évi eredeti</t>
  </si>
  <si>
    <t>2019.évi módosított</t>
  </si>
  <si>
    <t>2019.évi költségvetésének működési és felhalmozási mérlege eredeti előirányzat</t>
  </si>
  <si>
    <t>2019.évi költségvetésének működési és felhalmozási mérlege módosított előirányzat</t>
  </si>
  <si>
    <t>vált.</t>
  </si>
  <si>
    <t>módosított előirányzat</t>
  </si>
  <si>
    <t>Megelőlegezés visszafizetése</t>
  </si>
  <si>
    <t>Egyéb belső finanszírozási bevételek (megelőlegezés)</t>
  </si>
  <si>
    <t xml:space="preserve">D </t>
  </si>
  <si>
    <t xml:space="preserve">E </t>
  </si>
  <si>
    <t>Eredeti előirányzat</t>
  </si>
  <si>
    <t>Módosított előirányzat</t>
  </si>
  <si>
    <t xml:space="preserve"> -Háztartásoknak átadott (Németh Zsófi támogatása)</t>
  </si>
  <si>
    <t>I.félév.</t>
  </si>
  <si>
    <t>1.melléklet a 21/2019.(XI.14.)önkormányzati rendelethez</t>
  </si>
  <si>
    <t>2.melléklet a 21/2019.(XI.14.)önkormányzati rendelethez</t>
  </si>
  <si>
    <t>3. melléklet  a 21/2019.(XI.14.)önkormányzati rendelethez</t>
  </si>
  <si>
    <t>4.melléklet  a a 21/2019.(XI.14.)önkormányzati rendelethez</t>
  </si>
  <si>
    <t>5.melléklet  a 21/2019.(XI.14.)önkormányzati rendelethez</t>
  </si>
</sst>
</file>

<file path=xl/styles.xml><?xml version="1.0" encoding="utf-8"?>
<styleSheet xmlns="http://schemas.openxmlformats.org/spreadsheetml/2006/main">
  <numFmts count="6">
    <numFmt numFmtId="41" formatCode="_-* #,##0\ _F_t_-;\-* #,##0\ _F_t_-;_-* &quot;-&quot;\ _F_t_-;_-@_-"/>
    <numFmt numFmtId="43" formatCode="_-* #,##0.00\ _F_t_-;\-* #,##0.00\ _F_t_-;_-* &quot;-&quot;??\ _F_t_-;_-@_-"/>
    <numFmt numFmtId="164" formatCode="_-* #,##0.0\ _F_t_-;\-* #,##0.0\ _F_t_-;_-* &quot;-&quot;??\ _F_t_-;_-@_-"/>
    <numFmt numFmtId="165" formatCode="_-* #,##0\ _F_t_-;\-* #,##0\ _F_t_-;_-* &quot;-&quot;??\ _F_t_-;_-@_-"/>
    <numFmt numFmtId="166" formatCode="0.0"/>
    <numFmt numFmtId="167" formatCode="#,##0.0"/>
  </numFmts>
  <fonts count="25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b/>
      <sz val="14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1"/>
      <color indexed="8"/>
      <name val="Arial CE"/>
      <charset val="238"/>
    </font>
    <font>
      <b/>
      <sz val="8"/>
      <name val="Arial CE"/>
      <charset val="238"/>
    </font>
    <font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12"/>
      <color theme="1"/>
      <name val="Arial CE"/>
      <charset val="238"/>
    </font>
    <font>
      <b/>
      <sz val="10"/>
      <color theme="1"/>
      <name val="Arial CE"/>
      <charset val="238"/>
    </font>
    <font>
      <b/>
      <sz val="12"/>
      <color theme="1"/>
      <name val="Arial CE"/>
      <charset val="238"/>
    </font>
    <font>
      <sz val="10"/>
      <color theme="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335">
    <xf numFmtId="0" fontId="0" fillId="0" borderId="0" xfId="0"/>
    <xf numFmtId="165" fontId="2" fillId="0" borderId="0" xfId="1" applyNumberFormat="1" applyFont="1"/>
    <xf numFmtId="165" fontId="2" fillId="0" borderId="0" xfId="1" applyNumberFormat="1" applyFont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0" xfId="1" applyNumberFormat="1" applyFont="1"/>
    <xf numFmtId="165" fontId="2" fillId="0" borderId="4" xfId="1" applyNumberFormat="1" applyFont="1" applyBorder="1"/>
    <xf numFmtId="165" fontId="2" fillId="0" borderId="3" xfId="1" applyNumberFormat="1" applyFont="1" applyBorder="1" applyAlignment="1">
      <alignment horizontal="center"/>
    </xf>
    <xf numFmtId="165" fontId="0" fillId="0" borderId="0" xfId="0" applyNumberFormat="1"/>
    <xf numFmtId="165" fontId="3" fillId="3" borderId="1" xfId="1" applyNumberFormat="1" applyFont="1" applyFill="1" applyBorder="1"/>
    <xf numFmtId="0" fontId="2" fillId="0" borderId="0" xfId="0" applyFont="1"/>
    <xf numFmtId="165" fontId="2" fillId="0" borderId="0" xfId="1" applyNumberFormat="1" applyFont="1" applyAlignment="1">
      <alignment vertical="top"/>
    </xf>
    <xf numFmtId="165" fontId="2" fillId="0" borderId="0" xfId="1" applyNumberFormat="1" applyFont="1" applyAlignment="1">
      <alignment horizontal="center" vertical="top"/>
    </xf>
    <xf numFmtId="0" fontId="2" fillId="0" borderId="0" xfId="0" applyFont="1" applyAlignment="1">
      <alignment vertical="top" wrapText="1"/>
    </xf>
    <xf numFmtId="165" fontId="2" fillId="0" borderId="18" xfId="1" applyNumberFormat="1" applyFont="1" applyBorder="1" applyAlignment="1">
      <alignment horizontal="center"/>
    </xf>
    <xf numFmtId="0" fontId="7" fillId="0" borderId="0" xfId="0" applyFont="1"/>
    <xf numFmtId="0" fontId="2" fillId="0" borderId="0" xfId="4" applyFont="1"/>
    <xf numFmtId="0" fontId="2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4" applyFont="1" applyAlignment="1">
      <alignment horizontal="right"/>
    </xf>
    <xf numFmtId="0" fontId="2" fillId="0" borderId="3" xfId="4" applyFont="1" applyBorder="1" applyAlignment="1">
      <alignment horizontal="center" vertical="center"/>
    </xf>
    <xf numFmtId="0" fontId="3" fillId="0" borderId="9" xfId="4" applyFont="1" applyBorder="1" applyAlignment="1">
      <alignment horizontal="left" vertical="center"/>
    </xf>
    <xf numFmtId="0" fontId="3" fillId="0" borderId="9" xfId="4" applyFont="1" applyBorder="1" applyAlignment="1">
      <alignment horizontal="center" vertical="center"/>
    </xf>
    <xf numFmtId="0" fontId="3" fillId="0" borderId="3" xfId="4" applyFont="1" applyBorder="1" applyAlignment="1">
      <alignment vertical="center"/>
    </xf>
    <xf numFmtId="0" fontId="2" fillId="0" borderId="1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0" fontId="2" fillId="0" borderId="1" xfId="4" applyFont="1" applyBorder="1" applyAlignment="1">
      <alignment vertical="center"/>
    </xf>
    <xf numFmtId="3" fontId="17" fillId="0" borderId="1" xfId="4" applyNumberFormat="1" applyFont="1" applyBorder="1" applyAlignment="1">
      <alignment vertical="center"/>
    </xf>
    <xf numFmtId="3" fontId="18" fillId="0" borderId="1" xfId="4" applyNumberFormat="1" applyFont="1" applyBorder="1" applyAlignment="1">
      <alignment vertical="center"/>
    </xf>
    <xf numFmtId="0" fontId="2" fillId="0" borderId="1" xfId="4" applyFont="1" applyBorder="1" applyAlignment="1">
      <alignment horizontal="right" vertical="center"/>
    </xf>
    <xf numFmtId="0" fontId="2" fillId="0" borderId="11" xfId="4" applyFont="1" applyBorder="1" applyAlignment="1">
      <alignment vertical="center"/>
    </xf>
    <xf numFmtId="0" fontId="3" fillId="0" borderId="1" xfId="4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/>
    </xf>
    <xf numFmtId="0" fontId="2" fillId="0" borderId="0" xfId="4" applyFont="1" applyAlignment="1">
      <alignment vertical="center"/>
    </xf>
    <xf numFmtId="3" fontId="18" fillId="0" borderId="3" xfId="4" applyNumberFormat="1" applyFont="1" applyBorder="1" applyAlignment="1">
      <alignment vertical="center"/>
    </xf>
    <xf numFmtId="0" fontId="2" fillId="0" borderId="11" xfId="4" applyFont="1" applyBorder="1" applyAlignment="1">
      <alignment horizontal="left" vertical="center"/>
    </xf>
    <xf numFmtId="0" fontId="3" fillId="4" borderId="1" xfId="4" applyFont="1" applyFill="1" applyBorder="1" applyAlignment="1">
      <alignment vertical="center"/>
    </xf>
    <xf numFmtId="0" fontId="2" fillId="4" borderId="1" xfId="4" applyFont="1" applyFill="1" applyBorder="1" applyAlignment="1">
      <alignment vertical="center"/>
    </xf>
    <xf numFmtId="3" fontId="17" fillId="4" borderId="1" xfId="4" applyNumberFormat="1" applyFont="1" applyFill="1" applyBorder="1" applyAlignment="1">
      <alignment vertical="center"/>
    </xf>
    <xf numFmtId="0" fontId="3" fillId="0" borderId="1" xfId="4" applyFont="1" applyBorder="1" applyAlignment="1">
      <alignment horizontal="center" vertical="center"/>
    </xf>
    <xf numFmtId="0" fontId="3" fillId="0" borderId="1" xfId="4" applyFont="1" applyBorder="1" applyAlignment="1">
      <alignment vertical="center"/>
    </xf>
    <xf numFmtId="0" fontId="3" fillId="0" borderId="11" xfId="4" applyFont="1" applyBorder="1" applyAlignment="1">
      <alignment vertical="center"/>
    </xf>
    <xf numFmtId="0" fontId="3" fillId="0" borderId="13" xfId="4" applyFont="1" applyBorder="1" applyAlignment="1">
      <alignment vertical="center"/>
    </xf>
    <xf numFmtId="0" fontId="3" fillId="0" borderId="24" xfId="4" applyFont="1" applyBorder="1" applyAlignment="1">
      <alignment vertical="center"/>
    </xf>
    <xf numFmtId="0" fontId="3" fillId="0" borderId="11" xfId="4" applyFont="1" applyBorder="1" applyAlignment="1">
      <alignment horizontal="left" vertical="center"/>
    </xf>
    <xf numFmtId="0" fontId="3" fillId="0" borderId="13" xfId="4" applyFont="1" applyBorder="1" applyAlignment="1">
      <alignment horizontal="left" vertical="center"/>
    </xf>
    <xf numFmtId="0" fontId="2" fillId="0" borderId="13" xfId="4" applyFont="1" applyBorder="1" applyAlignment="1">
      <alignment horizontal="left" vertical="center"/>
    </xf>
    <xf numFmtId="3" fontId="19" fillId="0" borderId="1" xfId="4" applyNumberFormat="1" applyFont="1" applyBorder="1" applyAlignment="1">
      <alignment vertical="center"/>
    </xf>
    <xf numFmtId="0" fontId="16" fillId="0" borderId="0" xfId="4" applyFont="1"/>
    <xf numFmtId="0" fontId="19" fillId="0" borderId="0" xfId="4" applyFont="1" applyAlignment="1">
      <alignment horizontal="center"/>
    </xf>
    <xf numFmtId="0" fontId="19" fillId="0" borderId="3" xfId="4" applyFont="1" applyBorder="1" applyAlignment="1">
      <alignment horizontal="center" vertical="center" wrapText="1"/>
    </xf>
    <xf numFmtId="3" fontId="19" fillId="0" borderId="3" xfId="4" applyNumberFormat="1" applyFont="1" applyBorder="1" applyAlignment="1">
      <alignment vertical="center"/>
    </xf>
    <xf numFmtId="0" fontId="19" fillId="0" borderId="1" xfId="4" applyFont="1" applyBorder="1" applyAlignment="1">
      <alignment horizontal="center" vertical="center" wrapText="1"/>
    </xf>
    <xf numFmtId="0" fontId="20" fillId="0" borderId="0" xfId="0" applyFont="1"/>
    <xf numFmtId="3" fontId="3" fillId="0" borderId="1" xfId="4" applyNumberFormat="1" applyFont="1" applyBorder="1" applyAlignment="1">
      <alignment vertical="center"/>
    </xf>
    <xf numFmtId="3" fontId="3" fillId="4" borderId="1" xfId="4" applyNumberFormat="1" applyFont="1" applyFill="1" applyBorder="1" applyAlignment="1">
      <alignment vertical="center"/>
    </xf>
    <xf numFmtId="3" fontId="3" fillId="0" borderId="3" xfId="4" applyNumberFormat="1" applyFont="1" applyBorder="1" applyAlignment="1">
      <alignment vertical="center"/>
    </xf>
    <xf numFmtId="0" fontId="2" fillId="5" borderId="25" xfId="4" applyFont="1" applyFill="1" applyBorder="1" applyAlignment="1">
      <alignment horizontal="center"/>
    </xf>
    <xf numFmtId="0" fontId="3" fillId="5" borderId="25" xfId="4" applyFont="1" applyFill="1" applyBorder="1" applyAlignment="1">
      <alignment horizontal="center" vertical="center" wrapText="1"/>
    </xf>
    <xf numFmtId="0" fontId="3" fillId="5" borderId="25" xfId="4" applyFont="1" applyFill="1" applyBorder="1" applyAlignment="1">
      <alignment horizontal="center" vertical="center"/>
    </xf>
    <xf numFmtId="0" fontId="3" fillId="5" borderId="26" xfId="4" applyFont="1" applyFill="1" applyBorder="1" applyAlignment="1">
      <alignment horizontal="center" vertical="center"/>
    </xf>
    <xf numFmtId="0" fontId="3" fillId="5" borderId="27" xfId="4" applyFont="1" applyFill="1" applyBorder="1" applyAlignment="1">
      <alignment horizontal="center" vertic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/>
    <xf numFmtId="165" fontId="3" fillId="5" borderId="9" xfId="1" applyNumberFormat="1" applyFont="1" applyFill="1" applyBorder="1" applyAlignment="1">
      <alignment horizontal="center"/>
    </xf>
    <xf numFmtId="165" fontId="3" fillId="5" borderId="10" xfId="1" applyNumberFormat="1" applyFont="1" applyFill="1" applyBorder="1" applyAlignment="1">
      <alignment horizontal="center"/>
    </xf>
    <xf numFmtId="0" fontId="7" fillId="0" borderId="0" xfId="3" applyFont="1" applyAlignment="1">
      <alignment vertical="center"/>
    </xf>
    <xf numFmtId="0" fontId="5" fillId="0" borderId="0" xfId="3"/>
    <xf numFmtId="0" fontId="5" fillId="0" borderId="0" xfId="3" applyAlignment="1">
      <alignment vertical="center"/>
    </xf>
    <xf numFmtId="165" fontId="9" fillId="0" borderId="0" xfId="2" applyNumberFormat="1" applyFont="1" applyBorder="1" applyAlignment="1">
      <alignment horizontal="right" vertical="center"/>
    </xf>
    <xf numFmtId="165" fontId="6" fillId="0" borderId="0" xfId="2" applyNumberFormat="1" applyFont="1" applyBorder="1" applyAlignment="1">
      <alignment horizontal="right" vertical="center"/>
    </xf>
    <xf numFmtId="0" fontId="0" fillId="0" borderId="0" xfId="3" applyFont="1" applyAlignment="1">
      <alignment vertical="center"/>
    </xf>
    <xf numFmtId="0" fontId="10" fillId="0" borderId="0" xfId="3" applyFont="1" applyBorder="1" applyAlignment="1">
      <alignment horizontal="center" vertical="center" wrapText="1"/>
    </xf>
    <xf numFmtId="0" fontId="7" fillId="0" borderId="25" xfId="3" applyFont="1" applyBorder="1"/>
    <xf numFmtId="0" fontId="12" fillId="0" borderId="25" xfId="3" applyFont="1" applyBorder="1" applyAlignment="1">
      <alignment horizontal="center" wrapText="1"/>
    </xf>
    <xf numFmtId="0" fontId="12" fillId="0" borderId="26" xfId="3" applyFont="1" applyBorder="1" applyAlignment="1">
      <alignment horizontal="center" wrapText="1"/>
    </xf>
    <xf numFmtId="0" fontId="12" fillId="0" borderId="27" xfId="3" applyFont="1" applyBorder="1" applyAlignment="1">
      <alignment horizontal="center" wrapText="1"/>
    </xf>
    <xf numFmtId="0" fontId="13" fillId="4" borderId="28" xfId="3" applyFont="1" applyFill="1" applyBorder="1" applyAlignment="1">
      <alignment horizontal="center" vertical="center" wrapText="1"/>
    </xf>
    <xf numFmtId="0" fontId="15" fillId="0" borderId="0" xfId="3" applyFont="1"/>
    <xf numFmtId="0" fontId="13" fillId="4" borderId="23" xfId="3" applyFont="1" applyFill="1" applyBorder="1" applyAlignment="1">
      <alignment horizontal="center" vertical="center" wrapText="1"/>
    </xf>
    <xf numFmtId="0" fontId="13" fillId="4" borderId="30" xfId="3" applyFont="1" applyFill="1" applyBorder="1" applyAlignment="1">
      <alignment horizontal="center" vertical="center" wrapText="1"/>
    </xf>
    <xf numFmtId="0" fontId="13" fillId="4" borderId="31" xfId="3" applyFont="1" applyFill="1" applyBorder="1" applyAlignment="1">
      <alignment horizontal="center" vertical="center" wrapText="1"/>
    </xf>
    <xf numFmtId="0" fontId="11" fillId="0" borderId="32" xfId="3" applyFont="1" applyBorder="1" applyAlignment="1">
      <alignment horizontal="center" vertical="center"/>
    </xf>
    <xf numFmtId="0" fontId="7" fillId="0" borderId="33" xfId="3" applyFont="1" applyBorder="1" applyAlignment="1">
      <alignment vertical="center" wrapText="1"/>
    </xf>
    <xf numFmtId="3" fontId="21" fillId="0" borderId="34" xfId="2" applyNumberFormat="1" applyFont="1" applyBorder="1" applyAlignment="1">
      <alignment vertical="center"/>
    </xf>
    <xf numFmtId="3" fontId="21" fillId="0" borderId="3" xfId="3" applyNumberFormat="1" applyFont="1" applyBorder="1" applyAlignment="1">
      <alignment vertical="center"/>
    </xf>
    <xf numFmtId="3" fontId="7" fillId="0" borderId="2" xfId="3" applyNumberFormat="1" applyFont="1" applyBorder="1" applyAlignment="1">
      <alignment vertical="center"/>
    </xf>
    <xf numFmtId="3" fontId="21" fillId="0" borderId="9" xfId="2" applyNumberFormat="1" applyFont="1" applyBorder="1" applyAlignment="1">
      <alignment horizontal="right" vertical="center"/>
    </xf>
    <xf numFmtId="3" fontId="21" fillId="6" borderId="35" xfId="2" applyNumberFormat="1" applyFont="1" applyFill="1" applyBorder="1" applyAlignment="1">
      <alignment horizontal="right" vertical="center"/>
    </xf>
    <xf numFmtId="3" fontId="7" fillId="6" borderId="33" xfId="2" applyNumberFormat="1" applyFont="1" applyFill="1" applyBorder="1" applyAlignment="1">
      <alignment horizontal="right" vertical="center"/>
    </xf>
    <xf numFmtId="3" fontId="7" fillId="0" borderId="28" xfId="2" applyNumberFormat="1" applyFont="1" applyBorder="1" applyAlignment="1">
      <alignment horizontal="right" vertical="center"/>
    </xf>
    <xf numFmtId="3" fontId="7" fillId="0" borderId="29" xfId="2" applyNumberFormat="1" applyFont="1" applyBorder="1" applyAlignment="1">
      <alignment horizontal="right" vertical="center"/>
    </xf>
    <xf numFmtId="3" fontId="21" fillId="0" borderId="17" xfId="2" applyNumberFormat="1" applyFont="1" applyBorder="1" applyAlignment="1">
      <alignment horizontal="right" vertical="center"/>
    </xf>
    <xf numFmtId="1" fontId="21" fillId="0" borderId="33" xfId="2" applyNumberFormat="1" applyFont="1" applyBorder="1" applyAlignment="1">
      <alignment horizontal="center" vertical="center"/>
    </xf>
    <xf numFmtId="0" fontId="22" fillId="0" borderId="0" xfId="3" applyFont="1"/>
    <xf numFmtId="0" fontId="6" fillId="0" borderId="0" xfId="3" applyFont="1"/>
    <xf numFmtId="0" fontId="7" fillId="0" borderId="36" xfId="3" applyFont="1" applyBorder="1" applyAlignment="1">
      <alignment vertical="center" wrapText="1"/>
    </xf>
    <xf numFmtId="3" fontId="21" fillId="0" borderId="24" xfId="2" applyNumberFormat="1" applyFont="1" applyBorder="1" applyAlignment="1">
      <alignment vertical="center"/>
    </xf>
    <xf numFmtId="3" fontId="21" fillId="0" borderId="1" xfId="3" applyNumberFormat="1" applyFont="1" applyBorder="1" applyAlignment="1">
      <alignment vertical="center"/>
    </xf>
    <xf numFmtId="3" fontId="7" fillId="0" borderId="1" xfId="3" applyNumberFormat="1" applyFont="1" applyBorder="1" applyAlignment="1">
      <alignment vertical="center"/>
    </xf>
    <xf numFmtId="3" fontId="21" fillId="0" borderId="11" xfId="2" applyNumberFormat="1" applyFont="1" applyBorder="1" applyAlignment="1">
      <alignment horizontal="right" vertical="center"/>
    </xf>
    <xf numFmtId="3" fontId="7" fillId="6" borderId="36" xfId="2" applyNumberFormat="1" applyFont="1" applyFill="1" applyBorder="1" applyAlignment="1">
      <alignment horizontal="right" vertical="center"/>
    </xf>
    <xf numFmtId="3" fontId="7" fillId="0" borderId="18" xfId="2" applyNumberFormat="1" applyFont="1" applyBorder="1" applyAlignment="1">
      <alignment horizontal="right" vertical="center"/>
    </xf>
    <xf numFmtId="3" fontId="7" fillId="0" borderId="1" xfId="2" applyNumberFormat="1" applyFont="1" applyBorder="1" applyAlignment="1">
      <alignment horizontal="right" vertical="center"/>
    </xf>
    <xf numFmtId="3" fontId="21" fillId="0" borderId="19" xfId="2" applyNumberFormat="1" applyFont="1" applyBorder="1" applyAlignment="1">
      <alignment horizontal="right" vertical="center"/>
    </xf>
    <xf numFmtId="166" fontId="21" fillId="0" borderId="36" xfId="2" applyNumberFormat="1" applyFont="1" applyBorder="1" applyAlignment="1">
      <alignment horizontal="center" vertical="center"/>
    </xf>
    <xf numFmtId="0" fontId="7" fillId="0" borderId="37" xfId="3" applyFont="1" applyBorder="1" applyAlignment="1">
      <alignment vertical="center" wrapText="1"/>
    </xf>
    <xf numFmtId="3" fontId="21" fillId="0" borderId="38" xfId="2" applyNumberFormat="1" applyFont="1" applyBorder="1" applyAlignment="1">
      <alignment vertical="center"/>
    </xf>
    <xf numFmtId="3" fontId="21" fillId="0" borderId="8" xfId="2" applyNumberFormat="1" applyFont="1" applyBorder="1" applyAlignment="1">
      <alignment horizontal="right" vertical="center"/>
    </xf>
    <xf numFmtId="3" fontId="21" fillId="6" borderId="37" xfId="2" applyNumberFormat="1" applyFont="1" applyFill="1" applyBorder="1" applyAlignment="1">
      <alignment horizontal="right" vertical="center"/>
    </xf>
    <xf numFmtId="3" fontId="21" fillId="0" borderId="20" xfId="2" applyNumberFormat="1" applyFont="1" applyBorder="1" applyAlignment="1">
      <alignment horizontal="right" vertical="center"/>
    </xf>
    <xf numFmtId="3" fontId="21" fillId="0" borderId="6" xfId="2" applyNumberFormat="1" applyFont="1" applyBorder="1" applyAlignment="1">
      <alignment horizontal="right" vertical="center"/>
    </xf>
    <xf numFmtId="3" fontId="21" fillId="0" borderId="21" xfId="2" applyNumberFormat="1" applyFont="1" applyBorder="1" applyAlignment="1">
      <alignment horizontal="right" vertical="center"/>
    </xf>
    <xf numFmtId="167" fontId="21" fillId="0" borderId="37" xfId="2" applyNumberFormat="1" applyFont="1" applyBorder="1" applyAlignment="1">
      <alignment horizontal="center" vertical="center"/>
    </xf>
    <xf numFmtId="0" fontId="11" fillId="0" borderId="15" xfId="3" applyFont="1" applyBorder="1" applyAlignment="1">
      <alignment horizontal="center" vertical="center"/>
    </xf>
    <xf numFmtId="0" fontId="12" fillId="4" borderId="25" xfId="3" applyFont="1" applyFill="1" applyBorder="1" applyAlignment="1">
      <alignment vertical="center" wrapText="1"/>
    </xf>
    <xf numFmtId="3" fontId="23" fillId="4" borderId="39" xfId="3" applyNumberFormat="1" applyFont="1" applyFill="1" applyBorder="1" applyAlignment="1">
      <alignment vertical="center" wrapText="1"/>
    </xf>
    <xf numFmtId="3" fontId="23" fillId="4" borderId="14" xfId="3" applyNumberFormat="1" applyFont="1" applyFill="1" applyBorder="1" applyAlignment="1">
      <alignment vertical="center" wrapText="1"/>
    </xf>
    <xf numFmtId="3" fontId="23" fillId="4" borderId="15" xfId="2" applyNumberFormat="1" applyFont="1" applyFill="1" applyBorder="1" applyAlignment="1">
      <alignment horizontal="right" vertical="center"/>
    </xf>
    <xf numFmtId="3" fontId="23" fillId="4" borderId="25" xfId="2" applyNumberFormat="1" applyFont="1" applyFill="1" applyBorder="1" applyAlignment="1">
      <alignment horizontal="right" vertical="center"/>
    </xf>
    <xf numFmtId="3" fontId="23" fillId="4" borderId="16" xfId="2" applyNumberFormat="1" applyFont="1" applyFill="1" applyBorder="1" applyAlignment="1">
      <alignment horizontal="right" vertical="center"/>
    </xf>
    <xf numFmtId="167" fontId="23" fillId="4" borderId="25" xfId="2" applyNumberFormat="1" applyFont="1" applyFill="1" applyBorder="1" applyAlignment="1">
      <alignment horizontal="right" vertical="center"/>
    </xf>
    <xf numFmtId="0" fontId="11" fillId="0" borderId="0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vertical="center" wrapText="1"/>
    </xf>
    <xf numFmtId="3" fontId="23" fillId="0" borderId="0" xfId="3" applyNumberFormat="1" applyFont="1" applyFill="1" applyBorder="1" applyAlignment="1">
      <alignment vertical="center" wrapText="1"/>
    </xf>
    <xf numFmtId="3" fontId="23" fillId="0" borderId="0" xfId="2" applyNumberFormat="1" applyFont="1" applyFill="1" applyBorder="1" applyAlignment="1">
      <alignment horizontal="right" vertical="center"/>
    </xf>
    <xf numFmtId="167" fontId="23" fillId="0" borderId="0" xfId="2" applyNumberFormat="1" applyFont="1" applyFill="1" applyBorder="1" applyAlignment="1">
      <alignment horizontal="right" vertical="center"/>
    </xf>
    <xf numFmtId="0" fontId="22" fillId="0" borderId="0" xfId="3" applyFont="1" applyFill="1"/>
    <xf numFmtId="0" fontId="6" fillId="0" borderId="0" xfId="3" applyFont="1" applyFill="1"/>
    <xf numFmtId="0" fontId="5" fillId="0" borderId="0" xfId="3" applyFill="1"/>
    <xf numFmtId="165" fontId="3" fillId="5" borderId="9" xfId="1" applyNumberFormat="1" applyFont="1" applyFill="1" applyBorder="1" applyAlignment="1">
      <alignment horizontal="center"/>
    </xf>
    <xf numFmtId="165" fontId="3" fillId="5" borderId="4" xfId="1" applyNumberFormat="1" applyFont="1" applyFill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165" fontId="2" fillId="0" borderId="9" xfId="1" applyNumberFormat="1" applyFont="1" applyBorder="1"/>
    <xf numFmtId="165" fontId="2" fillId="0" borderId="11" xfId="1" applyNumberFormat="1" applyFont="1" applyBorder="1"/>
    <xf numFmtId="165" fontId="3" fillId="5" borderId="11" xfId="1" applyNumberFormat="1" applyFont="1" applyFill="1" applyBorder="1"/>
    <xf numFmtId="165" fontId="3" fillId="5" borderId="40" xfId="1" applyNumberFormat="1" applyFont="1" applyFill="1" applyBorder="1" applyAlignment="1">
      <alignment horizontal="center"/>
    </xf>
    <xf numFmtId="165" fontId="3" fillId="5" borderId="41" xfId="1" applyNumberFormat="1" applyFont="1" applyFill="1" applyBorder="1" applyAlignment="1">
      <alignment horizontal="center"/>
    </xf>
    <xf numFmtId="165" fontId="2" fillId="0" borderId="41" xfId="1" applyNumberFormat="1" applyFont="1" applyBorder="1"/>
    <xf numFmtId="165" fontId="2" fillId="0" borderId="36" xfId="1" applyNumberFormat="1" applyFont="1" applyBorder="1"/>
    <xf numFmtId="165" fontId="3" fillId="5" borderId="36" xfId="1" applyNumberFormat="1" applyFont="1" applyFill="1" applyBorder="1"/>
    <xf numFmtId="165" fontId="3" fillId="2" borderId="42" xfId="1" applyNumberFormat="1" applyFont="1" applyFill="1" applyBorder="1"/>
    <xf numFmtId="165" fontId="2" fillId="0" borderId="13" xfId="1" applyNumberFormat="1" applyFont="1" applyBorder="1"/>
    <xf numFmtId="165" fontId="3" fillId="5" borderId="13" xfId="1" applyNumberFormat="1" applyFont="1" applyFill="1" applyBorder="1"/>
    <xf numFmtId="165" fontId="3" fillId="5" borderId="46" xfId="1" applyNumberFormat="1" applyFont="1" applyFill="1" applyBorder="1" applyAlignment="1">
      <alignment horizontal="center"/>
    </xf>
    <xf numFmtId="165" fontId="3" fillId="5" borderId="47" xfId="1" applyNumberFormat="1" applyFont="1" applyFill="1" applyBorder="1" applyAlignment="1">
      <alignment horizontal="center"/>
    </xf>
    <xf numFmtId="165" fontId="3" fillId="5" borderId="48" xfId="1" applyNumberFormat="1" applyFont="1" applyFill="1" applyBorder="1" applyAlignment="1">
      <alignment horizontal="center"/>
    </xf>
    <xf numFmtId="165" fontId="3" fillId="5" borderId="45" xfId="1" applyNumberFormat="1" applyFont="1" applyFill="1" applyBorder="1" applyAlignment="1">
      <alignment horizontal="center"/>
    </xf>
    <xf numFmtId="165" fontId="2" fillId="0" borderId="45" xfId="1" applyNumberFormat="1" applyFont="1" applyBorder="1" applyAlignment="1">
      <alignment horizontal="center"/>
    </xf>
    <xf numFmtId="165" fontId="2" fillId="5" borderId="18" xfId="1" applyNumberFormat="1" applyFont="1" applyFill="1" applyBorder="1" applyAlignment="1">
      <alignment horizontal="center"/>
    </xf>
    <xf numFmtId="165" fontId="2" fillId="2" borderId="23" xfId="1" applyNumberFormat="1" applyFont="1" applyFill="1" applyBorder="1" applyAlignment="1">
      <alignment horizontal="center"/>
    </xf>
    <xf numFmtId="165" fontId="3" fillId="2" borderId="49" xfId="1" applyNumberFormat="1" applyFont="1" applyFill="1" applyBorder="1"/>
    <xf numFmtId="165" fontId="3" fillId="5" borderId="50" xfId="1" applyNumberFormat="1" applyFont="1" applyFill="1" applyBorder="1" applyAlignment="1">
      <alignment horizontal="center"/>
    </xf>
    <xf numFmtId="165" fontId="3" fillId="5" borderId="0" xfId="1" applyNumberFormat="1" applyFont="1" applyFill="1" applyBorder="1" applyAlignment="1">
      <alignment horizontal="center"/>
    </xf>
    <xf numFmtId="165" fontId="3" fillId="0" borderId="11" xfId="1" applyNumberFormat="1" applyFont="1" applyBorder="1"/>
    <xf numFmtId="165" fontId="3" fillId="0" borderId="36" xfId="1" applyNumberFormat="1" applyFont="1" applyBorder="1"/>
    <xf numFmtId="165" fontId="3" fillId="0" borderId="13" xfId="1" applyNumberFormat="1" applyFont="1" applyBorder="1"/>
    <xf numFmtId="165" fontId="3" fillId="2" borderId="51" xfId="1" applyNumberFormat="1" applyFont="1" applyFill="1" applyBorder="1"/>
    <xf numFmtId="165" fontId="16" fillId="0" borderId="36" xfId="1" applyNumberFormat="1" applyFont="1" applyBorder="1"/>
    <xf numFmtId="165" fontId="3" fillId="5" borderId="52" xfId="1" applyNumberFormat="1" applyFont="1" applyFill="1" applyBorder="1" applyAlignment="1">
      <alignment horizontal="center"/>
    </xf>
    <xf numFmtId="165" fontId="3" fillId="5" borderId="53" xfId="1" applyNumberFormat="1" applyFont="1" applyFill="1" applyBorder="1" applyAlignment="1">
      <alignment horizontal="center"/>
    </xf>
    <xf numFmtId="165" fontId="3" fillId="5" borderId="54" xfId="1" applyNumberFormat="1" applyFont="1" applyFill="1" applyBorder="1" applyAlignment="1">
      <alignment horizontal="center"/>
    </xf>
    <xf numFmtId="165" fontId="3" fillId="5" borderId="55" xfId="1" applyNumberFormat="1" applyFont="1" applyFill="1" applyBorder="1" applyAlignment="1">
      <alignment horizontal="center"/>
    </xf>
    <xf numFmtId="165" fontId="16" fillId="0" borderId="13" xfId="1" applyNumberFormat="1" applyFont="1" applyBorder="1"/>
    <xf numFmtId="0" fontId="5" fillId="0" borderId="0" xfId="3" applyBorder="1"/>
    <xf numFmtId="164" fontId="0" fillId="0" borderId="0" xfId="2" applyNumberFormat="1" applyFont="1" applyBorder="1" applyAlignment="1">
      <alignment vertical="center"/>
    </xf>
    <xf numFmtId="165" fontId="6" fillId="0" borderId="0" xfId="2" applyNumberFormat="1" applyFont="1" applyBorder="1" applyAlignment="1">
      <alignment vertical="center"/>
    </xf>
    <xf numFmtId="0" fontId="6" fillId="0" borderId="0" xfId="3" applyFont="1" applyBorder="1"/>
    <xf numFmtId="0" fontId="6" fillId="0" borderId="0" xfId="3" applyFont="1" applyFill="1" applyBorder="1"/>
    <xf numFmtId="165" fontId="6" fillId="0" borderId="0" xfId="2" applyNumberFormat="1" applyFont="1" applyFill="1" applyBorder="1" applyAlignment="1">
      <alignment horizontal="center"/>
    </xf>
    <xf numFmtId="0" fontId="0" fillId="0" borderId="0" xfId="3" applyFont="1" applyFill="1" applyBorder="1"/>
    <xf numFmtId="165" fontId="0" fillId="0" borderId="0" xfId="2" applyNumberFormat="1" applyFont="1" applyFill="1" applyBorder="1"/>
    <xf numFmtId="165" fontId="0" fillId="0" borderId="0" xfId="3" applyNumberFormat="1" applyFont="1" applyFill="1" applyBorder="1"/>
    <xf numFmtId="165" fontId="0" fillId="0" borderId="0" xfId="2" applyNumberFormat="1" applyFont="1" applyFill="1" applyBorder="1" applyAlignment="1">
      <alignment horizontal="center"/>
    </xf>
    <xf numFmtId="165" fontId="6" fillId="0" borderId="0" xfId="3" applyNumberFormat="1" applyFont="1" applyFill="1" applyBorder="1" applyAlignment="1">
      <alignment horizontal="center"/>
    </xf>
    <xf numFmtId="9" fontId="5" fillId="0" borderId="0" xfId="5" applyFont="1" applyFill="1" applyBorder="1"/>
    <xf numFmtId="0" fontId="5" fillId="0" borderId="0" xfId="3" applyFill="1" applyBorder="1"/>
    <xf numFmtId="165" fontId="5" fillId="0" borderId="0" xfId="3" applyNumberFormat="1" applyBorder="1"/>
    <xf numFmtId="0" fontId="13" fillId="0" borderId="0" xfId="3" applyFont="1" applyFill="1" applyBorder="1" applyAlignment="1">
      <alignment horizontal="center"/>
    </xf>
    <xf numFmtId="165" fontId="5" fillId="0" borderId="0" xfId="3" applyNumberFormat="1" applyFill="1" applyBorder="1"/>
    <xf numFmtId="9" fontId="5" fillId="0" borderId="0" xfId="3" applyNumberFormat="1" applyFill="1" applyBorder="1"/>
    <xf numFmtId="165" fontId="13" fillId="0" borderId="0" xfId="2" applyNumberFormat="1" applyFont="1" applyFill="1" applyBorder="1" applyAlignment="1">
      <alignment horizontal="center"/>
    </xf>
    <xf numFmtId="165" fontId="6" fillId="0" borderId="0" xfId="3" applyNumberFormat="1" applyFont="1" applyFill="1" applyBorder="1"/>
    <xf numFmtId="165" fontId="6" fillId="0" borderId="0" xfId="2" applyNumberFormat="1" applyFont="1" applyFill="1" applyBorder="1"/>
    <xf numFmtId="165" fontId="0" fillId="0" borderId="0" xfId="2" applyNumberFormat="1" applyFont="1" applyFill="1" applyBorder="1" applyAlignment="1">
      <alignment horizontal="left" vertical="center"/>
    </xf>
    <xf numFmtId="165" fontId="5" fillId="0" borderId="0" xfId="2" applyNumberFormat="1" applyFont="1" applyFill="1" applyBorder="1" applyAlignment="1">
      <alignment horizontal="center" vertical="center"/>
    </xf>
    <xf numFmtId="165" fontId="5" fillId="0" borderId="0" xfId="2" applyNumberFormat="1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8" fillId="0" borderId="0" xfId="3" applyFont="1" applyFill="1" applyBorder="1"/>
    <xf numFmtId="0" fontId="0" fillId="0" borderId="0" xfId="3" applyFont="1" applyFill="1" applyBorder="1" applyAlignment="1">
      <alignment vertical="center"/>
    </xf>
    <xf numFmtId="165" fontId="5" fillId="0" borderId="0" xfId="3" applyNumberFormat="1" applyFont="1" applyFill="1" applyBorder="1" applyAlignment="1">
      <alignment vertical="center"/>
    </xf>
    <xf numFmtId="43" fontId="5" fillId="0" borderId="0" xfId="2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vertical="center"/>
    </xf>
    <xf numFmtId="0" fontId="5" fillId="0" borderId="0" xfId="3" applyFont="1" applyFill="1" applyBorder="1"/>
    <xf numFmtId="0" fontId="0" fillId="0" borderId="0" xfId="3" applyFont="1" applyBorder="1"/>
    <xf numFmtId="165" fontId="5" fillId="0" borderId="0" xfId="2" applyNumberFormat="1" applyFont="1" applyBorder="1" applyAlignment="1">
      <alignment vertical="center"/>
    </xf>
    <xf numFmtId="165" fontId="5" fillId="0" borderId="0" xfId="3" applyNumberFormat="1" applyFont="1" applyFill="1" applyBorder="1"/>
    <xf numFmtId="165" fontId="5" fillId="0" borderId="0" xfId="2" applyNumberFormat="1" applyFont="1" applyFill="1" applyBorder="1"/>
    <xf numFmtId="165" fontId="5" fillId="0" borderId="0" xfId="3" applyNumberFormat="1" applyFont="1" applyFill="1" applyBorder="1" applyAlignment="1">
      <alignment horizontal="center" vertical="center"/>
    </xf>
    <xf numFmtId="165" fontId="5" fillId="0" borderId="0" xfId="3" applyNumberFormat="1" applyFill="1" applyBorder="1" applyAlignment="1">
      <alignment vertical="center"/>
    </xf>
    <xf numFmtId="165" fontId="6" fillId="0" borderId="0" xfId="3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horizontal="center" vertical="center"/>
    </xf>
    <xf numFmtId="165" fontId="13" fillId="0" borderId="0" xfId="3" applyNumberFormat="1" applyFont="1" applyFill="1" applyBorder="1" applyAlignment="1">
      <alignment vertical="center"/>
    </xf>
    <xf numFmtId="165" fontId="2" fillId="0" borderId="0" xfId="1" applyNumberFormat="1" applyFont="1" applyAlignment="1">
      <alignment horizontal="left"/>
    </xf>
    <xf numFmtId="165" fontId="3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2" fillId="0" borderId="0" xfId="1" applyNumberFormat="1" applyFont="1" applyAlignment="1">
      <alignment horizontal="left"/>
    </xf>
    <xf numFmtId="165" fontId="3" fillId="5" borderId="52" xfId="1" applyNumberFormat="1" applyFont="1" applyFill="1" applyBorder="1" applyAlignment="1">
      <alignment horizontal="center"/>
    </xf>
    <xf numFmtId="165" fontId="3" fillId="5" borderId="50" xfId="1" applyNumberFormat="1" applyFont="1" applyFill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5" borderId="9" xfId="1" applyNumberFormat="1" applyFont="1" applyFill="1" applyBorder="1" applyAlignment="1">
      <alignment horizontal="center"/>
    </xf>
    <xf numFmtId="165" fontId="3" fillId="5" borderId="4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2" fillId="0" borderId="4" xfId="1" applyNumberFormat="1" applyFont="1" applyBorder="1" applyAlignment="1">
      <alignment horizontal="left"/>
    </xf>
    <xf numFmtId="165" fontId="2" fillId="0" borderId="1" xfId="1" applyNumberFormat="1" applyFont="1" applyFill="1" applyBorder="1"/>
    <xf numFmtId="41" fontId="0" fillId="0" borderId="0" xfId="0" applyNumberFormat="1"/>
    <xf numFmtId="0" fontId="3" fillId="0" borderId="3" xfId="4" applyFont="1" applyFill="1" applyBorder="1" applyAlignment="1">
      <alignment vertical="center"/>
    </xf>
    <xf numFmtId="3" fontId="17" fillId="0" borderId="1" xfId="4" applyNumberFormat="1" applyFont="1" applyFill="1" applyBorder="1" applyAlignment="1">
      <alignment vertical="center"/>
    </xf>
    <xf numFmtId="3" fontId="0" fillId="0" borderId="0" xfId="0" applyNumberFormat="1"/>
    <xf numFmtId="3" fontId="20" fillId="0" borderId="0" xfId="0" applyNumberFormat="1" applyFont="1"/>
    <xf numFmtId="165" fontId="3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right"/>
    </xf>
    <xf numFmtId="0" fontId="13" fillId="4" borderId="61" xfId="3" applyFont="1" applyFill="1" applyBorder="1" applyAlignment="1">
      <alignment horizontal="center" vertical="center"/>
    </xf>
    <xf numFmtId="165" fontId="17" fillId="5" borderId="40" xfId="1" applyNumberFormat="1" applyFont="1" applyFill="1" applyBorder="1" applyAlignment="1">
      <alignment horizontal="center"/>
    </xf>
    <xf numFmtId="165" fontId="17" fillId="5" borderId="41" xfId="1" applyNumberFormat="1" applyFont="1" applyFill="1" applyBorder="1" applyAlignment="1">
      <alignment horizontal="center"/>
    </xf>
    <xf numFmtId="165" fontId="17" fillId="5" borderId="43" xfId="1" applyNumberFormat="1" applyFont="1" applyFill="1" applyBorder="1" applyAlignment="1"/>
    <xf numFmtId="165" fontId="17" fillId="5" borderId="1" xfId="1" applyNumberFormat="1" applyFont="1" applyFill="1" applyBorder="1" applyAlignment="1"/>
    <xf numFmtId="165" fontId="17" fillId="5" borderId="44" xfId="1" applyNumberFormat="1" applyFont="1" applyFill="1" applyBorder="1" applyAlignment="1">
      <alignment horizontal="center"/>
    </xf>
    <xf numFmtId="165" fontId="17" fillId="5" borderId="18" xfId="1" applyNumberFormat="1" applyFont="1" applyFill="1" applyBorder="1" applyAlignment="1">
      <alignment horizontal="center"/>
    </xf>
    <xf numFmtId="165" fontId="17" fillId="5" borderId="1" xfId="1" applyNumberFormat="1" applyFont="1" applyFill="1" applyBorder="1" applyAlignment="1">
      <alignment horizontal="center"/>
    </xf>
    <xf numFmtId="165" fontId="17" fillId="5" borderId="19" xfId="1" applyNumberFormat="1" applyFont="1" applyFill="1" applyBorder="1" applyAlignment="1">
      <alignment horizontal="center"/>
    </xf>
    <xf numFmtId="165" fontId="18" fillId="0" borderId="41" xfId="1" applyNumberFormat="1" applyFont="1" applyBorder="1"/>
    <xf numFmtId="165" fontId="18" fillId="0" borderId="45" xfId="1" applyNumberFormat="1" applyFont="1" applyBorder="1"/>
    <xf numFmtId="165" fontId="18" fillId="0" borderId="3" xfId="1" applyNumberFormat="1" applyFont="1" applyBorder="1"/>
    <xf numFmtId="165" fontId="18" fillId="5" borderId="22" xfId="1" applyNumberFormat="1" applyFont="1" applyFill="1" applyBorder="1"/>
    <xf numFmtId="165" fontId="18" fillId="0" borderId="36" xfId="1" applyNumberFormat="1" applyFont="1" applyBorder="1"/>
    <xf numFmtId="165" fontId="18" fillId="0" borderId="18" xfId="1" applyNumberFormat="1" applyFont="1" applyBorder="1"/>
    <xf numFmtId="165" fontId="18" fillId="0" borderId="1" xfId="1" applyNumberFormat="1" applyFont="1" applyBorder="1"/>
    <xf numFmtId="165" fontId="17" fillId="5" borderId="36" xfId="1" applyNumberFormat="1" applyFont="1" applyFill="1" applyBorder="1"/>
    <xf numFmtId="165" fontId="17" fillId="5" borderId="18" xfId="1" applyNumberFormat="1" applyFont="1" applyFill="1" applyBorder="1"/>
    <xf numFmtId="165" fontId="17" fillId="5" borderId="1" xfId="1" applyNumberFormat="1" applyFont="1" applyFill="1" applyBorder="1"/>
    <xf numFmtId="165" fontId="17" fillId="5" borderId="19" xfId="1" applyNumberFormat="1" applyFont="1" applyFill="1" applyBorder="1"/>
    <xf numFmtId="165" fontId="18" fillId="5" borderId="19" xfId="1" applyNumberFormat="1" applyFont="1" applyFill="1" applyBorder="1"/>
    <xf numFmtId="165" fontId="17" fillId="2" borderId="42" xfId="1" applyNumberFormat="1" applyFont="1" applyFill="1" applyBorder="1"/>
    <xf numFmtId="165" fontId="17" fillId="2" borderId="23" xfId="1" applyNumberFormat="1" applyFont="1" applyFill="1" applyBorder="1"/>
    <xf numFmtId="165" fontId="17" fillId="2" borderId="30" xfId="1" applyNumberFormat="1" applyFont="1" applyFill="1" applyBorder="1"/>
    <xf numFmtId="165" fontId="17" fillId="2" borderId="31" xfId="1" applyNumberFormat="1" applyFont="1" applyFill="1" applyBorder="1"/>
    <xf numFmtId="165" fontId="18" fillId="0" borderId="0" xfId="1" applyNumberFormat="1" applyFont="1"/>
    <xf numFmtId="165" fontId="17" fillId="5" borderId="33" xfId="1" applyNumberFormat="1" applyFont="1" applyFill="1" applyBorder="1" applyAlignment="1">
      <alignment horizontal="center"/>
    </xf>
    <xf numFmtId="165" fontId="17" fillId="5" borderId="13" xfId="1" applyNumberFormat="1" applyFont="1" applyFill="1" applyBorder="1" applyAlignment="1">
      <alignment horizontal="center"/>
    </xf>
    <xf numFmtId="165" fontId="17" fillId="5" borderId="11" xfId="1" applyNumberFormat="1" applyFont="1" applyFill="1" applyBorder="1" applyAlignment="1">
      <alignment horizontal="center"/>
    </xf>
    <xf numFmtId="165" fontId="17" fillId="5" borderId="53" xfId="1" applyNumberFormat="1" applyFont="1" applyFill="1" applyBorder="1" applyAlignment="1">
      <alignment horizontal="center"/>
    </xf>
    <xf numFmtId="165" fontId="17" fillId="5" borderId="4" xfId="1" applyNumberFormat="1" applyFont="1" applyFill="1" applyBorder="1" applyAlignment="1">
      <alignment horizontal="center"/>
    </xf>
    <xf numFmtId="165" fontId="18" fillId="0" borderId="13" xfId="1" applyNumberFormat="1" applyFont="1" applyBorder="1"/>
    <xf numFmtId="165" fontId="18" fillId="5" borderId="11" xfId="1" applyNumberFormat="1" applyFont="1" applyFill="1" applyBorder="1"/>
    <xf numFmtId="165" fontId="17" fillId="5" borderId="13" xfId="1" applyNumberFormat="1" applyFont="1" applyFill="1" applyBorder="1"/>
    <xf numFmtId="165" fontId="17" fillId="5" borderId="11" xfId="1" applyNumberFormat="1" applyFont="1" applyFill="1" applyBorder="1"/>
    <xf numFmtId="165" fontId="17" fillId="2" borderId="51" xfId="1" applyNumberFormat="1" applyFont="1" applyFill="1" applyBorder="1"/>
    <xf numFmtId="165" fontId="17" fillId="2" borderId="49" xfId="1" applyNumberFormat="1" applyFont="1" applyFill="1" applyBorder="1"/>
    <xf numFmtId="0" fontId="24" fillId="0" borderId="0" xfId="0" applyFont="1"/>
    <xf numFmtId="165" fontId="3" fillId="5" borderId="8" xfId="1" applyNumberFormat="1" applyFont="1" applyFill="1" applyBorder="1" applyAlignment="1">
      <alignment horizontal="center"/>
    </xf>
    <xf numFmtId="165" fontId="3" fillId="5" borderId="6" xfId="1" applyNumberFormat="1" applyFont="1" applyFill="1" applyBorder="1"/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165" fontId="3" fillId="0" borderId="3" xfId="1" applyNumberFormat="1" applyFont="1" applyBorder="1"/>
    <xf numFmtId="165" fontId="3" fillId="3" borderId="1" xfId="1" applyNumberFormat="1" applyFont="1" applyFill="1" applyBorder="1" applyAlignment="1">
      <alignment horizontal="center"/>
    </xf>
    <xf numFmtId="165" fontId="2" fillId="3" borderId="1" xfId="1" applyNumberFormat="1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41" fontId="0" fillId="0" borderId="0" xfId="0" applyNumberFormat="1" applyFont="1"/>
    <xf numFmtId="41" fontId="3" fillId="4" borderId="2" xfId="4" applyNumberFormat="1" applyFont="1" applyFill="1" applyBorder="1" applyAlignment="1">
      <alignment vertical="center"/>
    </xf>
    <xf numFmtId="41" fontId="6" fillId="0" borderId="0" xfId="0" applyNumberFormat="1" applyFont="1"/>
    <xf numFmtId="165" fontId="2" fillId="0" borderId="0" xfId="1" applyNumberFormat="1" applyFont="1" applyAlignment="1">
      <alignment horizontal="left"/>
    </xf>
    <xf numFmtId="165" fontId="3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right"/>
    </xf>
    <xf numFmtId="165" fontId="3" fillId="0" borderId="9" xfId="1" applyNumberFormat="1" applyFont="1" applyBorder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165" fontId="3" fillId="0" borderId="12" xfId="1" applyNumberFormat="1" applyFont="1" applyBorder="1" applyAlignment="1">
      <alignment horizontal="center"/>
    </xf>
    <xf numFmtId="165" fontId="3" fillId="0" borderId="11" xfId="1" applyNumberFormat="1" applyFont="1" applyBorder="1" applyAlignment="1">
      <alignment horizontal="center"/>
    </xf>
    <xf numFmtId="165" fontId="3" fillId="0" borderId="13" xfId="1" applyNumberFormat="1" applyFont="1" applyBorder="1" applyAlignment="1">
      <alignment horizontal="center"/>
    </xf>
    <xf numFmtId="165" fontId="3" fillId="0" borderId="24" xfId="1" applyNumberFormat="1" applyFont="1" applyBorder="1" applyAlignment="1">
      <alignment horizontal="center"/>
    </xf>
    <xf numFmtId="165" fontId="3" fillId="5" borderId="56" xfId="1" applyNumberFormat="1" applyFont="1" applyFill="1" applyBorder="1" applyAlignment="1">
      <alignment horizontal="center"/>
    </xf>
    <xf numFmtId="165" fontId="3" fillId="5" borderId="50" xfId="1" applyNumberFormat="1" applyFont="1" applyFill="1" applyBorder="1" applyAlignment="1">
      <alignment horizontal="center"/>
    </xf>
    <xf numFmtId="165" fontId="17" fillId="5" borderId="52" xfId="1" applyNumberFormat="1" applyFont="1" applyFill="1" applyBorder="1" applyAlignment="1">
      <alignment horizontal="center"/>
    </xf>
    <xf numFmtId="165" fontId="17" fillId="5" borderId="57" xfId="1" applyNumberFormat="1" applyFont="1" applyFill="1" applyBorder="1" applyAlignment="1">
      <alignment horizontal="center"/>
    </xf>
    <xf numFmtId="165" fontId="17" fillId="5" borderId="50" xfId="1" applyNumberFormat="1" applyFont="1" applyFill="1" applyBorder="1" applyAlignment="1">
      <alignment horizontal="center"/>
    </xf>
    <xf numFmtId="165" fontId="17" fillId="5" borderId="58" xfId="1" applyNumberFormat="1" applyFont="1" applyFill="1" applyBorder="1" applyAlignment="1">
      <alignment horizontal="center"/>
    </xf>
    <xf numFmtId="165" fontId="17" fillId="5" borderId="35" xfId="1" applyNumberFormat="1" applyFont="1" applyFill="1" applyBorder="1" applyAlignment="1">
      <alignment horizontal="center"/>
    </xf>
    <xf numFmtId="165" fontId="2" fillId="0" borderId="8" xfId="1" applyNumberFormat="1" applyFont="1" applyBorder="1" applyAlignment="1">
      <alignment horizontal="right"/>
    </xf>
    <xf numFmtId="165" fontId="2" fillId="0" borderId="5" xfId="1" applyNumberFormat="1" applyFont="1" applyBorder="1" applyAlignment="1">
      <alignment horizontal="right"/>
    </xf>
    <xf numFmtId="165" fontId="2" fillId="0" borderId="7" xfId="1" applyNumberFormat="1" applyFont="1" applyBorder="1" applyAlignment="1">
      <alignment horizontal="right"/>
    </xf>
    <xf numFmtId="165" fontId="3" fillId="5" borderId="15" xfId="1" applyNumberFormat="1" applyFont="1" applyFill="1" applyBorder="1" applyAlignment="1">
      <alignment horizontal="center"/>
    </xf>
    <xf numFmtId="165" fontId="3" fillId="5" borderId="26" xfId="1" applyNumberFormat="1" applyFont="1" applyFill="1" applyBorder="1" applyAlignment="1">
      <alignment horizontal="center"/>
    </xf>
    <xf numFmtId="165" fontId="3" fillId="5" borderId="27" xfId="1" applyNumberFormat="1" applyFont="1" applyFill="1" applyBorder="1" applyAlignment="1">
      <alignment horizontal="center"/>
    </xf>
    <xf numFmtId="165" fontId="17" fillId="5" borderId="15" xfId="1" applyNumberFormat="1" applyFont="1" applyFill="1" applyBorder="1" applyAlignment="1">
      <alignment horizontal="center"/>
    </xf>
    <xf numFmtId="165" fontId="17" fillId="5" borderId="26" xfId="1" applyNumberFormat="1" applyFont="1" applyFill="1" applyBorder="1" applyAlignment="1">
      <alignment horizontal="center"/>
    </xf>
    <xf numFmtId="165" fontId="17" fillId="5" borderId="27" xfId="1" applyNumberFormat="1" applyFont="1" applyFill="1" applyBorder="1" applyAlignment="1">
      <alignment horizontal="center"/>
    </xf>
    <xf numFmtId="165" fontId="18" fillId="0" borderId="0" xfId="1" applyNumberFormat="1" applyFont="1" applyAlignment="1">
      <alignment horizontal="left"/>
    </xf>
    <xf numFmtId="0" fontId="10" fillId="0" borderId="0" xfId="3" applyFont="1" applyBorder="1" applyAlignment="1">
      <alignment horizontal="center" vertical="center" wrapText="1"/>
    </xf>
    <xf numFmtId="0" fontId="11" fillId="0" borderId="59" xfId="3" applyFont="1" applyBorder="1" applyAlignment="1">
      <alignment horizontal="right" wrapText="1"/>
    </xf>
    <xf numFmtId="0" fontId="11" fillId="0" borderId="54" xfId="3" applyFont="1" applyBorder="1" applyAlignment="1">
      <alignment horizontal="center" vertical="center"/>
    </xf>
    <xf numFmtId="0" fontId="11" fillId="0" borderId="55" xfId="3" applyFont="1" applyBorder="1" applyAlignment="1">
      <alignment horizontal="center" vertical="center"/>
    </xf>
    <xf numFmtId="0" fontId="12" fillId="4" borderId="35" xfId="3" applyFont="1" applyFill="1" applyBorder="1" applyAlignment="1">
      <alignment horizontal="center" vertical="center"/>
    </xf>
    <xf numFmtId="0" fontId="12" fillId="4" borderId="60" xfId="3" applyFont="1" applyFill="1" applyBorder="1" applyAlignment="1">
      <alignment horizontal="center" vertical="center"/>
    </xf>
    <xf numFmtId="0" fontId="13" fillId="4" borderId="29" xfId="3" applyFont="1" applyFill="1" applyBorder="1" applyAlignment="1">
      <alignment horizontal="center" vertical="center" wrapText="1"/>
    </xf>
    <xf numFmtId="0" fontId="13" fillId="4" borderId="17" xfId="3" applyFont="1" applyFill="1" applyBorder="1" applyAlignment="1">
      <alignment horizontal="center" vertical="center" wrapText="1"/>
    </xf>
    <xf numFmtId="0" fontId="13" fillId="4" borderId="57" xfId="3" applyFont="1" applyFill="1" applyBorder="1" applyAlignment="1">
      <alignment horizontal="center" vertical="center" wrapText="1"/>
    </xf>
    <xf numFmtId="0" fontId="13" fillId="4" borderId="51" xfId="3" applyFont="1" applyFill="1" applyBorder="1" applyAlignment="1">
      <alignment horizontal="center" vertical="center" wrapText="1"/>
    </xf>
    <xf numFmtId="0" fontId="14" fillId="4" borderId="33" xfId="3" applyFont="1" applyFill="1" applyBorder="1" applyAlignment="1">
      <alignment horizontal="center" vertical="center" wrapText="1"/>
    </xf>
    <xf numFmtId="0" fontId="14" fillId="4" borderId="42" xfId="3" applyFont="1" applyFill="1" applyBorder="1" applyAlignment="1">
      <alignment horizontal="center" vertical="center" wrapText="1"/>
    </xf>
    <xf numFmtId="0" fontId="13" fillId="4" borderId="35" xfId="3" applyFont="1" applyFill="1" applyBorder="1" applyAlignment="1">
      <alignment horizontal="center" vertical="center"/>
    </xf>
    <xf numFmtId="0" fontId="13" fillId="4" borderId="57" xfId="3" applyFont="1" applyFill="1" applyBorder="1" applyAlignment="1">
      <alignment horizontal="center" vertical="center"/>
    </xf>
    <xf numFmtId="0" fontId="13" fillId="4" borderId="61" xfId="3" applyFont="1" applyFill="1" applyBorder="1" applyAlignment="1">
      <alignment horizontal="center" vertical="center"/>
    </xf>
    <xf numFmtId="0" fontId="13" fillId="4" borderId="61" xfId="3" applyFont="1" applyFill="1" applyBorder="1" applyAlignment="1">
      <alignment horizontal="center" vertical="center" textRotation="90" wrapText="1"/>
    </xf>
    <xf numFmtId="0" fontId="13" fillId="4" borderId="62" xfId="3" applyFont="1" applyFill="1" applyBorder="1" applyAlignment="1">
      <alignment horizontal="center" vertical="center" textRotation="90" wrapText="1"/>
    </xf>
    <xf numFmtId="165" fontId="2" fillId="0" borderId="0" xfId="1" applyNumberFormat="1" applyFont="1" applyAlignment="1">
      <alignment horizontal="center"/>
    </xf>
    <xf numFmtId="165" fontId="2" fillId="0" borderId="4" xfId="1" applyNumberFormat="1" applyFont="1" applyBorder="1" applyAlignment="1">
      <alignment horizontal="right"/>
    </xf>
    <xf numFmtId="0" fontId="3" fillId="4" borderId="11" xfId="4" applyFont="1" applyFill="1" applyBorder="1" applyAlignment="1">
      <alignment horizontal="left" vertical="center"/>
    </xf>
    <xf numFmtId="0" fontId="3" fillId="4" borderId="13" xfId="4" applyFont="1" applyFill="1" applyBorder="1" applyAlignment="1">
      <alignment horizontal="left" vertical="center"/>
    </xf>
    <xf numFmtId="0" fontId="3" fillId="4" borderId="24" xfId="4" applyFont="1" applyFill="1" applyBorder="1" applyAlignment="1">
      <alignment horizontal="left" vertical="center"/>
    </xf>
    <xf numFmtId="0" fontId="2" fillId="0" borderId="0" xfId="4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4" applyFont="1" applyAlignment="1">
      <alignment horizontal="center"/>
    </xf>
    <xf numFmtId="0" fontId="3" fillId="5" borderId="15" xfId="4" applyFont="1" applyFill="1" applyBorder="1" applyAlignment="1">
      <alignment horizontal="left" vertical="center"/>
    </xf>
    <xf numFmtId="0" fontId="3" fillId="5" borderId="27" xfId="4" applyFont="1" applyFill="1" applyBorder="1" applyAlignment="1">
      <alignment horizontal="left" vertical="center"/>
    </xf>
    <xf numFmtId="0" fontId="3" fillId="0" borderId="11" xfId="4" applyFont="1" applyBorder="1" applyAlignment="1">
      <alignment horizontal="left" vertical="center"/>
    </xf>
    <xf numFmtId="0" fontId="3" fillId="0" borderId="13" xfId="4" applyFont="1" applyBorder="1" applyAlignment="1">
      <alignment horizontal="left" vertical="center"/>
    </xf>
    <xf numFmtId="0" fontId="3" fillId="0" borderId="24" xfId="4" applyFont="1" applyBorder="1" applyAlignment="1">
      <alignment horizontal="left" vertical="center"/>
    </xf>
  </cellXfs>
  <cellStyles count="6">
    <cellStyle name="Ezres" xfId="1" builtinId="3"/>
    <cellStyle name="Ezres 2" xfId="2"/>
    <cellStyle name="Normál" xfId="0" builtinId="0"/>
    <cellStyle name="Normál 2 3" xfId="3"/>
    <cellStyle name="Normál_3.eredeti  2009. évi költségvetés 2-13 mell." xfId="4"/>
    <cellStyle name="Százalék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7"/>
  <sheetViews>
    <sheetView tabSelected="1" view="pageBreakPreview" zoomScale="60" zoomScaleNormal="112" workbookViewId="0">
      <selection activeCell="F29" sqref="F29"/>
    </sheetView>
  </sheetViews>
  <sheetFormatPr defaultRowHeight="12.75"/>
  <cols>
    <col min="1" max="1" width="6.28515625" bestFit="1" customWidth="1"/>
    <col min="2" max="2" width="48" customWidth="1"/>
    <col min="3" max="3" width="17.42578125" customWidth="1"/>
    <col min="4" max="4" width="18.85546875" customWidth="1"/>
    <col min="5" max="5" width="50.7109375" customWidth="1"/>
    <col min="6" max="6" width="14.85546875" bestFit="1" customWidth="1"/>
    <col min="7" max="7" width="19" bestFit="1" customWidth="1"/>
  </cols>
  <sheetData>
    <row r="1" spans="1:7">
      <c r="A1" s="281" t="s">
        <v>201</v>
      </c>
      <c r="B1" s="281"/>
      <c r="C1" s="281"/>
      <c r="D1" s="281"/>
      <c r="E1" s="281"/>
      <c r="F1" s="281"/>
      <c r="G1" s="208"/>
    </row>
    <row r="2" spans="1:7">
      <c r="A2" s="2"/>
      <c r="B2" s="2"/>
      <c r="C2" s="2"/>
      <c r="D2" s="211"/>
      <c r="E2" s="2"/>
      <c r="F2" s="2"/>
      <c r="G2" s="211"/>
    </row>
    <row r="3" spans="1:7">
      <c r="A3" s="280" t="s">
        <v>84</v>
      </c>
      <c r="B3" s="280"/>
      <c r="C3" s="280"/>
      <c r="D3" s="280"/>
      <c r="E3" s="280"/>
      <c r="F3" s="280"/>
      <c r="G3" s="209"/>
    </row>
    <row r="4" spans="1:7">
      <c r="A4" s="280" t="s">
        <v>120</v>
      </c>
      <c r="B4" s="280"/>
      <c r="C4" s="280"/>
      <c r="D4" s="280"/>
      <c r="E4" s="280"/>
      <c r="F4" s="280"/>
      <c r="G4" s="209"/>
    </row>
    <row r="5" spans="1:7">
      <c r="A5" s="1"/>
      <c r="B5" s="1"/>
      <c r="C5" s="1"/>
      <c r="D5" s="1"/>
      <c r="E5" s="1"/>
      <c r="F5" s="1"/>
      <c r="G5" s="1"/>
    </row>
    <row r="6" spans="1:7">
      <c r="A6" s="281" t="s">
        <v>121</v>
      </c>
      <c r="B6" s="281"/>
      <c r="C6" s="281"/>
      <c r="D6" s="281"/>
      <c r="E6" s="281"/>
      <c r="F6" s="281"/>
      <c r="G6" s="210"/>
    </row>
    <row r="7" spans="1:7">
      <c r="A7" s="66"/>
      <c r="B7" s="66" t="s">
        <v>88</v>
      </c>
      <c r="C7" s="66" t="s">
        <v>89</v>
      </c>
      <c r="D7" s="212" t="s">
        <v>90</v>
      </c>
      <c r="E7" s="66" t="s">
        <v>195</v>
      </c>
      <c r="F7" s="66" t="s">
        <v>196</v>
      </c>
      <c r="G7" s="212" t="s">
        <v>152</v>
      </c>
    </row>
    <row r="8" spans="1:7">
      <c r="A8" s="69">
        <v>1</v>
      </c>
      <c r="B8" s="64" t="s">
        <v>64</v>
      </c>
      <c r="C8" s="212" t="s">
        <v>187</v>
      </c>
      <c r="D8" s="212" t="s">
        <v>188</v>
      </c>
      <c r="E8" s="64" t="s">
        <v>65</v>
      </c>
      <c r="F8" s="212" t="s">
        <v>187</v>
      </c>
      <c r="G8" s="212" t="s">
        <v>188</v>
      </c>
    </row>
    <row r="9" spans="1:7">
      <c r="A9" s="68"/>
      <c r="B9" s="65" t="s">
        <v>0</v>
      </c>
      <c r="C9" s="212" t="s">
        <v>69</v>
      </c>
      <c r="D9" s="212" t="s">
        <v>69</v>
      </c>
      <c r="E9" s="65"/>
      <c r="F9" s="212" t="s">
        <v>69</v>
      </c>
      <c r="G9" s="212" t="s">
        <v>69</v>
      </c>
    </row>
    <row r="10" spans="1:7">
      <c r="A10" s="4">
        <v>2</v>
      </c>
      <c r="B10" s="4" t="s">
        <v>95</v>
      </c>
      <c r="C10" s="221">
        <v>326852171</v>
      </c>
      <c r="D10" s="221">
        <f>'Műk.és felhalm.mérleg'!H61</f>
        <v>335908455</v>
      </c>
      <c r="E10" s="4" t="s">
        <v>17</v>
      </c>
      <c r="F10" s="4">
        <v>239569232</v>
      </c>
      <c r="G10" s="4">
        <f>'Műk.és felhalm.mérleg'!S59</f>
        <v>248262518</v>
      </c>
    </row>
    <row r="11" spans="1:7">
      <c r="A11" s="4">
        <v>3</v>
      </c>
      <c r="B11" s="4" t="s">
        <v>148</v>
      </c>
      <c r="C11" s="221">
        <v>29995684</v>
      </c>
      <c r="D11" s="221">
        <f>'Műk.és felhalm.mérleg'!H64</f>
        <v>29995684</v>
      </c>
      <c r="E11" s="4" t="s">
        <v>97</v>
      </c>
      <c r="F11" s="4">
        <v>40706662</v>
      </c>
      <c r="G11" s="4">
        <f>'Műk.és felhalm.mérleg'!S60</f>
        <v>42328972</v>
      </c>
    </row>
    <row r="12" spans="1:7">
      <c r="A12" s="4">
        <v>4</v>
      </c>
      <c r="B12" s="4" t="s">
        <v>74</v>
      </c>
      <c r="C12" s="221">
        <v>79606106</v>
      </c>
      <c r="D12" s="221">
        <f>'Műk.és felhalm.mérleg'!H59</f>
        <v>79606106</v>
      </c>
      <c r="E12" s="4" t="s">
        <v>73</v>
      </c>
      <c r="F12" s="4">
        <v>235856881</v>
      </c>
      <c r="G12" s="4">
        <f>'Műk.és felhalm.mérleg'!S61</f>
        <v>243535106</v>
      </c>
    </row>
    <row r="13" spans="1:7">
      <c r="A13" s="4">
        <v>5</v>
      </c>
      <c r="B13" s="4" t="s">
        <v>25</v>
      </c>
      <c r="C13" s="221">
        <v>59494771</v>
      </c>
      <c r="D13" s="221">
        <f>'Műk.és felhalm.mérleg'!H60</f>
        <v>72723072</v>
      </c>
      <c r="E13" s="4" t="s">
        <v>98</v>
      </c>
      <c r="F13" s="4">
        <v>17188494</v>
      </c>
      <c r="G13" s="4">
        <f>'Műk.és felhalm.mérleg'!S62</f>
        <v>354096488</v>
      </c>
    </row>
    <row r="14" spans="1:7">
      <c r="A14" s="4">
        <v>6</v>
      </c>
      <c r="B14" s="4" t="s">
        <v>75</v>
      </c>
      <c r="C14" s="221">
        <v>93466548</v>
      </c>
      <c r="D14" s="221">
        <f>'Műk.és felhalm.mérleg'!H63+'Műk.és felhalm.mérleg'!H62</f>
        <v>101743476</v>
      </c>
      <c r="E14" s="4" t="s">
        <v>119</v>
      </c>
      <c r="F14" s="4">
        <v>116255110</v>
      </c>
      <c r="G14" s="4">
        <f>'Műk.és felhalm.mérleg'!S63</f>
        <v>17188494</v>
      </c>
    </row>
    <row r="15" spans="1:7">
      <c r="A15" s="4">
        <v>7</v>
      </c>
      <c r="B15" s="4" t="s">
        <v>96</v>
      </c>
      <c r="C15" s="221">
        <v>255185580</v>
      </c>
      <c r="D15" s="221">
        <f>'Műk.és felhalm.mérleg'!H73</f>
        <v>498563725</v>
      </c>
      <c r="E15" s="4" t="s">
        <v>100</v>
      </c>
      <c r="F15" s="4">
        <v>184993063</v>
      </c>
      <c r="G15" s="4">
        <f>'Műk.és felhalm.mérleg'!S64</f>
        <v>190765188</v>
      </c>
    </row>
    <row r="16" spans="1:7">
      <c r="A16" s="4">
        <v>8</v>
      </c>
      <c r="B16" s="67" t="s">
        <v>25</v>
      </c>
      <c r="C16" s="67">
        <f>SUM(C10:C15)</f>
        <v>844600860</v>
      </c>
      <c r="D16" s="67">
        <f>SUM(D10:D15)</f>
        <v>1118540518</v>
      </c>
      <c r="E16" s="67" t="s">
        <v>92</v>
      </c>
      <c r="F16" s="67">
        <f>SUM(F10:F15)</f>
        <v>834569442</v>
      </c>
      <c r="G16" s="67">
        <f>SUM(G10:G15)</f>
        <v>1096176766</v>
      </c>
    </row>
    <row r="17" spans="1:7">
      <c r="A17" s="4">
        <v>9</v>
      </c>
      <c r="B17" s="4" t="s">
        <v>57</v>
      </c>
      <c r="C17" s="4">
        <v>2540000</v>
      </c>
      <c r="D17" s="4">
        <f>'Műk.és felhalm.mérleg'!H82</f>
        <v>2540000</v>
      </c>
      <c r="E17" s="4" t="s">
        <v>55</v>
      </c>
      <c r="F17" s="4">
        <v>160253713</v>
      </c>
      <c r="G17" s="4">
        <f>'Műk.és felhalm.mérleg'!S82</f>
        <v>105678693</v>
      </c>
    </row>
    <row r="18" spans="1:7">
      <c r="A18" s="4">
        <v>10</v>
      </c>
      <c r="B18" s="4" t="s">
        <v>101</v>
      </c>
      <c r="C18" s="4">
        <v>30982151</v>
      </c>
      <c r="D18" s="4">
        <f>'Műk.és felhalm.mérleg'!H84</f>
        <v>45210249</v>
      </c>
      <c r="E18" s="4" t="s">
        <v>56</v>
      </c>
      <c r="F18" s="4">
        <v>3856418</v>
      </c>
      <c r="G18" s="4">
        <f>'Műk.és felhalm.mérleg'!S83</f>
        <v>73534536</v>
      </c>
    </row>
    <row r="19" spans="1:7">
      <c r="A19" s="4">
        <v>11</v>
      </c>
      <c r="B19" s="4" t="s">
        <v>61</v>
      </c>
      <c r="C19" s="4">
        <v>0</v>
      </c>
      <c r="D19" s="4">
        <v>0</v>
      </c>
      <c r="E19" s="4" t="s">
        <v>102</v>
      </c>
      <c r="F19" s="4">
        <v>0</v>
      </c>
      <c r="G19" s="4">
        <v>0</v>
      </c>
    </row>
    <row r="20" spans="1:7">
      <c r="A20" s="4">
        <v>12</v>
      </c>
      <c r="B20" s="4" t="s">
        <v>96</v>
      </c>
      <c r="C20" s="4">
        <v>120556562</v>
      </c>
      <c r="D20" s="4">
        <f>'Műk.és felhalm.mérleg'!H97</f>
        <v>145305055</v>
      </c>
      <c r="E20" s="4" t="s">
        <v>100</v>
      </c>
      <c r="F20" s="4">
        <v>0</v>
      </c>
      <c r="G20" s="4">
        <f>'Műk.és felhalm.mérleg'!S97</f>
        <v>36205827</v>
      </c>
    </row>
    <row r="21" spans="1:7">
      <c r="A21" s="4">
        <v>13</v>
      </c>
      <c r="B21" s="67" t="s">
        <v>57</v>
      </c>
      <c r="C21" s="67">
        <f>SUM(C17:C20)</f>
        <v>154078713</v>
      </c>
      <c r="D21" s="67">
        <f>SUM(D17:D20)</f>
        <v>193055304</v>
      </c>
      <c r="E21" s="67" t="s">
        <v>93</v>
      </c>
      <c r="F21" s="67">
        <f>SUM(F17:F20)</f>
        <v>164110131</v>
      </c>
      <c r="G21" s="67">
        <f>SUM(G17:G20)</f>
        <v>215419056</v>
      </c>
    </row>
    <row r="22" spans="1:7">
      <c r="A22" s="4">
        <v>14</v>
      </c>
      <c r="B22" s="9" t="s">
        <v>76</v>
      </c>
      <c r="C22" s="9">
        <f>+C21+C16</f>
        <v>998679573</v>
      </c>
      <c r="D22" s="9">
        <f>+D21+D16</f>
        <v>1311595822</v>
      </c>
      <c r="E22" s="9" t="s">
        <v>94</v>
      </c>
      <c r="F22" s="9">
        <f>+F21+F16</f>
        <v>998679573</v>
      </c>
      <c r="G22" s="9">
        <f>+G21+G16</f>
        <v>1311595822</v>
      </c>
    </row>
    <row r="23" spans="1:7">
      <c r="A23" s="1"/>
      <c r="B23" s="1"/>
      <c r="C23" s="1"/>
      <c r="D23" s="1">
        <f>D22-'Műk.és felhalm.mérleg'!H101</f>
        <v>0</v>
      </c>
      <c r="E23" s="1"/>
      <c r="F23" s="1" t="s">
        <v>0</v>
      </c>
      <c r="G23" s="1">
        <f>G22-'Műk.és felhalm.mérleg'!S101</f>
        <v>0</v>
      </c>
    </row>
    <row r="24" spans="1:7">
      <c r="F24" s="8"/>
      <c r="G24" s="8"/>
    </row>
    <row r="27" spans="1:7" ht="15">
      <c r="B27" s="15"/>
    </row>
  </sheetData>
  <mergeCells count="4">
    <mergeCell ref="A1:F1"/>
    <mergeCell ref="A3:F3"/>
    <mergeCell ref="A4:F4"/>
    <mergeCell ref="A6:F6"/>
  </mergeCells>
  <pageMargins left="0.18" right="0.17" top="1" bottom="1" header="0.5" footer="0.5"/>
  <pageSetup paperSize="8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T113"/>
  <sheetViews>
    <sheetView view="pageBreakPreview" zoomScale="60" zoomScaleNormal="89" workbookViewId="0">
      <selection activeCell="A3" sqref="A3:S3"/>
    </sheetView>
  </sheetViews>
  <sheetFormatPr defaultRowHeight="12.75"/>
  <cols>
    <col min="1" max="1" width="6.5703125" customWidth="1"/>
    <col min="2" max="2" width="40.140625" customWidth="1"/>
    <col min="3" max="8" width="16" customWidth="1"/>
    <col min="9" max="9" width="32" customWidth="1"/>
    <col min="10" max="19" width="16" style="266" customWidth="1"/>
    <col min="20" max="20" width="15.7109375" bestFit="1" customWidth="1"/>
  </cols>
  <sheetData>
    <row r="1" spans="1:19">
      <c r="A1" s="281" t="s">
        <v>202</v>
      </c>
      <c r="B1" s="281"/>
      <c r="C1" s="281"/>
      <c r="D1" s="281"/>
      <c r="E1" s="281"/>
      <c r="F1" s="279"/>
      <c r="G1" s="279"/>
      <c r="H1" s="279"/>
      <c r="I1" s="279"/>
      <c r="J1" s="279"/>
      <c r="K1" s="304"/>
      <c r="L1" s="304"/>
      <c r="M1" s="304"/>
      <c r="N1" s="304"/>
      <c r="O1" s="304"/>
      <c r="P1" s="304"/>
      <c r="Q1" s="304"/>
      <c r="R1" s="304"/>
      <c r="S1" s="304"/>
    </row>
    <row r="2" spans="1:19">
      <c r="A2" s="280" t="s">
        <v>84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</row>
    <row r="3" spans="1:19">
      <c r="A3" s="280" t="s">
        <v>189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</row>
    <row r="4" spans="1:19" ht="13.5" thickBot="1">
      <c r="A4" s="295" t="s">
        <v>82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7"/>
    </row>
    <row r="5" spans="1:19" ht="13.5" thickBot="1">
      <c r="A5" s="148" t="s">
        <v>12</v>
      </c>
      <c r="B5" s="156" t="s">
        <v>63</v>
      </c>
      <c r="C5" s="298" t="s">
        <v>13</v>
      </c>
      <c r="D5" s="299"/>
      <c r="E5" s="299"/>
      <c r="F5" s="299"/>
      <c r="G5" s="299"/>
      <c r="H5" s="300"/>
      <c r="I5" s="156" t="s">
        <v>63</v>
      </c>
      <c r="J5" s="301" t="s">
        <v>14</v>
      </c>
      <c r="K5" s="302"/>
      <c r="L5" s="302"/>
      <c r="M5" s="302"/>
      <c r="N5" s="302"/>
      <c r="O5" s="302"/>
      <c r="P5" s="302"/>
      <c r="Q5" s="302"/>
      <c r="R5" s="302"/>
      <c r="S5" s="303"/>
    </row>
    <row r="6" spans="1:19">
      <c r="A6" s="150" t="s">
        <v>15</v>
      </c>
      <c r="B6" s="157" t="s">
        <v>64</v>
      </c>
      <c r="C6" s="140" t="s">
        <v>171</v>
      </c>
      <c r="D6" s="157" t="s">
        <v>85</v>
      </c>
      <c r="E6" s="140" t="s">
        <v>173</v>
      </c>
      <c r="F6" s="157" t="s">
        <v>175</v>
      </c>
      <c r="G6" s="140" t="s">
        <v>177</v>
      </c>
      <c r="H6" s="140" t="s">
        <v>16</v>
      </c>
      <c r="I6" s="157" t="s">
        <v>65</v>
      </c>
      <c r="J6" s="230" t="s">
        <v>171</v>
      </c>
      <c r="K6" s="230" t="s">
        <v>85</v>
      </c>
      <c r="L6" s="290" t="s">
        <v>184</v>
      </c>
      <c r="M6" s="292"/>
      <c r="N6" s="293"/>
      <c r="O6" s="230" t="s">
        <v>179</v>
      </c>
      <c r="P6" s="290" t="s">
        <v>181</v>
      </c>
      <c r="Q6" s="292"/>
      <c r="R6" s="293"/>
      <c r="S6" s="230" t="s">
        <v>16</v>
      </c>
    </row>
    <row r="7" spans="1:19">
      <c r="A7" s="151"/>
      <c r="B7" s="135"/>
      <c r="C7" s="141" t="s">
        <v>86</v>
      </c>
      <c r="D7" s="135" t="s">
        <v>172</v>
      </c>
      <c r="E7" s="141" t="s">
        <v>174</v>
      </c>
      <c r="F7" s="135" t="s">
        <v>176</v>
      </c>
      <c r="G7" s="141" t="s">
        <v>178</v>
      </c>
      <c r="H7" s="141"/>
      <c r="I7" s="135"/>
      <c r="J7" s="231" t="s">
        <v>86</v>
      </c>
      <c r="K7" s="231" t="s">
        <v>172</v>
      </c>
      <c r="L7" s="232" t="s">
        <v>182</v>
      </c>
      <c r="M7" s="233" t="s">
        <v>180</v>
      </c>
      <c r="N7" s="234" t="s">
        <v>67</v>
      </c>
      <c r="O7" s="231" t="s">
        <v>176</v>
      </c>
      <c r="P7" s="235" t="s">
        <v>182</v>
      </c>
      <c r="Q7" s="236" t="s">
        <v>183</v>
      </c>
      <c r="R7" s="237" t="s">
        <v>67</v>
      </c>
      <c r="S7" s="231"/>
    </row>
    <row r="8" spans="1:19">
      <c r="A8" s="152" t="s">
        <v>2</v>
      </c>
      <c r="B8" s="137" t="s">
        <v>74</v>
      </c>
      <c r="C8" s="142">
        <v>0</v>
      </c>
      <c r="D8" s="6"/>
      <c r="E8" s="142">
        <v>0</v>
      </c>
      <c r="F8" s="6"/>
      <c r="G8" s="142">
        <v>79606106</v>
      </c>
      <c r="H8" s="142">
        <f>SUM(C8:G8)</f>
        <v>79606106</v>
      </c>
      <c r="I8" s="136" t="s">
        <v>17</v>
      </c>
      <c r="J8" s="238">
        <v>9630681</v>
      </c>
      <c r="K8" s="238">
        <v>6774586</v>
      </c>
      <c r="L8" s="239">
        <v>23025071</v>
      </c>
      <c r="M8" s="240">
        <v>19474981</v>
      </c>
      <c r="N8" s="241">
        <f>L8+M8</f>
        <v>42500052</v>
      </c>
      <c r="O8" s="238">
        <v>96394250</v>
      </c>
      <c r="P8" s="239">
        <v>84269663</v>
      </c>
      <c r="Q8" s="240">
        <v>0</v>
      </c>
      <c r="R8" s="241">
        <f>P8+Q8</f>
        <v>84269663</v>
      </c>
      <c r="S8" s="238">
        <f>J8+K8+N8+O8+R8</f>
        <v>239569232</v>
      </c>
    </row>
    <row r="9" spans="1:19">
      <c r="A9" s="14" t="s">
        <v>3</v>
      </c>
      <c r="B9" s="138" t="s">
        <v>25</v>
      </c>
      <c r="C9" s="143">
        <v>1963000</v>
      </c>
      <c r="D9" s="146">
        <v>503000</v>
      </c>
      <c r="E9" s="143">
        <f>1195000+9551000</f>
        <v>10746000</v>
      </c>
      <c r="F9" s="146">
        <v>6306475</v>
      </c>
      <c r="G9" s="143">
        <v>39976296</v>
      </c>
      <c r="H9" s="143">
        <f t="shared" ref="H9:H14" si="0">SUM(C9:G9)</f>
        <v>59494771</v>
      </c>
      <c r="I9" s="146" t="s">
        <v>18</v>
      </c>
      <c r="J9" s="242">
        <v>1826863</v>
      </c>
      <c r="K9" s="242">
        <v>1321044</v>
      </c>
      <c r="L9" s="243">
        <v>4489889</v>
      </c>
      <c r="M9" s="244">
        <v>3797621</v>
      </c>
      <c r="N9" s="241">
        <f t="shared" ref="N9:N14" si="1">L9+M9</f>
        <v>8287510</v>
      </c>
      <c r="O9" s="242">
        <v>18961691</v>
      </c>
      <c r="P9" s="243">
        <v>10309554</v>
      </c>
      <c r="Q9" s="240">
        <v>0</v>
      </c>
      <c r="R9" s="241">
        <f t="shared" ref="R9:R14" si="2">P9+Q9</f>
        <v>10309554</v>
      </c>
      <c r="S9" s="238">
        <f t="shared" ref="S9:S14" si="3">J9+K9+N9+O9+R9</f>
        <v>40706662</v>
      </c>
    </row>
    <row r="10" spans="1:19">
      <c r="A10" s="14" t="s">
        <v>4</v>
      </c>
      <c r="B10" s="138" t="s">
        <v>59</v>
      </c>
      <c r="C10" s="143">
        <v>0</v>
      </c>
      <c r="D10" s="146">
        <v>0</v>
      </c>
      <c r="E10" s="143">
        <v>0</v>
      </c>
      <c r="F10" s="146">
        <v>0</v>
      </c>
      <c r="G10" s="143">
        <f>311516171+15336000</f>
        <v>326852171</v>
      </c>
      <c r="H10" s="143">
        <f t="shared" si="0"/>
        <v>326852171</v>
      </c>
      <c r="I10" s="146" t="s">
        <v>19</v>
      </c>
      <c r="J10" s="242">
        <f>8717456+400000</f>
        <v>9117456</v>
      </c>
      <c r="K10" s="242">
        <v>3031800</v>
      </c>
      <c r="L10" s="243">
        <v>7090000</v>
      </c>
      <c r="M10" s="244">
        <v>11278000</v>
      </c>
      <c r="N10" s="241">
        <f t="shared" si="1"/>
        <v>18368000</v>
      </c>
      <c r="O10" s="242">
        <v>7168498</v>
      </c>
      <c r="P10" s="243">
        <v>198171127</v>
      </c>
      <c r="Q10" s="240">
        <v>0</v>
      </c>
      <c r="R10" s="241">
        <f t="shared" si="2"/>
        <v>198171127</v>
      </c>
      <c r="S10" s="238">
        <f t="shared" si="3"/>
        <v>235856881</v>
      </c>
    </row>
    <row r="11" spans="1:19">
      <c r="A11" s="14" t="s">
        <v>5</v>
      </c>
      <c r="B11" s="138" t="s">
        <v>27</v>
      </c>
      <c r="C11" s="143"/>
      <c r="D11" s="146"/>
      <c r="E11" s="143">
        <v>0</v>
      </c>
      <c r="F11" s="146"/>
      <c r="G11" s="143">
        <v>0</v>
      </c>
      <c r="H11" s="143">
        <f t="shared" si="0"/>
        <v>0</v>
      </c>
      <c r="I11" s="146" t="s">
        <v>20</v>
      </c>
      <c r="J11" s="242"/>
      <c r="K11" s="242"/>
      <c r="L11" s="243"/>
      <c r="M11" s="244"/>
      <c r="N11" s="241">
        <f t="shared" si="1"/>
        <v>0</v>
      </c>
      <c r="O11" s="242"/>
      <c r="P11" s="243">
        <v>114755110</v>
      </c>
      <c r="Q11" s="240">
        <v>1500000</v>
      </c>
      <c r="R11" s="241">
        <f t="shared" si="2"/>
        <v>116255110</v>
      </c>
      <c r="S11" s="238">
        <f t="shared" si="3"/>
        <v>116255110</v>
      </c>
    </row>
    <row r="12" spans="1:19">
      <c r="A12" s="14" t="s">
        <v>7</v>
      </c>
      <c r="B12" s="138" t="s">
        <v>26</v>
      </c>
      <c r="C12" s="143"/>
      <c r="D12" s="146"/>
      <c r="E12" s="143">
        <v>5263984</v>
      </c>
      <c r="F12" s="146"/>
      <c r="G12" s="143">
        <v>88202564</v>
      </c>
      <c r="H12" s="143">
        <f t="shared" si="0"/>
        <v>93466548</v>
      </c>
      <c r="I12" s="146" t="s">
        <v>71</v>
      </c>
      <c r="J12" s="242"/>
      <c r="K12" s="242"/>
      <c r="L12" s="243"/>
      <c r="M12" s="244"/>
      <c r="N12" s="241">
        <f t="shared" si="1"/>
        <v>0</v>
      </c>
      <c r="O12" s="242"/>
      <c r="P12" s="243">
        <v>17188494</v>
      </c>
      <c r="Q12" s="240">
        <v>0</v>
      </c>
      <c r="R12" s="241">
        <f t="shared" si="2"/>
        <v>17188494</v>
      </c>
      <c r="S12" s="238">
        <f t="shared" si="3"/>
        <v>17188494</v>
      </c>
    </row>
    <row r="13" spans="1:19">
      <c r="A13" s="14" t="s">
        <v>8</v>
      </c>
      <c r="B13" s="138" t="s">
        <v>149</v>
      </c>
      <c r="C13" s="143">
        <v>0</v>
      </c>
      <c r="D13" s="146"/>
      <c r="E13" s="143"/>
      <c r="F13" s="146">
        <v>0</v>
      </c>
      <c r="G13" s="143">
        <v>29995684</v>
      </c>
      <c r="H13" s="143">
        <f t="shared" si="0"/>
        <v>29995684</v>
      </c>
      <c r="I13" s="146" t="s">
        <v>118</v>
      </c>
      <c r="J13" s="242">
        <v>0</v>
      </c>
      <c r="K13" s="242"/>
      <c r="L13" s="243"/>
      <c r="M13" s="244"/>
      <c r="N13" s="241">
        <f t="shared" si="1"/>
        <v>0</v>
      </c>
      <c r="O13" s="242"/>
      <c r="P13" s="243">
        <v>184993063</v>
      </c>
      <c r="Q13" s="240">
        <v>0</v>
      </c>
      <c r="R13" s="241">
        <f t="shared" si="2"/>
        <v>184993063</v>
      </c>
      <c r="S13" s="238">
        <f t="shared" si="3"/>
        <v>184993063</v>
      </c>
    </row>
    <row r="14" spans="1:19">
      <c r="A14" s="14" t="s">
        <v>23</v>
      </c>
      <c r="B14" s="138"/>
      <c r="C14" s="143">
        <v>0</v>
      </c>
      <c r="D14" s="146"/>
      <c r="E14" s="143"/>
      <c r="F14" s="146">
        <v>0</v>
      </c>
      <c r="G14" s="143">
        <v>0</v>
      </c>
      <c r="H14" s="143">
        <f t="shared" si="0"/>
        <v>0</v>
      </c>
      <c r="I14" s="146"/>
      <c r="J14" s="242"/>
      <c r="K14" s="242"/>
      <c r="L14" s="243">
        <v>0</v>
      </c>
      <c r="M14" s="244"/>
      <c r="N14" s="241">
        <f t="shared" si="1"/>
        <v>0</v>
      </c>
      <c r="O14" s="242"/>
      <c r="P14" s="243">
        <v>0</v>
      </c>
      <c r="Q14" s="240"/>
      <c r="R14" s="241">
        <f t="shared" si="2"/>
        <v>0</v>
      </c>
      <c r="S14" s="238">
        <f t="shared" si="3"/>
        <v>0</v>
      </c>
    </row>
    <row r="15" spans="1:19">
      <c r="A15" s="153" t="s">
        <v>24</v>
      </c>
      <c r="B15" s="139" t="s">
        <v>28</v>
      </c>
      <c r="C15" s="144">
        <f t="shared" ref="C15:H15" si="4">SUM(C8:C14)</f>
        <v>1963000</v>
      </c>
      <c r="D15" s="147">
        <f t="shared" si="4"/>
        <v>503000</v>
      </c>
      <c r="E15" s="144">
        <f t="shared" si="4"/>
        <v>16009984</v>
      </c>
      <c r="F15" s="147">
        <f t="shared" si="4"/>
        <v>6306475</v>
      </c>
      <c r="G15" s="144">
        <f t="shared" si="4"/>
        <v>564632821</v>
      </c>
      <c r="H15" s="144">
        <f t="shared" si="4"/>
        <v>589415280</v>
      </c>
      <c r="I15" s="147" t="s">
        <v>29</v>
      </c>
      <c r="J15" s="245">
        <f t="shared" ref="J15:S15" si="5">SUM(J8:J14)</f>
        <v>20575000</v>
      </c>
      <c r="K15" s="245">
        <f t="shared" si="5"/>
        <v>11127430</v>
      </c>
      <c r="L15" s="246">
        <f t="shared" si="5"/>
        <v>34604960</v>
      </c>
      <c r="M15" s="247">
        <f t="shared" si="5"/>
        <v>34550602</v>
      </c>
      <c r="N15" s="248">
        <f t="shared" si="5"/>
        <v>69155562</v>
      </c>
      <c r="O15" s="245">
        <f t="shared" si="5"/>
        <v>122524439</v>
      </c>
      <c r="P15" s="246">
        <f t="shared" si="5"/>
        <v>609687011</v>
      </c>
      <c r="Q15" s="247">
        <f t="shared" si="5"/>
        <v>1500000</v>
      </c>
      <c r="R15" s="248">
        <f t="shared" si="5"/>
        <v>611187011</v>
      </c>
      <c r="S15" s="245">
        <f t="shared" si="5"/>
        <v>834569442</v>
      </c>
    </row>
    <row r="16" spans="1:19">
      <c r="A16" s="14" t="s">
        <v>30</v>
      </c>
      <c r="B16" s="158" t="s">
        <v>43</v>
      </c>
      <c r="C16" s="159">
        <f>SUM(C17:C18)</f>
        <v>18612000</v>
      </c>
      <c r="D16" s="160">
        <f>SUM(D17:D18)</f>
        <v>10624430</v>
      </c>
      <c r="E16" s="159">
        <f>SUM(E17:E18)</f>
        <v>53145578</v>
      </c>
      <c r="F16" s="160">
        <f>SUM(F17:F18)</f>
        <v>116217964</v>
      </c>
      <c r="G16" s="159">
        <f>SUM(G17:G18)</f>
        <v>56585608</v>
      </c>
      <c r="H16" s="159">
        <f t="shared" ref="H16:H22" si="6">SUM(C16:G16)</f>
        <v>255185580</v>
      </c>
      <c r="I16" s="146" t="s">
        <v>50</v>
      </c>
      <c r="J16" s="242">
        <v>0</v>
      </c>
      <c r="K16" s="242"/>
      <c r="L16" s="243"/>
      <c r="M16" s="244"/>
      <c r="N16" s="249"/>
      <c r="O16" s="242">
        <v>0</v>
      </c>
      <c r="P16" s="243">
        <v>0</v>
      </c>
      <c r="Q16" s="244"/>
      <c r="R16" s="249"/>
      <c r="S16" s="242">
        <f t="shared" ref="S16:S21" si="7">SUM(J16:P16)</f>
        <v>0</v>
      </c>
    </row>
    <row r="17" spans="1:20">
      <c r="A17" s="14" t="s">
        <v>31</v>
      </c>
      <c r="B17" s="138" t="s">
        <v>122</v>
      </c>
      <c r="C17" s="143">
        <v>478311</v>
      </c>
      <c r="D17" s="146">
        <v>45234</v>
      </c>
      <c r="E17" s="143">
        <v>0</v>
      </c>
      <c r="F17" s="146">
        <v>13083364</v>
      </c>
      <c r="G17" s="143">
        <v>56585608</v>
      </c>
      <c r="H17" s="143">
        <f t="shared" si="6"/>
        <v>70192517</v>
      </c>
      <c r="I17" s="146" t="s">
        <v>51</v>
      </c>
      <c r="J17" s="242">
        <v>0</v>
      </c>
      <c r="K17" s="242"/>
      <c r="L17" s="243"/>
      <c r="M17" s="244"/>
      <c r="N17" s="249"/>
      <c r="O17" s="242">
        <v>0</v>
      </c>
      <c r="P17" s="243">
        <v>0</v>
      </c>
      <c r="Q17" s="244"/>
      <c r="R17" s="249"/>
      <c r="S17" s="242">
        <f t="shared" si="7"/>
        <v>0</v>
      </c>
    </row>
    <row r="18" spans="1:20">
      <c r="A18" s="14" t="s">
        <v>32</v>
      </c>
      <c r="B18" s="138" t="s">
        <v>123</v>
      </c>
      <c r="C18" s="143">
        <v>18133689</v>
      </c>
      <c r="D18" s="146">
        <v>10579196</v>
      </c>
      <c r="E18" s="143">
        <f>23329218+29816360</f>
        <v>53145578</v>
      </c>
      <c r="F18" s="146">
        <f>87798600+15336000</f>
        <v>103134600</v>
      </c>
      <c r="G18" s="143">
        <v>0</v>
      </c>
      <c r="H18" s="143">
        <f t="shared" si="6"/>
        <v>184993063</v>
      </c>
      <c r="I18" s="146" t="s">
        <v>52</v>
      </c>
      <c r="J18" s="242">
        <v>0</v>
      </c>
      <c r="K18" s="242"/>
      <c r="L18" s="243"/>
      <c r="M18" s="244"/>
      <c r="N18" s="249"/>
      <c r="O18" s="242">
        <v>0</v>
      </c>
      <c r="P18" s="243">
        <v>0</v>
      </c>
      <c r="Q18" s="244"/>
      <c r="R18" s="249"/>
      <c r="S18" s="242">
        <f t="shared" si="7"/>
        <v>0</v>
      </c>
    </row>
    <row r="19" spans="1:20">
      <c r="A19" s="14" t="s">
        <v>33</v>
      </c>
      <c r="B19" s="158" t="s">
        <v>44</v>
      </c>
      <c r="C19" s="159">
        <f>SUM(C20:C21)</f>
        <v>0</v>
      </c>
      <c r="D19" s="160"/>
      <c r="E19" s="159"/>
      <c r="F19" s="160">
        <f>SUM(F20:F21)</f>
        <v>0</v>
      </c>
      <c r="G19" s="159">
        <f>SUM(G20:G21)</f>
        <v>0</v>
      </c>
      <c r="H19" s="143">
        <f t="shared" si="6"/>
        <v>0</v>
      </c>
      <c r="I19" s="146" t="s">
        <v>83</v>
      </c>
      <c r="J19" s="242">
        <v>0</v>
      </c>
      <c r="K19" s="242"/>
      <c r="L19" s="243"/>
      <c r="M19" s="244"/>
      <c r="N19" s="249"/>
      <c r="O19" s="242">
        <v>0</v>
      </c>
      <c r="P19" s="243"/>
      <c r="Q19" s="244"/>
      <c r="R19" s="249"/>
      <c r="S19" s="242">
        <f t="shared" si="7"/>
        <v>0</v>
      </c>
    </row>
    <row r="20" spans="1:20">
      <c r="A20" s="14" t="s">
        <v>34</v>
      </c>
      <c r="B20" s="138" t="s">
        <v>124</v>
      </c>
      <c r="C20" s="143">
        <v>0</v>
      </c>
      <c r="D20" s="146"/>
      <c r="E20" s="143"/>
      <c r="F20" s="146">
        <v>0</v>
      </c>
      <c r="G20" s="143">
        <v>0</v>
      </c>
      <c r="H20" s="143">
        <f t="shared" si="6"/>
        <v>0</v>
      </c>
      <c r="I20" s="146" t="s">
        <v>0</v>
      </c>
      <c r="J20" s="242">
        <v>0</v>
      </c>
      <c r="K20" s="242"/>
      <c r="L20" s="243"/>
      <c r="M20" s="244"/>
      <c r="N20" s="249"/>
      <c r="O20" s="242">
        <v>0</v>
      </c>
      <c r="P20" s="243">
        <v>0</v>
      </c>
      <c r="Q20" s="244"/>
      <c r="R20" s="249"/>
      <c r="S20" s="242">
        <f t="shared" si="7"/>
        <v>0</v>
      </c>
    </row>
    <row r="21" spans="1:20">
      <c r="A21" s="14" t="s">
        <v>35</v>
      </c>
      <c r="B21" s="138" t="s">
        <v>125</v>
      </c>
      <c r="C21" s="143">
        <v>0</v>
      </c>
      <c r="D21" s="146"/>
      <c r="E21" s="143"/>
      <c r="F21" s="146">
        <v>0</v>
      </c>
      <c r="G21" s="143">
        <v>0</v>
      </c>
      <c r="H21" s="143">
        <f t="shared" si="6"/>
        <v>0</v>
      </c>
      <c r="I21" s="146"/>
      <c r="J21" s="242">
        <v>0</v>
      </c>
      <c r="K21" s="242"/>
      <c r="L21" s="243">
        <v>0</v>
      </c>
      <c r="M21" s="244"/>
      <c r="N21" s="249"/>
      <c r="O21" s="242">
        <v>0</v>
      </c>
      <c r="P21" s="243">
        <v>0</v>
      </c>
      <c r="Q21" s="244"/>
      <c r="R21" s="249"/>
      <c r="S21" s="242">
        <f t="shared" si="7"/>
        <v>0</v>
      </c>
    </row>
    <row r="22" spans="1:20">
      <c r="A22" s="153" t="s">
        <v>36</v>
      </c>
      <c r="B22" s="139" t="s">
        <v>46</v>
      </c>
      <c r="C22" s="144">
        <f>SUM(C16+C19)</f>
        <v>18612000</v>
      </c>
      <c r="D22" s="147">
        <f>SUM(D16+D19)</f>
        <v>10624430</v>
      </c>
      <c r="E22" s="144">
        <f>SUM(E16+E19)</f>
        <v>53145578</v>
      </c>
      <c r="F22" s="147">
        <f>SUM(F16+F19)</f>
        <v>116217964</v>
      </c>
      <c r="G22" s="144">
        <f>SUM(G16+G19)</f>
        <v>56585608</v>
      </c>
      <c r="H22" s="144">
        <f t="shared" si="6"/>
        <v>255185580</v>
      </c>
      <c r="I22" s="147" t="s">
        <v>11</v>
      </c>
      <c r="J22" s="245">
        <f>SUM(J16:J21)</f>
        <v>0</v>
      </c>
      <c r="K22" s="245"/>
      <c r="L22" s="246"/>
      <c r="M22" s="247"/>
      <c r="N22" s="248"/>
      <c r="O22" s="245">
        <f>SUM(O16:O21)</f>
        <v>0</v>
      </c>
      <c r="P22" s="246">
        <f>SUM(P16:P21)</f>
        <v>0</v>
      </c>
      <c r="Q22" s="247"/>
      <c r="R22" s="248"/>
      <c r="S22" s="245">
        <f>SUM(S16:S21)</f>
        <v>0</v>
      </c>
    </row>
    <row r="23" spans="1:20" ht="13.5" thickBot="1">
      <c r="A23" s="154" t="s">
        <v>37</v>
      </c>
      <c r="B23" s="155" t="s">
        <v>47</v>
      </c>
      <c r="C23" s="145">
        <f>SUM(C15+C22)</f>
        <v>20575000</v>
      </c>
      <c r="D23" s="161">
        <f>SUM(D15+D22)</f>
        <v>11127430</v>
      </c>
      <c r="E23" s="145">
        <f>SUM(E15+E22)</f>
        <v>69155562</v>
      </c>
      <c r="F23" s="161">
        <f>SUM(F15+F22)</f>
        <v>122524439</v>
      </c>
      <c r="G23" s="145">
        <f>SUM(G15+G22)</f>
        <v>621218429</v>
      </c>
      <c r="H23" s="145">
        <f>SUM(C23:G23)</f>
        <v>844600860</v>
      </c>
      <c r="I23" s="161" t="s">
        <v>54</v>
      </c>
      <c r="J23" s="250">
        <f t="shared" ref="J23:S23" si="8">SUM(J15+J22)</f>
        <v>20575000</v>
      </c>
      <c r="K23" s="250">
        <f t="shared" si="8"/>
        <v>11127430</v>
      </c>
      <c r="L23" s="251">
        <f t="shared" si="8"/>
        <v>34604960</v>
      </c>
      <c r="M23" s="252">
        <f t="shared" si="8"/>
        <v>34550602</v>
      </c>
      <c r="N23" s="253">
        <f t="shared" si="8"/>
        <v>69155562</v>
      </c>
      <c r="O23" s="250">
        <f t="shared" si="8"/>
        <v>122524439</v>
      </c>
      <c r="P23" s="251">
        <f t="shared" si="8"/>
        <v>609687011</v>
      </c>
      <c r="Q23" s="252">
        <f t="shared" si="8"/>
        <v>1500000</v>
      </c>
      <c r="R23" s="253">
        <f t="shared" si="8"/>
        <v>611187011</v>
      </c>
      <c r="S23" s="250">
        <f t="shared" si="8"/>
        <v>834569442</v>
      </c>
    </row>
    <row r="24" spans="1:20">
      <c r="A24" s="7" t="s">
        <v>38</v>
      </c>
      <c r="B24" s="282" t="s">
        <v>48</v>
      </c>
      <c r="C24" s="283"/>
      <c r="D24" s="283"/>
      <c r="E24" s="283"/>
      <c r="F24" s="283"/>
      <c r="G24" s="284"/>
      <c r="H24" s="282">
        <f>SUM(H23-S23)</f>
        <v>10031418</v>
      </c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4"/>
    </row>
    <row r="25" spans="1:20">
      <c r="A25" s="3" t="s">
        <v>39</v>
      </c>
      <c r="B25" s="285" t="s">
        <v>49</v>
      </c>
      <c r="C25" s="286"/>
      <c r="D25" s="286"/>
      <c r="E25" s="286"/>
      <c r="F25" s="286"/>
      <c r="G25" s="287"/>
      <c r="H25" s="285">
        <f>SUM(H23-S23)</f>
        <v>10031418</v>
      </c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7"/>
    </row>
    <row r="26" spans="1:20">
      <c r="A26" s="2"/>
      <c r="B26" s="1"/>
      <c r="C26" s="1"/>
      <c r="D26" s="1"/>
      <c r="E26" s="1"/>
      <c r="F26" s="1"/>
      <c r="G26" s="1"/>
      <c r="H26" s="1"/>
      <c r="I26" s="1"/>
      <c r="J26" s="254"/>
      <c r="K26" s="254"/>
      <c r="L26" s="254"/>
      <c r="M26" s="254"/>
      <c r="N26" s="254"/>
      <c r="O26" s="254"/>
      <c r="P26" s="254"/>
      <c r="Q26" s="254"/>
      <c r="R26" s="254"/>
      <c r="S26" s="254"/>
    </row>
    <row r="27" spans="1:20" ht="13.5" thickBot="1">
      <c r="A27" s="281"/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8"/>
    </row>
    <row r="28" spans="1:20" ht="13.5" thickBot="1">
      <c r="A28" s="163" t="s">
        <v>12</v>
      </c>
      <c r="B28" s="149" t="s">
        <v>66</v>
      </c>
      <c r="C28" s="288" t="s">
        <v>13</v>
      </c>
      <c r="D28" s="289"/>
      <c r="E28" s="289"/>
      <c r="F28" s="289"/>
      <c r="G28" s="289"/>
      <c r="H28" s="289"/>
      <c r="I28" s="140" t="s">
        <v>66</v>
      </c>
      <c r="J28" s="290" t="s">
        <v>14</v>
      </c>
      <c r="K28" s="291"/>
      <c r="L28" s="292"/>
      <c r="M28" s="292"/>
      <c r="N28" s="292"/>
      <c r="O28" s="292"/>
      <c r="P28" s="292"/>
      <c r="Q28" s="292"/>
      <c r="R28" s="292"/>
      <c r="S28" s="293"/>
    </row>
    <row r="29" spans="1:20">
      <c r="A29" s="164" t="s">
        <v>15</v>
      </c>
      <c r="B29" s="134" t="s">
        <v>64</v>
      </c>
      <c r="C29" s="140" t="s">
        <v>171</v>
      </c>
      <c r="D29" s="140" t="s">
        <v>185</v>
      </c>
      <c r="E29" s="140" t="s">
        <v>173</v>
      </c>
      <c r="F29" s="140" t="s">
        <v>179</v>
      </c>
      <c r="G29" s="140" t="s">
        <v>178</v>
      </c>
      <c r="H29" s="163" t="s">
        <v>16</v>
      </c>
      <c r="I29" s="165" t="s">
        <v>65</v>
      </c>
      <c r="J29" s="255" t="s">
        <v>171</v>
      </c>
      <c r="K29" s="256" t="s">
        <v>185</v>
      </c>
      <c r="L29" s="294" t="s">
        <v>186</v>
      </c>
      <c r="M29" s="291"/>
      <c r="N29" s="291"/>
      <c r="O29" s="230" t="s">
        <v>179</v>
      </c>
      <c r="P29" s="294" t="s">
        <v>181</v>
      </c>
      <c r="Q29" s="291"/>
      <c r="R29" s="291"/>
      <c r="S29" s="230" t="s">
        <v>16</v>
      </c>
    </row>
    <row r="30" spans="1:20" ht="13.5" thickBot="1">
      <c r="A30" s="164"/>
      <c r="B30" s="134"/>
      <c r="C30" s="141" t="s">
        <v>86</v>
      </c>
      <c r="D30" s="141" t="s">
        <v>172</v>
      </c>
      <c r="E30" s="141" t="s">
        <v>174</v>
      </c>
      <c r="F30" s="141" t="s">
        <v>176</v>
      </c>
      <c r="G30" s="141"/>
      <c r="H30" s="164"/>
      <c r="I30" s="166"/>
      <c r="J30" s="231" t="s">
        <v>86</v>
      </c>
      <c r="K30" s="256" t="s">
        <v>172</v>
      </c>
      <c r="L30" s="235" t="s">
        <v>182</v>
      </c>
      <c r="M30" s="236" t="s">
        <v>180</v>
      </c>
      <c r="N30" s="257" t="s">
        <v>67</v>
      </c>
      <c r="O30" s="231" t="s">
        <v>176</v>
      </c>
      <c r="P30" s="258" t="s">
        <v>182</v>
      </c>
      <c r="Q30" s="236" t="s">
        <v>183</v>
      </c>
      <c r="R30" s="259" t="s">
        <v>67</v>
      </c>
      <c r="S30" s="231"/>
    </row>
    <row r="31" spans="1:20">
      <c r="A31" s="14" t="s">
        <v>2</v>
      </c>
      <c r="B31" s="138" t="s">
        <v>57</v>
      </c>
      <c r="C31" s="142"/>
      <c r="D31" s="142"/>
      <c r="E31" s="142"/>
      <c r="F31" s="142"/>
      <c r="G31" s="142">
        <v>2540000</v>
      </c>
      <c r="H31" s="142">
        <f>SUM(C31:G31)</f>
        <v>2540000</v>
      </c>
      <c r="I31" s="142" t="s">
        <v>55</v>
      </c>
      <c r="J31" s="242">
        <v>0</v>
      </c>
      <c r="K31" s="260"/>
      <c r="L31" s="243">
        <v>0</v>
      </c>
      <c r="M31" s="244"/>
      <c r="N31" s="261"/>
      <c r="O31" s="238">
        <v>0</v>
      </c>
      <c r="P31" s="243">
        <v>160253713</v>
      </c>
      <c r="Q31" s="244">
        <v>0</v>
      </c>
      <c r="R31" s="261">
        <f>P31+Q31</f>
        <v>160253713</v>
      </c>
      <c r="S31" s="238">
        <f>SUM(J31:Q31)</f>
        <v>160253713</v>
      </c>
    </row>
    <row r="32" spans="1:20">
      <c r="A32" s="14" t="s">
        <v>3</v>
      </c>
      <c r="B32" s="138" t="s">
        <v>22</v>
      </c>
      <c r="C32" s="143"/>
      <c r="D32" s="143"/>
      <c r="E32" s="143"/>
      <c r="F32" s="143"/>
      <c r="G32" s="143"/>
      <c r="H32" s="143">
        <f t="shared" ref="H32:H47" si="9">SUM(C32:G32)</f>
        <v>0</v>
      </c>
      <c r="I32" s="143" t="s">
        <v>56</v>
      </c>
      <c r="J32" s="242">
        <v>0</v>
      </c>
      <c r="K32" s="260"/>
      <c r="L32" s="243"/>
      <c r="M32" s="244"/>
      <c r="N32" s="261"/>
      <c r="O32" s="242">
        <v>0</v>
      </c>
      <c r="P32" s="243">
        <v>3856418</v>
      </c>
      <c r="Q32" s="244">
        <v>0</v>
      </c>
      <c r="R32" s="261">
        <f t="shared" ref="R32:R37" si="10">P32+Q32</f>
        <v>3856418</v>
      </c>
      <c r="S32" s="242">
        <f t="shared" ref="S32:S47" si="11">SUM(J32:P32)</f>
        <v>3856418</v>
      </c>
    </row>
    <row r="33" spans="1:20">
      <c r="A33" s="14" t="s">
        <v>4</v>
      </c>
      <c r="B33" s="138" t="s">
        <v>58</v>
      </c>
      <c r="C33" s="143"/>
      <c r="D33" s="143"/>
      <c r="E33" s="143">
        <v>0</v>
      </c>
      <c r="F33" s="143"/>
      <c r="G33" s="143">
        <v>30982151</v>
      </c>
      <c r="H33" s="143">
        <f t="shared" si="9"/>
        <v>30982151</v>
      </c>
      <c r="I33" s="143" t="s">
        <v>21</v>
      </c>
      <c r="J33" s="242"/>
      <c r="K33" s="260"/>
      <c r="L33" s="243"/>
      <c r="M33" s="244"/>
      <c r="N33" s="261"/>
      <c r="O33" s="242">
        <v>0</v>
      </c>
      <c r="P33" s="243">
        <v>0</v>
      </c>
      <c r="Q33" s="244">
        <v>0</v>
      </c>
      <c r="R33" s="261">
        <f t="shared" si="10"/>
        <v>0</v>
      </c>
      <c r="S33" s="242">
        <f t="shared" si="11"/>
        <v>0</v>
      </c>
    </row>
    <row r="34" spans="1:20">
      <c r="A34" s="14" t="s">
        <v>5</v>
      </c>
      <c r="B34" s="138" t="s">
        <v>60</v>
      </c>
      <c r="C34" s="143"/>
      <c r="D34" s="143"/>
      <c r="E34" s="143"/>
      <c r="F34" s="143"/>
      <c r="G34" s="143">
        <v>0</v>
      </c>
      <c r="H34" s="143">
        <f>SUM(C34:G34)</f>
        <v>0</v>
      </c>
      <c r="I34" s="143" t="s">
        <v>72</v>
      </c>
      <c r="J34" s="242"/>
      <c r="K34" s="260"/>
      <c r="L34" s="243"/>
      <c r="M34" s="244"/>
      <c r="N34" s="261"/>
      <c r="O34" s="242"/>
      <c r="P34" s="243">
        <v>0</v>
      </c>
      <c r="Q34" s="244">
        <v>0</v>
      </c>
      <c r="R34" s="261">
        <f t="shared" si="10"/>
        <v>0</v>
      </c>
      <c r="S34" s="242">
        <f t="shared" si="11"/>
        <v>0</v>
      </c>
    </row>
    <row r="35" spans="1:20">
      <c r="A35" s="14" t="s">
        <v>7</v>
      </c>
      <c r="B35" s="138" t="s">
        <v>79</v>
      </c>
      <c r="C35" s="143"/>
      <c r="D35" s="143"/>
      <c r="E35" s="143"/>
      <c r="F35" s="143">
        <v>0</v>
      </c>
      <c r="G35" s="143">
        <v>0</v>
      </c>
      <c r="H35" s="143">
        <f t="shared" si="9"/>
        <v>0</v>
      </c>
      <c r="I35" s="143"/>
      <c r="J35" s="242">
        <v>0</v>
      </c>
      <c r="K35" s="260"/>
      <c r="L35" s="243"/>
      <c r="M35" s="244"/>
      <c r="N35" s="261"/>
      <c r="O35" s="242">
        <v>0</v>
      </c>
      <c r="P35" s="243">
        <v>0</v>
      </c>
      <c r="Q35" s="244">
        <v>0</v>
      </c>
      <c r="R35" s="261">
        <f t="shared" si="10"/>
        <v>0</v>
      </c>
      <c r="S35" s="242">
        <f t="shared" si="11"/>
        <v>0</v>
      </c>
    </row>
    <row r="36" spans="1:20">
      <c r="A36" s="14" t="s">
        <v>8</v>
      </c>
      <c r="B36" s="138" t="s">
        <v>62</v>
      </c>
      <c r="C36" s="143"/>
      <c r="D36" s="143"/>
      <c r="E36" s="143"/>
      <c r="F36" s="143"/>
      <c r="G36" s="143"/>
      <c r="H36" s="143">
        <f t="shared" si="9"/>
        <v>0</v>
      </c>
      <c r="I36" s="143"/>
      <c r="J36" s="242">
        <v>0</v>
      </c>
      <c r="K36" s="260"/>
      <c r="L36" s="243"/>
      <c r="M36" s="244"/>
      <c r="N36" s="261"/>
      <c r="O36" s="242">
        <v>0</v>
      </c>
      <c r="P36" s="243">
        <v>0</v>
      </c>
      <c r="Q36" s="244">
        <v>0</v>
      </c>
      <c r="R36" s="261">
        <f t="shared" si="10"/>
        <v>0</v>
      </c>
      <c r="S36" s="242">
        <f t="shared" si="11"/>
        <v>0</v>
      </c>
    </row>
    <row r="37" spans="1:20">
      <c r="A37" s="153" t="s">
        <v>23</v>
      </c>
      <c r="B37" s="139" t="s">
        <v>28</v>
      </c>
      <c r="C37" s="144">
        <f>SUM(C31:C36)</f>
        <v>0</v>
      </c>
      <c r="D37" s="144"/>
      <c r="E37" s="144"/>
      <c r="F37" s="144">
        <f>SUM(F31:F36)</f>
        <v>0</v>
      </c>
      <c r="G37" s="144">
        <f>SUM(G31:G36)</f>
        <v>33522151</v>
      </c>
      <c r="H37" s="144">
        <f t="shared" si="9"/>
        <v>33522151</v>
      </c>
      <c r="I37" s="144" t="s">
        <v>29</v>
      </c>
      <c r="J37" s="245">
        <f>SUM(J31:J36)</f>
        <v>0</v>
      </c>
      <c r="K37" s="262"/>
      <c r="L37" s="246"/>
      <c r="M37" s="247"/>
      <c r="N37" s="263"/>
      <c r="O37" s="245">
        <f>SUM(O31:O36)</f>
        <v>0</v>
      </c>
      <c r="P37" s="246">
        <f>SUM(P31:P36)</f>
        <v>164110131</v>
      </c>
      <c r="Q37" s="247">
        <v>0</v>
      </c>
      <c r="R37" s="261">
        <f t="shared" si="10"/>
        <v>164110131</v>
      </c>
      <c r="S37" s="245">
        <f t="shared" si="11"/>
        <v>164110131</v>
      </c>
    </row>
    <row r="38" spans="1:20">
      <c r="A38" s="14" t="s">
        <v>24</v>
      </c>
      <c r="B38" s="158" t="s">
        <v>43</v>
      </c>
      <c r="C38" s="159">
        <f>SUM(C39:C40)</f>
        <v>0</v>
      </c>
      <c r="D38" s="159"/>
      <c r="E38" s="159"/>
      <c r="F38" s="159">
        <f>SUM(F39:F40)</f>
        <v>0</v>
      </c>
      <c r="G38" s="159">
        <f>SUM(G39:G40)</f>
        <v>120556562</v>
      </c>
      <c r="H38" s="159">
        <f t="shared" si="9"/>
        <v>120556562</v>
      </c>
      <c r="I38" s="143" t="s">
        <v>50</v>
      </c>
      <c r="J38" s="242">
        <v>0</v>
      </c>
      <c r="K38" s="260"/>
      <c r="L38" s="243"/>
      <c r="M38" s="244"/>
      <c r="N38" s="261"/>
      <c r="O38" s="242">
        <v>0</v>
      </c>
      <c r="P38" s="243">
        <v>0</v>
      </c>
      <c r="Q38" s="244"/>
      <c r="R38" s="261"/>
      <c r="S38" s="242">
        <f t="shared" si="11"/>
        <v>0</v>
      </c>
    </row>
    <row r="39" spans="1:20">
      <c r="A39" s="14" t="s">
        <v>30</v>
      </c>
      <c r="B39" s="138" t="s">
        <v>41</v>
      </c>
      <c r="C39" s="143"/>
      <c r="D39" s="143"/>
      <c r="E39" s="143"/>
      <c r="F39" s="143"/>
      <c r="G39" s="143">
        <v>120556562</v>
      </c>
      <c r="H39" s="143">
        <f t="shared" si="9"/>
        <v>120556562</v>
      </c>
      <c r="I39" s="143" t="s">
        <v>51</v>
      </c>
      <c r="J39" s="242">
        <v>0</v>
      </c>
      <c r="K39" s="260"/>
      <c r="L39" s="243"/>
      <c r="M39" s="244"/>
      <c r="N39" s="261"/>
      <c r="O39" s="242">
        <v>0</v>
      </c>
      <c r="P39" s="243">
        <v>0</v>
      </c>
      <c r="Q39" s="244"/>
      <c r="R39" s="261"/>
      <c r="S39" s="242">
        <f t="shared" si="11"/>
        <v>0</v>
      </c>
    </row>
    <row r="40" spans="1:20">
      <c r="A40" s="14" t="s">
        <v>31</v>
      </c>
      <c r="B40" s="138" t="s">
        <v>42</v>
      </c>
      <c r="C40" s="143"/>
      <c r="D40" s="143"/>
      <c r="E40" s="143"/>
      <c r="F40" s="143"/>
      <c r="G40" s="143"/>
      <c r="H40" s="143">
        <f t="shared" si="9"/>
        <v>0</v>
      </c>
      <c r="I40" s="143" t="s">
        <v>52</v>
      </c>
      <c r="J40" s="242">
        <v>0</v>
      </c>
      <c r="K40" s="260"/>
      <c r="L40" s="243"/>
      <c r="M40" s="244"/>
      <c r="N40" s="261"/>
      <c r="O40" s="242">
        <v>0</v>
      </c>
      <c r="P40" s="243">
        <v>0</v>
      </c>
      <c r="Q40" s="244"/>
      <c r="R40" s="261"/>
      <c r="S40" s="242">
        <f t="shared" si="11"/>
        <v>0</v>
      </c>
    </row>
    <row r="41" spans="1:20">
      <c r="A41" s="14" t="s">
        <v>32</v>
      </c>
      <c r="B41" s="158" t="s">
        <v>44</v>
      </c>
      <c r="C41" s="159">
        <f>SUM(C42:C45)</f>
        <v>0</v>
      </c>
      <c r="D41" s="159"/>
      <c r="E41" s="159"/>
      <c r="F41" s="159">
        <f>SUM(F42:F45)</f>
        <v>0</v>
      </c>
      <c r="G41" s="159">
        <f>SUM(G42:G45)</f>
        <v>0</v>
      </c>
      <c r="H41" s="159">
        <f t="shared" si="9"/>
        <v>0</v>
      </c>
      <c r="I41" s="143" t="s">
        <v>80</v>
      </c>
      <c r="J41" s="242">
        <v>0</v>
      </c>
      <c r="K41" s="260"/>
      <c r="L41" s="243"/>
      <c r="M41" s="244"/>
      <c r="N41" s="261"/>
      <c r="O41" s="242">
        <v>0</v>
      </c>
      <c r="P41" s="243">
        <v>0</v>
      </c>
      <c r="Q41" s="244"/>
      <c r="R41" s="261"/>
      <c r="S41" s="242">
        <f t="shared" si="11"/>
        <v>0</v>
      </c>
    </row>
    <row r="42" spans="1:20">
      <c r="A42" s="14" t="s">
        <v>33</v>
      </c>
      <c r="B42" s="138" t="s">
        <v>45</v>
      </c>
      <c r="C42" s="143"/>
      <c r="D42" s="143"/>
      <c r="E42" s="143"/>
      <c r="F42" s="143"/>
      <c r="G42" s="143"/>
      <c r="H42" s="143">
        <f t="shared" si="9"/>
        <v>0</v>
      </c>
      <c r="I42" s="143"/>
      <c r="J42" s="242"/>
      <c r="K42" s="260"/>
      <c r="L42" s="243"/>
      <c r="M42" s="244"/>
      <c r="N42" s="261"/>
      <c r="O42" s="242"/>
      <c r="P42" s="243"/>
      <c r="Q42" s="244"/>
      <c r="R42" s="261"/>
      <c r="S42" s="242"/>
    </row>
    <row r="43" spans="1:20">
      <c r="A43" s="14" t="s">
        <v>34</v>
      </c>
      <c r="B43" s="138" t="s">
        <v>9</v>
      </c>
      <c r="C43" s="143"/>
      <c r="D43" s="143"/>
      <c r="E43" s="143"/>
      <c r="F43" s="143"/>
      <c r="G43" s="143">
        <v>0</v>
      </c>
      <c r="H43" s="143">
        <f t="shared" si="9"/>
        <v>0</v>
      </c>
      <c r="I43" s="143"/>
      <c r="J43" s="242">
        <v>0</v>
      </c>
      <c r="K43" s="260"/>
      <c r="L43" s="243"/>
      <c r="M43" s="244"/>
      <c r="N43" s="261"/>
      <c r="O43" s="242">
        <v>0</v>
      </c>
      <c r="P43" s="243">
        <v>0</v>
      </c>
      <c r="Q43" s="244"/>
      <c r="R43" s="261"/>
      <c r="S43" s="242">
        <f t="shared" si="11"/>
        <v>0</v>
      </c>
    </row>
    <row r="44" spans="1:20">
      <c r="A44" s="14" t="s">
        <v>35</v>
      </c>
      <c r="B44" s="138" t="s">
        <v>10</v>
      </c>
      <c r="C44" s="143"/>
      <c r="D44" s="143"/>
      <c r="E44" s="143"/>
      <c r="F44" s="143"/>
      <c r="G44" s="143"/>
      <c r="H44" s="143">
        <f t="shared" si="9"/>
        <v>0</v>
      </c>
      <c r="I44" s="143"/>
      <c r="J44" s="242">
        <v>0</v>
      </c>
      <c r="K44" s="260"/>
      <c r="L44" s="243"/>
      <c r="M44" s="244"/>
      <c r="N44" s="261"/>
      <c r="O44" s="242">
        <v>0</v>
      </c>
      <c r="P44" s="243">
        <v>0</v>
      </c>
      <c r="Q44" s="244"/>
      <c r="R44" s="261"/>
      <c r="S44" s="242">
        <f t="shared" si="11"/>
        <v>0</v>
      </c>
    </row>
    <row r="45" spans="1:20">
      <c r="A45" s="14" t="s">
        <v>36</v>
      </c>
      <c r="B45" s="138" t="s">
        <v>53</v>
      </c>
      <c r="C45" s="143"/>
      <c r="D45" s="143"/>
      <c r="E45" s="143"/>
      <c r="F45" s="143"/>
      <c r="G45" s="143"/>
      <c r="H45" s="143">
        <f t="shared" si="9"/>
        <v>0</v>
      </c>
      <c r="I45" s="143" t="s">
        <v>0</v>
      </c>
      <c r="J45" s="242">
        <v>0</v>
      </c>
      <c r="K45" s="260"/>
      <c r="L45" s="243"/>
      <c r="M45" s="244"/>
      <c r="N45" s="261"/>
      <c r="O45" s="242">
        <v>0</v>
      </c>
      <c r="P45" s="243">
        <v>0</v>
      </c>
      <c r="Q45" s="244"/>
      <c r="R45" s="261"/>
      <c r="S45" s="242">
        <f t="shared" si="11"/>
        <v>0</v>
      </c>
    </row>
    <row r="46" spans="1:20">
      <c r="A46" s="153" t="s">
        <v>37</v>
      </c>
      <c r="B46" s="139" t="s">
        <v>46</v>
      </c>
      <c r="C46" s="144">
        <f>SUM(C38+C41)</f>
        <v>0</v>
      </c>
      <c r="D46" s="144"/>
      <c r="E46" s="144"/>
      <c r="F46" s="144">
        <f>SUM(F38+F41)</f>
        <v>0</v>
      </c>
      <c r="G46" s="144">
        <f>SUM(G38+G41)</f>
        <v>120556562</v>
      </c>
      <c r="H46" s="144">
        <f t="shared" si="9"/>
        <v>120556562</v>
      </c>
      <c r="I46" s="144" t="s">
        <v>11</v>
      </c>
      <c r="J46" s="245">
        <f>SUM(J38:J45)</f>
        <v>0</v>
      </c>
      <c r="K46" s="262"/>
      <c r="L46" s="246"/>
      <c r="M46" s="247"/>
      <c r="N46" s="263"/>
      <c r="O46" s="245">
        <f>SUM(O38:O45)</f>
        <v>0</v>
      </c>
      <c r="P46" s="246">
        <f>SUM(P38:P45)</f>
        <v>0</v>
      </c>
      <c r="Q46" s="247"/>
      <c r="R46" s="263"/>
      <c r="S46" s="245">
        <f t="shared" si="11"/>
        <v>0</v>
      </c>
    </row>
    <row r="47" spans="1:20" ht="13.5" thickBot="1">
      <c r="A47" s="154" t="s">
        <v>38</v>
      </c>
      <c r="B47" s="155" t="s">
        <v>77</v>
      </c>
      <c r="C47" s="145">
        <f>SUM(C37+C46)</f>
        <v>0</v>
      </c>
      <c r="D47" s="145"/>
      <c r="E47" s="145"/>
      <c r="F47" s="145">
        <f>SUM(F37+F46)</f>
        <v>0</v>
      </c>
      <c r="G47" s="145">
        <f>SUM(G37+G46)</f>
        <v>154078713</v>
      </c>
      <c r="H47" s="145">
        <f t="shared" si="9"/>
        <v>154078713</v>
      </c>
      <c r="I47" s="145" t="s">
        <v>78</v>
      </c>
      <c r="J47" s="250">
        <f>SUM(J37+J46)</f>
        <v>0</v>
      </c>
      <c r="K47" s="264"/>
      <c r="L47" s="251"/>
      <c r="M47" s="252"/>
      <c r="N47" s="265"/>
      <c r="O47" s="250">
        <f>SUM(O37+O46)</f>
        <v>0</v>
      </c>
      <c r="P47" s="251">
        <f>SUM(P37+P46)</f>
        <v>164110131</v>
      </c>
      <c r="Q47" s="252"/>
      <c r="R47" s="265"/>
      <c r="S47" s="250">
        <f t="shared" si="11"/>
        <v>164110131</v>
      </c>
    </row>
    <row r="48" spans="1:20">
      <c r="A48" s="7" t="s">
        <v>39</v>
      </c>
      <c r="B48" s="282" t="s">
        <v>48</v>
      </c>
      <c r="C48" s="283"/>
      <c r="D48" s="283"/>
      <c r="E48" s="283"/>
      <c r="F48" s="283"/>
      <c r="G48" s="284"/>
      <c r="H48" s="282">
        <f>SUM(H47-S47)</f>
        <v>-10031418</v>
      </c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4"/>
      <c r="T48" s="8">
        <f>H25+H48</f>
        <v>0</v>
      </c>
    </row>
    <row r="49" spans="1:19">
      <c r="A49" s="3" t="s">
        <v>40</v>
      </c>
      <c r="B49" s="285" t="s">
        <v>49</v>
      </c>
      <c r="C49" s="286"/>
      <c r="D49" s="286"/>
      <c r="E49" s="286"/>
      <c r="F49" s="286"/>
      <c r="G49" s="287"/>
      <c r="H49" s="285">
        <f>SUM(H47-S47)</f>
        <v>-10031418</v>
      </c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7"/>
    </row>
    <row r="50" spans="1:19">
      <c r="A50" s="1"/>
      <c r="B50" s="1"/>
      <c r="C50" s="1"/>
      <c r="D50" s="1"/>
      <c r="E50" s="1"/>
      <c r="F50" s="1"/>
      <c r="G50" s="1"/>
      <c r="H50" s="1">
        <f>H23+H47</f>
        <v>998679573</v>
      </c>
      <c r="I50" s="1"/>
      <c r="J50" s="254"/>
      <c r="K50" s="254"/>
      <c r="L50" s="254"/>
      <c r="M50" s="254"/>
      <c r="N50" s="254"/>
      <c r="O50" s="254"/>
      <c r="P50" s="254"/>
      <c r="Q50" s="254"/>
      <c r="R50" s="254"/>
      <c r="S50" s="254">
        <f>S23+S47</f>
        <v>998679573</v>
      </c>
    </row>
    <row r="51" spans="1:19">
      <c r="A51" s="1"/>
      <c r="B51" s="1"/>
      <c r="C51" s="1"/>
      <c r="D51" s="1"/>
      <c r="E51" s="1"/>
      <c r="F51" s="1"/>
      <c r="G51" s="1"/>
      <c r="H51" s="1" t="s">
        <v>0</v>
      </c>
      <c r="I51" s="1"/>
      <c r="J51" s="254"/>
      <c r="K51" s="254"/>
      <c r="L51" s="254"/>
      <c r="M51" s="254"/>
      <c r="N51" s="254"/>
      <c r="O51" s="254"/>
      <c r="P51" s="254"/>
      <c r="Q51" s="254"/>
      <c r="R51" s="254"/>
      <c r="S51" s="254"/>
    </row>
    <row r="52" spans="1:19">
      <c r="A52" s="1"/>
      <c r="B52" s="1"/>
      <c r="C52" s="1"/>
      <c r="D52" s="1"/>
      <c r="E52" s="1"/>
      <c r="F52" s="1"/>
      <c r="G52" s="1"/>
      <c r="H52" s="1"/>
      <c r="I52" s="1"/>
      <c r="J52" s="254"/>
      <c r="K52" s="254"/>
      <c r="L52" s="254"/>
      <c r="M52" s="254"/>
      <c r="N52" s="254"/>
      <c r="O52" s="254"/>
      <c r="P52" s="254"/>
      <c r="Q52" s="254"/>
      <c r="R52" s="254"/>
      <c r="S52" s="254"/>
    </row>
    <row r="53" spans="1:19">
      <c r="A53" s="280" t="s">
        <v>84</v>
      </c>
      <c r="B53" s="280"/>
      <c r="C53" s="280"/>
      <c r="D53" s="280"/>
      <c r="E53" s="280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280"/>
      <c r="Q53" s="280"/>
      <c r="R53" s="280"/>
      <c r="S53" s="280"/>
    </row>
    <row r="54" spans="1:19">
      <c r="A54" s="280" t="s">
        <v>190</v>
      </c>
      <c r="B54" s="280"/>
      <c r="C54" s="280"/>
      <c r="D54" s="280"/>
      <c r="E54" s="280"/>
      <c r="F54" s="280"/>
      <c r="G54" s="280"/>
      <c r="H54" s="280"/>
      <c r="I54" s="280"/>
      <c r="J54" s="280"/>
      <c r="K54" s="280"/>
      <c r="L54" s="280"/>
      <c r="M54" s="280"/>
      <c r="N54" s="280"/>
      <c r="O54" s="280"/>
      <c r="P54" s="280"/>
      <c r="Q54" s="280"/>
      <c r="R54" s="280"/>
      <c r="S54" s="280"/>
    </row>
    <row r="55" spans="1:19" ht="13.5" thickBot="1">
      <c r="A55" s="295" t="s">
        <v>82</v>
      </c>
      <c r="B55" s="296"/>
      <c r="C55" s="296"/>
      <c r="D55" s="296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7"/>
    </row>
    <row r="56" spans="1:19" ht="13.5" thickBot="1">
      <c r="A56" s="148" t="s">
        <v>12</v>
      </c>
      <c r="B56" s="215" t="s">
        <v>63</v>
      </c>
      <c r="C56" s="298" t="s">
        <v>13</v>
      </c>
      <c r="D56" s="299"/>
      <c r="E56" s="299"/>
      <c r="F56" s="299"/>
      <c r="G56" s="299"/>
      <c r="H56" s="300"/>
      <c r="I56" s="215" t="s">
        <v>63</v>
      </c>
      <c r="J56" s="301" t="s">
        <v>14</v>
      </c>
      <c r="K56" s="302"/>
      <c r="L56" s="302"/>
      <c r="M56" s="302"/>
      <c r="N56" s="302"/>
      <c r="O56" s="302"/>
      <c r="P56" s="302"/>
      <c r="Q56" s="302"/>
      <c r="R56" s="302"/>
      <c r="S56" s="303"/>
    </row>
    <row r="57" spans="1:19">
      <c r="A57" s="150" t="s">
        <v>15</v>
      </c>
      <c r="B57" s="157" t="s">
        <v>64</v>
      </c>
      <c r="C57" s="140" t="s">
        <v>171</v>
      </c>
      <c r="D57" s="157" t="s">
        <v>85</v>
      </c>
      <c r="E57" s="140" t="s">
        <v>173</v>
      </c>
      <c r="F57" s="157" t="s">
        <v>175</v>
      </c>
      <c r="G57" s="140" t="s">
        <v>177</v>
      </c>
      <c r="H57" s="140" t="s">
        <v>16</v>
      </c>
      <c r="I57" s="157" t="s">
        <v>65</v>
      </c>
      <c r="J57" s="230" t="s">
        <v>171</v>
      </c>
      <c r="K57" s="230" t="s">
        <v>85</v>
      </c>
      <c r="L57" s="290" t="s">
        <v>184</v>
      </c>
      <c r="M57" s="292"/>
      <c r="N57" s="293"/>
      <c r="O57" s="230" t="s">
        <v>179</v>
      </c>
      <c r="P57" s="290" t="s">
        <v>181</v>
      </c>
      <c r="Q57" s="292"/>
      <c r="R57" s="293"/>
      <c r="S57" s="230" t="s">
        <v>16</v>
      </c>
    </row>
    <row r="58" spans="1:19">
      <c r="A58" s="151"/>
      <c r="B58" s="218"/>
      <c r="C58" s="141" t="s">
        <v>86</v>
      </c>
      <c r="D58" s="218" t="s">
        <v>172</v>
      </c>
      <c r="E58" s="141" t="s">
        <v>174</v>
      </c>
      <c r="F58" s="218" t="s">
        <v>176</v>
      </c>
      <c r="G58" s="141" t="s">
        <v>178</v>
      </c>
      <c r="H58" s="141"/>
      <c r="I58" s="218"/>
      <c r="J58" s="231" t="s">
        <v>86</v>
      </c>
      <c r="K58" s="231" t="s">
        <v>172</v>
      </c>
      <c r="L58" s="232" t="s">
        <v>182</v>
      </c>
      <c r="M58" s="233" t="s">
        <v>180</v>
      </c>
      <c r="N58" s="234" t="s">
        <v>67</v>
      </c>
      <c r="O58" s="231" t="s">
        <v>176</v>
      </c>
      <c r="P58" s="235" t="s">
        <v>182</v>
      </c>
      <c r="Q58" s="236" t="s">
        <v>183</v>
      </c>
      <c r="R58" s="237" t="s">
        <v>67</v>
      </c>
      <c r="S58" s="231"/>
    </row>
    <row r="59" spans="1:19">
      <c r="A59" s="152" t="s">
        <v>2</v>
      </c>
      <c r="B59" s="137" t="s">
        <v>74</v>
      </c>
      <c r="C59" s="142">
        <v>0</v>
      </c>
      <c r="D59" s="6"/>
      <c r="E59" s="142">
        <v>0</v>
      </c>
      <c r="F59" s="6"/>
      <c r="G59" s="142">
        <v>79606106</v>
      </c>
      <c r="H59" s="142">
        <f>SUM(C59:G59)</f>
        <v>79606106</v>
      </c>
      <c r="I59" s="220" t="s">
        <v>17</v>
      </c>
      <c r="J59" s="238">
        <v>10509082</v>
      </c>
      <c r="K59" s="238">
        <v>7197388</v>
      </c>
      <c r="L59" s="239">
        <f>23025071+158500+2518502+126800+846781</f>
        <v>26675654</v>
      </c>
      <c r="M59" s="240">
        <v>19474981</v>
      </c>
      <c r="N59" s="241">
        <f>L59+M59</f>
        <v>46150635</v>
      </c>
      <c r="O59" s="238">
        <f>97857350+2700</f>
        <v>97860050</v>
      </c>
      <c r="P59" s="239">
        <f>86511363+34000</f>
        <v>86545363</v>
      </c>
      <c r="Q59" s="240">
        <v>0</v>
      </c>
      <c r="R59" s="241">
        <f>P59+Q59</f>
        <v>86545363</v>
      </c>
      <c r="S59" s="238">
        <f>J59+K59+N59+O59+R59</f>
        <v>248262518</v>
      </c>
    </row>
    <row r="60" spans="1:19">
      <c r="A60" s="14" t="s">
        <v>3</v>
      </c>
      <c r="B60" s="138" t="s">
        <v>25</v>
      </c>
      <c r="C60" s="143">
        <v>1963000</v>
      </c>
      <c r="D60" s="146">
        <v>503000</v>
      </c>
      <c r="E60" s="143">
        <f>1195000+9551000</f>
        <v>10746000</v>
      </c>
      <c r="F60" s="146">
        <v>8077442</v>
      </c>
      <c r="G60" s="143">
        <v>51433630</v>
      </c>
      <c r="H60" s="143">
        <f t="shared" ref="H60:H65" si="12">SUM(C60:G60)</f>
        <v>72723072</v>
      </c>
      <c r="I60" s="146" t="s">
        <v>18</v>
      </c>
      <c r="J60" s="242">
        <v>1996928</v>
      </c>
      <c r="K60" s="242">
        <v>1402284</v>
      </c>
      <c r="L60" s="243">
        <f>4489889+30901+491106+22822+148182</f>
        <v>5182900</v>
      </c>
      <c r="M60" s="244">
        <v>3797621</v>
      </c>
      <c r="N60" s="241">
        <f t="shared" ref="N60:N65" si="13">L60+M60</f>
        <v>8980521</v>
      </c>
      <c r="O60" s="242">
        <f>19239471+472</f>
        <v>19239943</v>
      </c>
      <c r="P60" s="243">
        <f>10703175+6121</f>
        <v>10709296</v>
      </c>
      <c r="Q60" s="240">
        <v>0</v>
      </c>
      <c r="R60" s="241">
        <f t="shared" ref="R60:R65" si="14">P60+Q60</f>
        <v>10709296</v>
      </c>
      <c r="S60" s="238">
        <f t="shared" ref="S60:S65" si="15">J60+K60+N60+O60+R60</f>
        <v>42328972</v>
      </c>
    </row>
    <row r="61" spans="1:19">
      <c r="A61" s="14" t="s">
        <v>4</v>
      </c>
      <c r="B61" s="138" t="s">
        <v>59</v>
      </c>
      <c r="C61" s="143">
        <v>0</v>
      </c>
      <c r="D61" s="146">
        <v>0</v>
      </c>
      <c r="E61" s="143">
        <v>0</v>
      </c>
      <c r="F61" s="146">
        <v>0</v>
      </c>
      <c r="G61" s="162">
        <f>334577931+192915+994963+142646</f>
        <v>335908455</v>
      </c>
      <c r="H61" s="143">
        <f t="shared" si="12"/>
        <v>335908455</v>
      </c>
      <c r="I61" s="146" t="s">
        <v>19</v>
      </c>
      <c r="J61" s="242">
        <f>9592456</f>
        <v>9592456</v>
      </c>
      <c r="K61" s="242">
        <f>2780800+60</f>
        <v>2780860</v>
      </c>
      <c r="L61" s="243">
        <f>7090000-230000</f>
        <v>6860000</v>
      </c>
      <c r="M61" s="244">
        <v>11278000</v>
      </c>
      <c r="N61" s="241">
        <f t="shared" si="13"/>
        <v>18138000</v>
      </c>
      <c r="O61" s="242">
        <v>6903436</v>
      </c>
      <c r="P61" s="243">
        <v>206120354</v>
      </c>
      <c r="Q61" s="240">
        <v>0</v>
      </c>
      <c r="R61" s="241">
        <f t="shared" si="14"/>
        <v>206120354</v>
      </c>
      <c r="S61" s="238">
        <f t="shared" si="15"/>
        <v>243535106</v>
      </c>
    </row>
    <row r="62" spans="1:19">
      <c r="A62" s="14" t="s">
        <v>5</v>
      </c>
      <c r="B62" s="138" t="s">
        <v>27</v>
      </c>
      <c r="C62" s="162">
        <v>600000</v>
      </c>
      <c r="D62" s="146"/>
      <c r="E62" s="143">
        <v>0</v>
      </c>
      <c r="F62" s="146"/>
      <c r="G62" s="162">
        <v>0</v>
      </c>
      <c r="H62" s="143">
        <f t="shared" si="12"/>
        <v>600000</v>
      </c>
      <c r="I62" s="146" t="s">
        <v>20</v>
      </c>
      <c r="J62" s="242"/>
      <c r="K62" s="242"/>
      <c r="L62" s="243"/>
      <c r="M62" s="244"/>
      <c r="N62" s="241">
        <f t="shared" si="13"/>
        <v>0</v>
      </c>
      <c r="O62" s="242"/>
      <c r="P62" s="243">
        <f>354096488-1500000</f>
        <v>352596488</v>
      </c>
      <c r="Q62" s="240">
        <v>1500000</v>
      </c>
      <c r="R62" s="241">
        <f t="shared" si="14"/>
        <v>354096488</v>
      </c>
      <c r="S62" s="238">
        <f t="shared" si="15"/>
        <v>354096488</v>
      </c>
    </row>
    <row r="63" spans="1:19">
      <c r="A63" s="14" t="s">
        <v>7</v>
      </c>
      <c r="B63" s="138" t="s">
        <v>26</v>
      </c>
      <c r="C63" s="143"/>
      <c r="D63" s="146"/>
      <c r="E63" s="143">
        <v>5263984</v>
      </c>
      <c r="F63" s="146">
        <v>101000</v>
      </c>
      <c r="G63" s="143">
        <f>88202564+7575928</f>
        <v>95778492</v>
      </c>
      <c r="H63" s="143">
        <f t="shared" si="12"/>
        <v>101143476</v>
      </c>
      <c r="I63" s="146" t="s">
        <v>71</v>
      </c>
      <c r="J63" s="242"/>
      <c r="K63" s="242"/>
      <c r="L63" s="243"/>
      <c r="M63" s="244"/>
      <c r="N63" s="241">
        <f t="shared" si="13"/>
        <v>0</v>
      </c>
      <c r="O63" s="242"/>
      <c r="P63" s="243">
        <v>17188494</v>
      </c>
      <c r="Q63" s="240">
        <v>0</v>
      </c>
      <c r="R63" s="241">
        <f t="shared" si="14"/>
        <v>17188494</v>
      </c>
      <c r="S63" s="238">
        <f t="shared" si="15"/>
        <v>17188494</v>
      </c>
    </row>
    <row r="64" spans="1:19">
      <c r="A64" s="14" t="s">
        <v>8</v>
      </c>
      <c r="B64" s="138" t="s">
        <v>149</v>
      </c>
      <c r="C64" s="143">
        <v>0</v>
      </c>
      <c r="D64" s="146"/>
      <c r="E64" s="143"/>
      <c r="F64" s="146">
        <v>0</v>
      </c>
      <c r="G64" s="143">
        <v>29995684</v>
      </c>
      <c r="H64" s="143">
        <f t="shared" si="12"/>
        <v>29995684</v>
      </c>
      <c r="I64" s="146" t="s">
        <v>118</v>
      </c>
      <c r="J64" s="242">
        <v>0</v>
      </c>
      <c r="K64" s="242"/>
      <c r="L64" s="243"/>
      <c r="M64" s="244"/>
      <c r="N64" s="241">
        <f t="shared" si="13"/>
        <v>0</v>
      </c>
      <c r="O64" s="242"/>
      <c r="P64" s="243">
        <f>189474785+152794+994963+142646</f>
        <v>190765188</v>
      </c>
      <c r="Q64" s="240">
        <v>0</v>
      </c>
      <c r="R64" s="241">
        <f t="shared" si="14"/>
        <v>190765188</v>
      </c>
      <c r="S64" s="238">
        <f t="shared" si="15"/>
        <v>190765188</v>
      </c>
    </row>
    <row r="65" spans="1:20">
      <c r="A65" s="14" t="s">
        <v>23</v>
      </c>
      <c r="B65" s="138"/>
      <c r="C65" s="143">
        <v>0</v>
      </c>
      <c r="D65" s="146"/>
      <c r="E65" s="143"/>
      <c r="F65" s="146">
        <v>0</v>
      </c>
      <c r="G65" s="143">
        <v>0</v>
      </c>
      <c r="H65" s="143">
        <f t="shared" si="12"/>
        <v>0</v>
      </c>
      <c r="I65" s="146"/>
      <c r="J65" s="242"/>
      <c r="K65" s="242"/>
      <c r="L65" s="243">
        <v>0</v>
      </c>
      <c r="M65" s="244"/>
      <c r="N65" s="241">
        <f t="shared" si="13"/>
        <v>0</v>
      </c>
      <c r="O65" s="242"/>
      <c r="P65" s="243">
        <v>0</v>
      </c>
      <c r="Q65" s="240"/>
      <c r="R65" s="241">
        <f t="shared" si="14"/>
        <v>0</v>
      </c>
      <c r="S65" s="238">
        <f t="shared" si="15"/>
        <v>0</v>
      </c>
    </row>
    <row r="66" spans="1:20">
      <c r="A66" s="153" t="s">
        <v>24</v>
      </c>
      <c r="B66" s="139" t="s">
        <v>28</v>
      </c>
      <c r="C66" s="144">
        <f t="shared" ref="C66:G66" si="16">SUM(C59:C65)</f>
        <v>2563000</v>
      </c>
      <c r="D66" s="147">
        <f t="shared" si="16"/>
        <v>503000</v>
      </c>
      <c r="E66" s="144">
        <f t="shared" si="16"/>
        <v>16009984</v>
      </c>
      <c r="F66" s="147">
        <f t="shared" si="16"/>
        <v>8178442</v>
      </c>
      <c r="G66" s="144">
        <f t="shared" si="16"/>
        <v>592722367</v>
      </c>
      <c r="H66" s="144">
        <f>SUM(H59:H65)</f>
        <v>619976793</v>
      </c>
      <c r="I66" s="147" t="s">
        <v>29</v>
      </c>
      <c r="J66" s="245">
        <f t="shared" ref="J66:S66" si="17">SUM(J59:J65)</f>
        <v>22098466</v>
      </c>
      <c r="K66" s="245">
        <f t="shared" si="17"/>
        <v>11380532</v>
      </c>
      <c r="L66" s="246">
        <f t="shared" si="17"/>
        <v>38718554</v>
      </c>
      <c r="M66" s="247">
        <f t="shared" si="17"/>
        <v>34550602</v>
      </c>
      <c r="N66" s="248">
        <f t="shared" si="17"/>
        <v>73269156</v>
      </c>
      <c r="O66" s="245">
        <f t="shared" si="17"/>
        <v>124003429</v>
      </c>
      <c r="P66" s="246">
        <f t="shared" si="17"/>
        <v>863925183</v>
      </c>
      <c r="Q66" s="247">
        <f t="shared" si="17"/>
        <v>1500000</v>
      </c>
      <c r="R66" s="248">
        <f t="shared" si="17"/>
        <v>865425183</v>
      </c>
      <c r="S66" s="245">
        <f t="shared" si="17"/>
        <v>1096176766</v>
      </c>
    </row>
    <row r="67" spans="1:20">
      <c r="A67" s="14" t="s">
        <v>30</v>
      </c>
      <c r="B67" s="158" t="s">
        <v>43</v>
      </c>
      <c r="C67" s="159">
        <f>SUM(C68:C69)</f>
        <v>19660466</v>
      </c>
      <c r="D67" s="160">
        <f>SUM(D68:D69)</f>
        <v>11297532</v>
      </c>
      <c r="E67" s="159">
        <f>SUM(E68:E69)</f>
        <v>57489172</v>
      </c>
      <c r="F67" s="160">
        <f>SUM(F68:F69)</f>
        <v>115924987</v>
      </c>
      <c r="G67" s="159">
        <f>SUM(G68:G69)</f>
        <v>294191568</v>
      </c>
      <c r="H67" s="159">
        <f t="shared" ref="H67:H74" si="18">SUM(C67:G67)</f>
        <v>498563725</v>
      </c>
      <c r="I67" s="146" t="s">
        <v>50</v>
      </c>
      <c r="J67" s="242">
        <v>0</v>
      </c>
      <c r="K67" s="242"/>
      <c r="L67" s="243"/>
      <c r="M67" s="244"/>
      <c r="N67" s="249"/>
      <c r="O67" s="242">
        <v>0</v>
      </c>
      <c r="P67" s="243">
        <v>0</v>
      </c>
      <c r="Q67" s="244"/>
      <c r="R67" s="249"/>
      <c r="S67" s="242">
        <f t="shared" ref="S67:S72" si="19">SUM(J67:P67)</f>
        <v>0</v>
      </c>
    </row>
    <row r="68" spans="1:20">
      <c r="A68" s="14" t="s">
        <v>31</v>
      </c>
      <c r="B68" s="138" t="s">
        <v>122</v>
      </c>
      <c r="C68" s="143">
        <v>478311</v>
      </c>
      <c r="D68" s="146">
        <v>45294</v>
      </c>
      <c r="E68" s="143">
        <v>0</v>
      </c>
      <c r="F68" s="146">
        <v>13083364</v>
      </c>
      <c r="G68" s="143">
        <v>294191568</v>
      </c>
      <c r="H68" s="143">
        <f t="shared" si="18"/>
        <v>307798537</v>
      </c>
      <c r="I68" s="146" t="s">
        <v>51</v>
      </c>
      <c r="J68" s="242">
        <v>0</v>
      </c>
      <c r="K68" s="242"/>
      <c r="L68" s="243"/>
      <c r="M68" s="244"/>
      <c r="N68" s="249"/>
      <c r="O68" s="242">
        <v>0</v>
      </c>
      <c r="P68" s="243">
        <v>0</v>
      </c>
      <c r="Q68" s="244"/>
      <c r="R68" s="249"/>
      <c r="S68" s="242">
        <f t="shared" si="19"/>
        <v>0</v>
      </c>
    </row>
    <row r="69" spans="1:20">
      <c r="A69" s="14" t="s">
        <v>32</v>
      </c>
      <c r="B69" s="138" t="s">
        <v>123</v>
      </c>
      <c r="C69" s="162">
        <v>19182155</v>
      </c>
      <c r="D69" s="146">
        <v>11252238</v>
      </c>
      <c r="E69" s="143">
        <v>57489172</v>
      </c>
      <c r="F69" s="167">
        <f>102838451+3172</f>
        <v>102841623</v>
      </c>
      <c r="G69" s="143">
        <v>0</v>
      </c>
      <c r="H69" s="143">
        <f t="shared" si="18"/>
        <v>190765188</v>
      </c>
      <c r="I69" s="146" t="s">
        <v>52</v>
      </c>
      <c r="J69" s="242">
        <v>0</v>
      </c>
      <c r="K69" s="242"/>
      <c r="L69" s="243"/>
      <c r="M69" s="244"/>
      <c r="N69" s="249"/>
      <c r="O69" s="242">
        <v>0</v>
      </c>
      <c r="P69" s="243">
        <v>0</v>
      </c>
      <c r="Q69" s="244"/>
      <c r="R69" s="249"/>
      <c r="S69" s="242">
        <f t="shared" si="19"/>
        <v>0</v>
      </c>
    </row>
    <row r="70" spans="1:20">
      <c r="A70" s="14" t="s">
        <v>33</v>
      </c>
      <c r="B70" s="158" t="s">
        <v>44</v>
      </c>
      <c r="C70" s="159">
        <f>SUM(C71:C72)</f>
        <v>0</v>
      </c>
      <c r="D70" s="160"/>
      <c r="E70" s="159"/>
      <c r="F70" s="160">
        <f>SUM(F71:F72)</f>
        <v>0</v>
      </c>
      <c r="G70" s="159">
        <f>SUM(G71:G72)</f>
        <v>0</v>
      </c>
      <c r="H70" s="143">
        <f t="shared" si="18"/>
        <v>0</v>
      </c>
      <c r="I70" s="146" t="s">
        <v>83</v>
      </c>
      <c r="J70" s="242">
        <v>0</v>
      </c>
      <c r="K70" s="242"/>
      <c r="L70" s="243"/>
      <c r="M70" s="244"/>
      <c r="N70" s="249"/>
      <c r="O70" s="242">
        <v>0</v>
      </c>
      <c r="P70" s="243"/>
      <c r="Q70" s="244"/>
      <c r="R70" s="249"/>
      <c r="S70" s="242">
        <f t="shared" si="19"/>
        <v>0</v>
      </c>
    </row>
    <row r="71" spans="1:20">
      <c r="A71" s="14" t="s">
        <v>34</v>
      </c>
      <c r="B71" s="138" t="s">
        <v>124</v>
      </c>
      <c r="C71" s="143">
        <v>0</v>
      </c>
      <c r="D71" s="146"/>
      <c r="E71" s="143"/>
      <c r="F71" s="146">
        <v>0</v>
      </c>
      <c r="G71" s="143">
        <v>0</v>
      </c>
      <c r="H71" s="143">
        <f t="shared" si="18"/>
        <v>0</v>
      </c>
      <c r="I71" s="146" t="s">
        <v>0</v>
      </c>
      <c r="J71" s="242">
        <v>0</v>
      </c>
      <c r="K71" s="242"/>
      <c r="L71" s="243"/>
      <c r="M71" s="244"/>
      <c r="N71" s="249"/>
      <c r="O71" s="242">
        <v>0</v>
      </c>
      <c r="P71" s="243">
        <v>0</v>
      </c>
      <c r="Q71" s="244"/>
      <c r="R71" s="249"/>
      <c r="S71" s="242">
        <f t="shared" si="19"/>
        <v>0</v>
      </c>
    </row>
    <row r="72" spans="1:20">
      <c r="A72" s="14" t="s">
        <v>35</v>
      </c>
      <c r="B72" s="138" t="s">
        <v>125</v>
      </c>
      <c r="C72" s="143">
        <v>0</v>
      </c>
      <c r="D72" s="146"/>
      <c r="E72" s="143"/>
      <c r="F72" s="146">
        <v>0</v>
      </c>
      <c r="G72" s="143">
        <v>0</v>
      </c>
      <c r="H72" s="143">
        <f t="shared" si="18"/>
        <v>0</v>
      </c>
      <c r="I72" s="146"/>
      <c r="J72" s="242">
        <v>0</v>
      </c>
      <c r="K72" s="242"/>
      <c r="L72" s="243">
        <v>0</v>
      </c>
      <c r="M72" s="244"/>
      <c r="N72" s="249"/>
      <c r="O72" s="242">
        <v>0</v>
      </c>
      <c r="P72" s="243">
        <v>0</v>
      </c>
      <c r="Q72" s="244"/>
      <c r="R72" s="249"/>
      <c r="S72" s="242">
        <f t="shared" si="19"/>
        <v>0</v>
      </c>
    </row>
    <row r="73" spans="1:20">
      <c r="A73" s="153" t="s">
        <v>36</v>
      </c>
      <c r="B73" s="139" t="s">
        <v>46</v>
      </c>
      <c r="C73" s="144">
        <f>SUM(C67+C70)</f>
        <v>19660466</v>
      </c>
      <c r="D73" s="147">
        <f>SUM(D67+D70)</f>
        <v>11297532</v>
      </c>
      <c r="E73" s="144">
        <f>SUM(E67+E70)</f>
        <v>57489172</v>
      </c>
      <c r="F73" s="147">
        <f>SUM(F67+F70)</f>
        <v>115924987</v>
      </c>
      <c r="G73" s="144">
        <f>SUM(G67+G70)</f>
        <v>294191568</v>
      </c>
      <c r="H73" s="144">
        <f t="shared" si="18"/>
        <v>498563725</v>
      </c>
      <c r="I73" s="147" t="s">
        <v>11</v>
      </c>
      <c r="J73" s="245">
        <f>SUM(J67:J72)</f>
        <v>0</v>
      </c>
      <c r="K73" s="245"/>
      <c r="L73" s="246"/>
      <c r="M73" s="247"/>
      <c r="N73" s="248"/>
      <c r="O73" s="245">
        <f>SUM(O67:O72)</f>
        <v>0</v>
      </c>
      <c r="P73" s="246">
        <f>SUM(P67:P72)</f>
        <v>0</v>
      </c>
      <c r="Q73" s="247"/>
      <c r="R73" s="248"/>
      <c r="S73" s="245">
        <f>SUM(S67:S72)</f>
        <v>0</v>
      </c>
    </row>
    <row r="74" spans="1:20" ht="13.5" thickBot="1">
      <c r="A74" s="154" t="s">
        <v>37</v>
      </c>
      <c r="B74" s="155" t="s">
        <v>47</v>
      </c>
      <c r="C74" s="145">
        <f>SUM(C66+C73)</f>
        <v>22223466</v>
      </c>
      <c r="D74" s="161">
        <f>SUM(D66+D73)</f>
        <v>11800532</v>
      </c>
      <c r="E74" s="145">
        <f>SUM(E66+E73)</f>
        <v>73499156</v>
      </c>
      <c r="F74" s="161">
        <f>SUM(F66+F73)</f>
        <v>124103429</v>
      </c>
      <c r="G74" s="145">
        <f>SUM(G66+G73)</f>
        <v>886913935</v>
      </c>
      <c r="H74" s="145">
        <f t="shared" si="18"/>
        <v>1118540518</v>
      </c>
      <c r="I74" s="161" t="s">
        <v>54</v>
      </c>
      <c r="J74" s="250">
        <f t="shared" ref="J74:S74" si="20">SUM(J66+J73)</f>
        <v>22098466</v>
      </c>
      <c r="K74" s="250">
        <f t="shared" si="20"/>
        <v>11380532</v>
      </c>
      <c r="L74" s="251">
        <f t="shared" si="20"/>
        <v>38718554</v>
      </c>
      <c r="M74" s="252">
        <f t="shared" si="20"/>
        <v>34550602</v>
      </c>
      <c r="N74" s="253">
        <f t="shared" si="20"/>
        <v>73269156</v>
      </c>
      <c r="O74" s="250">
        <f t="shared" si="20"/>
        <v>124003429</v>
      </c>
      <c r="P74" s="251">
        <f t="shared" si="20"/>
        <v>863925183</v>
      </c>
      <c r="Q74" s="252">
        <f t="shared" si="20"/>
        <v>1500000</v>
      </c>
      <c r="R74" s="253">
        <f t="shared" si="20"/>
        <v>865425183</v>
      </c>
      <c r="S74" s="250">
        <f t="shared" si="20"/>
        <v>1096176766</v>
      </c>
    </row>
    <row r="75" spans="1:20">
      <c r="A75" s="7" t="s">
        <v>38</v>
      </c>
      <c r="B75" s="282" t="s">
        <v>48</v>
      </c>
      <c r="C75" s="283"/>
      <c r="D75" s="283"/>
      <c r="E75" s="283"/>
      <c r="F75" s="283"/>
      <c r="G75" s="284"/>
      <c r="H75" s="282">
        <f>SUM(H74-S74)</f>
        <v>22363752</v>
      </c>
      <c r="I75" s="283"/>
      <c r="J75" s="283"/>
      <c r="K75" s="283"/>
      <c r="L75" s="283"/>
      <c r="M75" s="283"/>
      <c r="N75" s="283"/>
      <c r="O75" s="283"/>
      <c r="P75" s="283"/>
      <c r="Q75" s="283"/>
      <c r="R75" s="283"/>
      <c r="S75" s="284"/>
    </row>
    <row r="76" spans="1:20">
      <c r="A76" s="3" t="s">
        <v>39</v>
      </c>
      <c r="B76" s="285" t="s">
        <v>49</v>
      </c>
      <c r="C76" s="286"/>
      <c r="D76" s="286"/>
      <c r="E76" s="286"/>
      <c r="F76" s="286"/>
      <c r="G76" s="287"/>
      <c r="H76" s="285">
        <f>SUM(H74-S74)</f>
        <v>22363752</v>
      </c>
      <c r="I76" s="286"/>
      <c r="J76" s="286"/>
      <c r="K76" s="286"/>
      <c r="L76" s="286"/>
      <c r="M76" s="286"/>
      <c r="N76" s="286"/>
      <c r="O76" s="286"/>
      <c r="P76" s="286"/>
      <c r="Q76" s="286"/>
      <c r="R76" s="286"/>
      <c r="S76" s="287"/>
    </row>
    <row r="77" spans="1:20">
      <c r="A77" s="216"/>
      <c r="B77" s="1"/>
      <c r="C77" s="1"/>
      <c r="D77" s="1"/>
      <c r="E77" s="1"/>
      <c r="F77" s="1"/>
      <c r="G77" s="1"/>
      <c r="H77" s="1"/>
      <c r="I77" s="1"/>
      <c r="J77" s="254"/>
      <c r="K77" s="254"/>
      <c r="L77" s="254"/>
      <c r="M77" s="254"/>
      <c r="N77" s="254"/>
      <c r="O77" s="254"/>
      <c r="P77" s="254"/>
      <c r="Q77" s="254"/>
      <c r="R77" s="254"/>
      <c r="S77" s="254"/>
    </row>
    <row r="78" spans="1:20" ht="13.5" thickBot="1">
      <c r="A78" s="281"/>
      <c r="B78" s="281"/>
      <c r="C78" s="281"/>
      <c r="D78" s="281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8"/>
    </row>
    <row r="79" spans="1:20" ht="13.5" thickBot="1">
      <c r="A79" s="214" t="s">
        <v>12</v>
      </c>
      <c r="B79" s="149" t="s">
        <v>66</v>
      </c>
      <c r="C79" s="288" t="s">
        <v>13</v>
      </c>
      <c r="D79" s="289"/>
      <c r="E79" s="289"/>
      <c r="F79" s="289"/>
      <c r="G79" s="289"/>
      <c r="H79" s="289"/>
      <c r="I79" s="140" t="s">
        <v>66</v>
      </c>
      <c r="J79" s="290" t="s">
        <v>14</v>
      </c>
      <c r="K79" s="291"/>
      <c r="L79" s="292"/>
      <c r="M79" s="292"/>
      <c r="N79" s="292"/>
      <c r="O79" s="292"/>
      <c r="P79" s="292"/>
      <c r="Q79" s="292"/>
      <c r="R79" s="292"/>
      <c r="S79" s="293"/>
    </row>
    <row r="80" spans="1:20">
      <c r="A80" s="164" t="s">
        <v>15</v>
      </c>
      <c r="B80" s="217" t="s">
        <v>64</v>
      </c>
      <c r="C80" s="140" t="s">
        <v>171</v>
      </c>
      <c r="D80" s="140" t="s">
        <v>185</v>
      </c>
      <c r="E80" s="140" t="s">
        <v>173</v>
      </c>
      <c r="F80" s="140" t="s">
        <v>179</v>
      </c>
      <c r="G80" s="140" t="s">
        <v>178</v>
      </c>
      <c r="H80" s="214" t="s">
        <v>16</v>
      </c>
      <c r="I80" s="165" t="s">
        <v>65</v>
      </c>
      <c r="J80" s="255" t="s">
        <v>171</v>
      </c>
      <c r="K80" s="256" t="s">
        <v>185</v>
      </c>
      <c r="L80" s="294" t="s">
        <v>186</v>
      </c>
      <c r="M80" s="291"/>
      <c r="N80" s="291"/>
      <c r="O80" s="230" t="s">
        <v>179</v>
      </c>
      <c r="P80" s="294" t="s">
        <v>181</v>
      </c>
      <c r="Q80" s="291"/>
      <c r="R80" s="291"/>
      <c r="S80" s="230" t="s">
        <v>16</v>
      </c>
    </row>
    <row r="81" spans="1:19" ht="13.5" thickBot="1">
      <c r="A81" s="164"/>
      <c r="B81" s="217"/>
      <c r="C81" s="141" t="s">
        <v>86</v>
      </c>
      <c r="D81" s="141" t="s">
        <v>172</v>
      </c>
      <c r="E81" s="141" t="s">
        <v>174</v>
      </c>
      <c r="F81" s="141" t="s">
        <v>176</v>
      </c>
      <c r="G81" s="141"/>
      <c r="H81" s="164"/>
      <c r="I81" s="166"/>
      <c r="J81" s="231" t="s">
        <v>86</v>
      </c>
      <c r="K81" s="256" t="s">
        <v>172</v>
      </c>
      <c r="L81" s="235" t="s">
        <v>182</v>
      </c>
      <c r="M81" s="236" t="s">
        <v>180</v>
      </c>
      <c r="N81" s="257" t="s">
        <v>67</v>
      </c>
      <c r="O81" s="231" t="s">
        <v>176</v>
      </c>
      <c r="P81" s="258" t="s">
        <v>182</v>
      </c>
      <c r="Q81" s="236" t="s">
        <v>183</v>
      </c>
      <c r="R81" s="259" t="s">
        <v>67</v>
      </c>
      <c r="S81" s="231"/>
    </row>
    <row r="82" spans="1:19">
      <c r="A82" s="14" t="s">
        <v>2</v>
      </c>
      <c r="B82" s="138" t="s">
        <v>57</v>
      </c>
      <c r="C82" s="142"/>
      <c r="D82" s="142"/>
      <c r="E82" s="142"/>
      <c r="F82" s="142"/>
      <c r="G82" s="142">
        <v>2540000</v>
      </c>
      <c r="H82" s="142">
        <f>SUM(C82:G82)</f>
        <v>2540000</v>
      </c>
      <c r="I82" s="142" t="s">
        <v>55</v>
      </c>
      <c r="J82" s="242">
        <v>125000</v>
      </c>
      <c r="K82" s="260">
        <v>420000</v>
      </c>
      <c r="L82" s="243">
        <v>230000</v>
      </c>
      <c r="M82" s="244"/>
      <c r="N82" s="261">
        <f>SUM(L82:M82)</f>
        <v>230000</v>
      </c>
      <c r="O82" s="238">
        <v>100000</v>
      </c>
      <c r="P82" s="243">
        <v>104803693</v>
      </c>
      <c r="Q82" s="244">
        <v>0</v>
      </c>
      <c r="R82" s="261">
        <f>P82+Q82</f>
        <v>104803693</v>
      </c>
      <c r="S82" s="238">
        <f>J82+K82+L82+O82+R82</f>
        <v>105678693</v>
      </c>
    </row>
    <row r="83" spans="1:19">
      <c r="A83" s="14" t="s">
        <v>3</v>
      </c>
      <c r="B83" s="138" t="s">
        <v>22</v>
      </c>
      <c r="C83" s="143"/>
      <c r="D83" s="143"/>
      <c r="E83" s="143"/>
      <c r="F83" s="143"/>
      <c r="G83" s="143"/>
      <c r="H83" s="143">
        <f t="shared" ref="H83:H84" si="21">SUM(C83:G83)</f>
        <v>0</v>
      </c>
      <c r="I83" s="143" t="s">
        <v>56</v>
      </c>
      <c r="J83" s="242">
        <v>0</v>
      </c>
      <c r="K83" s="260"/>
      <c r="L83" s="243"/>
      <c r="M83" s="244"/>
      <c r="N83" s="261"/>
      <c r="O83" s="242">
        <v>0</v>
      </c>
      <c r="P83" s="243">
        <v>73534536</v>
      </c>
      <c r="Q83" s="244">
        <v>0</v>
      </c>
      <c r="R83" s="261">
        <f t="shared" ref="R83:R88" si="22">P83+Q83</f>
        <v>73534536</v>
      </c>
      <c r="S83" s="238">
        <f t="shared" ref="S83:S97" si="23">J83+K83+L83+O83+R83</f>
        <v>73534536</v>
      </c>
    </row>
    <row r="84" spans="1:19">
      <c r="A84" s="14" t="s">
        <v>4</v>
      </c>
      <c r="B84" s="138" t="s">
        <v>58</v>
      </c>
      <c r="C84" s="143"/>
      <c r="D84" s="143"/>
      <c r="E84" s="143">
        <v>0</v>
      </c>
      <c r="F84" s="143"/>
      <c r="G84" s="143">
        <f>30982151+14228098</f>
        <v>45210249</v>
      </c>
      <c r="H84" s="143">
        <f t="shared" si="21"/>
        <v>45210249</v>
      </c>
      <c r="I84" s="143" t="s">
        <v>21</v>
      </c>
      <c r="J84" s="242"/>
      <c r="K84" s="260"/>
      <c r="L84" s="243"/>
      <c r="M84" s="244"/>
      <c r="N84" s="261"/>
      <c r="O84" s="242">
        <v>0</v>
      </c>
      <c r="P84" s="243">
        <v>0</v>
      </c>
      <c r="Q84" s="244">
        <v>0</v>
      </c>
      <c r="R84" s="261">
        <f t="shared" si="22"/>
        <v>0</v>
      </c>
      <c r="S84" s="238">
        <f t="shared" si="23"/>
        <v>0</v>
      </c>
    </row>
    <row r="85" spans="1:19">
      <c r="A85" s="14" t="s">
        <v>5</v>
      </c>
      <c r="B85" s="138" t="s">
        <v>60</v>
      </c>
      <c r="C85" s="143"/>
      <c r="D85" s="143"/>
      <c r="E85" s="143"/>
      <c r="F85" s="143"/>
      <c r="G85" s="143">
        <v>0</v>
      </c>
      <c r="H85" s="143">
        <f>SUM(C85:G85)</f>
        <v>0</v>
      </c>
      <c r="I85" s="143" t="s">
        <v>72</v>
      </c>
      <c r="J85" s="242"/>
      <c r="K85" s="260"/>
      <c r="L85" s="243"/>
      <c r="M85" s="244"/>
      <c r="N85" s="261"/>
      <c r="O85" s="242"/>
      <c r="P85" s="243">
        <v>0</v>
      </c>
      <c r="Q85" s="244">
        <v>0</v>
      </c>
      <c r="R85" s="261">
        <f t="shared" si="22"/>
        <v>0</v>
      </c>
      <c r="S85" s="238">
        <f t="shared" si="23"/>
        <v>0</v>
      </c>
    </row>
    <row r="86" spans="1:19">
      <c r="A86" s="14" t="s">
        <v>7</v>
      </c>
      <c r="B86" s="138" t="s">
        <v>79</v>
      </c>
      <c r="C86" s="143"/>
      <c r="D86" s="143"/>
      <c r="E86" s="143"/>
      <c r="F86" s="143">
        <v>0</v>
      </c>
      <c r="G86" s="143">
        <v>0</v>
      </c>
      <c r="H86" s="143">
        <f t="shared" ref="H86:H98" si="24">SUM(C86:G86)</f>
        <v>0</v>
      </c>
      <c r="I86" s="143"/>
      <c r="J86" s="242">
        <v>0</v>
      </c>
      <c r="K86" s="260"/>
      <c r="L86" s="243"/>
      <c r="M86" s="244"/>
      <c r="N86" s="261"/>
      <c r="O86" s="242">
        <v>0</v>
      </c>
      <c r="P86" s="243">
        <v>0</v>
      </c>
      <c r="Q86" s="244">
        <v>0</v>
      </c>
      <c r="R86" s="261">
        <f t="shared" si="22"/>
        <v>0</v>
      </c>
      <c r="S86" s="238">
        <f t="shared" si="23"/>
        <v>0</v>
      </c>
    </row>
    <row r="87" spans="1:19">
      <c r="A87" s="14" t="s">
        <v>8</v>
      </c>
      <c r="B87" s="138" t="s">
        <v>62</v>
      </c>
      <c r="C87" s="143"/>
      <c r="D87" s="143"/>
      <c r="E87" s="143"/>
      <c r="F87" s="143"/>
      <c r="G87" s="143"/>
      <c r="H87" s="143">
        <f t="shared" si="24"/>
        <v>0</v>
      </c>
      <c r="I87" s="143"/>
      <c r="J87" s="242">
        <v>0</v>
      </c>
      <c r="K87" s="260"/>
      <c r="L87" s="243"/>
      <c r="M87" s="244"/>
      <c r="N87" s="261"/>
      <c r="O87" s="242">
        <v>0</v>
      </c>
      <c r="P87" s="243">
        <v>0</v>
      </c>
      <c r="Q87" s="244">
        <v>0</v>
      </c>
      <c r="R87" s="261">
        <f t="shared" si="22"/>
        <v>0</v>
      </c>
      <c r="S87" s="238">
        <f t="shared" si="23"/>
        <v>0</v>
      </c>
    </row>
    <row r="88" spans="1:19">
      <c r="A88" s="153" t="s">
        <v>23</v>
      </c>
      <c r="B88" s="139" t="s">
        <v>28</v>
      </c>
      <c r="C88" s="144">
        <f>SUM(C82:C87)</f>
        <v>0</v>
      </c>
      <c r="D88" s="144"/>
      <c r="E88" s="144"/>
      <c r="F88" s="144">
        <f>SUM(F82:F87)</f>
        <v>0</v>
      </c>
      <c r="G88" s="144">
        <f>SUM(G82:G87)</f>
        <v>47750249</v>
      </c>
      <c r="H88" s="144">
        <f t="shared" si="24"/>
        <v>47750249</v>
      </c>
      <c r="I88" s="144" t="s">
        <v>29</v>
      </c>
      <c r="J88" s="245">
        <f>SUM(J82:J87)</f>
        <v>125000</v>
      </c>
      <c r="K88" s="245">
        <f>SUM(K82:K87)</f>
        <v>420000</v>
      </c>
      <c r="L88" s="246">
        <f>SUM(L82:L87)</f>
        <v>230000</v>
      </c>
      <c r="M88" s="247"/>
      <c r="N88" s="261">
        <f>SUM(L88:M88)</f>
        <v>230000</v>
      </c>
      <c r="O88" s="245">
        <f>SUM(O82:O87)</f>
        <v>100000</v>
      </c>
      <c r="P88" s="246">
        <f>SUM(P82:P87)</f>
        <v>178338229</v>
      </c>
      <c r="Q88" s="247">
        <v>0</v>
      </c>
      <c r="R88" s="261">
        <f t="shared" si="22"/>
        <v>178338229</v>
      </c>
      <c r="S88" s="238">
        <f t="shared" si="23"/>
        <v>179213229</v>
      </c>
    </row>
    <row r="89" spans="1:19">
      <c r="A89" s="14" t="s">
        <v>24</v>
      </c>
      <c r="B89" s="158" t="s">
        <v>43</v>
      </c>
      <c r="C89" s="159">
        <f>SUM(C90:C91)</f>
        <v>0</v>
      </c>
      <c r="D89" s="159"/>
      <c r="E89" s="159"/>
      <c r="F89" s="159">
        <f>SUM(F90:F91)</f>
        <v>0</v>
      </c>
      <c r="G89" s="159">
        <f>SUM(G90:G91)</f>
        <v>145305055</v>
      </c>
      <c r="H89" s="159">
        <f t="shared" si="24"/>
        <v>145305055</v>
      </c>
      <c r="I89" s="143" t="s">
        <v>50</v>
      </c>
      <c r="J89" s="242">
        <v>0</v>
      </c>
      <c r="K89" s="260"/>
      <c r="L89" s="243"/>
      <c r="M89" s="244"/>
      <c r="N89" s="261"/>
      <c r="O89" s="242">
        <v>0</v>
      </c>
      <c r="P89" s="243">
        <v>0</v>
      </c>
      <c r="Q89" s="244"/>
      <c r="R89" s="261"/>
      <c r="S89" s="238">
        <f t="shared" si="23"/>
        <v>0</v>
      </c>
    </row>
    <row r="90" spans="1:19">
      <c r="A90" s="14" t="s">
        <v>30</v>
      </c>
      <c r="B90" s="138" t="s">
        <v>41</v>
      </c>
      <c r="C90" s="143"/>
      <c r="D90" s="143"/>
      <c r="E90" s="143"/>
      <c r="F90" s="143"/>
      <c r="G90" s="143">
        <v>120556562</v>
      </c>
      <c r="H90" s="143">
        <f t="shared" si="24"/>
        <v>120556562</v>
      </c>
      <c r="I90" s="143" t="s">
        <v>51</v>
      </c>
      <c r="J90" s="242">
        <v>0</v>
      </c>
      <c r="K90" s="260"/>
      <c r="L90" s="243"/>
      <c r="M90" s="244"/>
      <c r="N90" s="261"/>
      <c r="O90" s="242">
        <v>0</v>
      </c>
      <c r="P90" s="243">
        <v>0</v>
      </c>
      <c r="Q90" s="244"/>
      <c r="R90" s="261"/>
      <c r="S90" s="238">
        <f t="shared" si="23"/>
        <v>0</v>
      </c>
    </row>
    <row r="91" spans="1:19">
      <c r="A91" s="14" t="s">
        <v>31</v>
      </c>
      <c r="B91" s="138" t="s">
        <v>194</v>
      </c>
      <c r="C91" s="143"/>
      <c r="D91" s="143"/>
      <c r="E91" s="143"/>
      <c r="F91" s="143"/>
      <c r="G91" s="143">
        <v>24748493</v>
      </c>
      <c r="H91" s="143">
        <f t="shared" si="24"/>
        <v>24748493</v>
      </c>
      <c r="I91" s="143" t="s">
        <v>52</v>
      </c>
      <c r="J91" s="242">
        <v>0</v>
      </c>
      <c r="K91" s="260"/>
      <c r="L91" s="243"/>
      <c r="M91" s="244"/>
      <c r="N91" s="261"/>
      <c r="O91" s="242">
        <v>0</v>
      </c>
      <c r="P91" s="243">
        <v>0</v>
      </c>
      <c r="Q91" s="244"/>
      <c r="R91" s="261"/>
      <c r="S91" s="238">
        <f t="shared" si="23"/>
        <v>0</v>
      </c>
    </row>
    <row r="92" spans="1:19">
      <c r="A92" s="14" t="s">
        <v>32</v>
      </c>
      <c r="B92" s="158" t="s">
        <v>44</v>
      </c>
      <c r="C92" s="159">
        <f>SUM(C93:C96)</f>
        <v>0</v>
      </c>
      <c r="D92" s="159"/>
      <c r="E92" s="159"/>
      <c r="F92" s="159">
        <f>SUM(F93:F96)</f>
        <v>0</v>
      </c>
      <c r="G92" s="159">
        <f>SUM(G93:G96)</f>
        <v>0</v>
      </c>
      <c r="H92" s="159">
        <f t="shared" si="24"/>
        <v>0</v>
      </c>
      <c r="I92" s="143" t="s">
        <v>80</v>
      </c>
      <c r="J92" s="242">
        <v>0</v>
      </c>
      <c r="K92" s="260"/>
      <c r="L92" s="243"/>
      <c r="M92" s="244"/>
      <c r="N92" s="261"/>
      <c r="O92" s="242">
        <v>0</v>
      </c>
      <c r="P92" s="243">
        <v>0</v>
      </c>
      <c r="Q92" s="244"/>
      <c r="R92" s="261"/>
      <c r="S92" s="238">
        <f t="shared" si="23"/>
        <v>0</v>
      </c>
    </row>
    <row r="93" spans="1:19">
      <c r="A93" s="14" t="s">
        <v>33</v>
      </c>
      <c r="B93" s="138" t="s">
        <v>45</v>
      </c>
      <c r="C93" s="143"/>
      <c r="D93" s="143"/>
      <c r="E93" s="143"/>
      <c r="F93" s="143"/>
      <c r="G93" s="143"/>
      <c r="H93" s="143">
        <f t="shared" si="24"/>
        <v>0</v>
      </c>
      <c r="I93" s="143" t="s">
        <v>193</v>
      </c>
      <c r="J93" s="242"/>
      <c r="K93" s="260"/>
      <c r="L93" s="243"/>
      <c r="M93" s="244"/>
      <c r="N93" s="261"/>
      <c r="O93" s="242"/>
      <c r="P93" s="243">
        <v>36205827</v>
      </c>
      <c r="Q93" s="244"/>
      <c r="R93" s="261">
        <f>SUM(P93)</f>
        <v>36205827</v>
      </c>
      <c r="S93" s="238">
        <f t="shared" si="23"/>
        <v>36205827</v>
      </c>
    </row>
    <row r="94" spans="1:19">
      <c r="A94" s="14" t="s">
        <v>34</v>
      </c>
      <c r="B94" s="138" t="s">
        <v>9</v>
      </c>
      <c r="C94" s="143"/>
      <c r="D94" s="143"/>
      <c r="E94" s="143"/>
      <c r="F94" s="143"/>
      <c r="G94" s="143">
        <v>0</v>
      </c>
      <c r="H94" s="143">
        <f t="shared" si="24"/>
        <v>0</v>
      </c>
      <c r="I94" s="143"/>
      <c r="J94" s="242">
        <v>0</v>
      </c>
      <c r="K94" s="260"/>
      <c r="L94" s="243"/>
      <c r="M94" s="244"/>
      <c r="N94" s="261"/>
      <c r="O94" s="242">
        <v>0</v>
      </c>
      <c r="P94" s="243">
        <v>0</v>
      </c>
      <c r="Q94" s="244"/>
      <c r="R94" s="261"/>
      <c r="S94" s="238">
        <f t="shared" si="23"/>
        <v>0</v>
      </c>
    </row>
    <row r="95" spans="1:19">
      <c r="A95" s="14" t="s">
        <v>35</v>
      </c>
      <c r="B95" s="138" t="s">
        <v>10</v>
      </c>
      <c r="C95" s="143"/>
      <c r="D95" s="143"/>
      <c r="E95" s="143"/>
      <c r="F95" s="143"/>
      <c r="G95" s="143"/>
      <c r="H95" s="143">
        <f t="shared" si="24"/>
        <v>0</v>
      </c>
      <c r="I95" s="143"/>
      <c r="J95" s="242">
        <v>0</v>
      </c>
      <c r="K95" s="260"/>
      <c r="L95" s="243"/>
      <c r="M95" s="244"/>
      <c r="N95" s="261"/>
      <c r="O95" s="242">
        <v>0</v>
      </c>
      <c r="P95" s="243">
        <v>0</v>
      </c>
      <c r="Q95" s="244"/>
      <c r="R95" s="261"/>
      <c r="S95" s="238">
        <f t="shared" si="23"/>
        <v>0</v>
      </c>
    </row>
    <row r="96" spans="1:19">
      <c r="A96" s="14" t="s">
        <v>36</v>
      </c>
      <c r="B96" s="138" t="s">
        <v>53</v>
      </c>
      <c r="C96" s="143"/>
      <c r="D96" s="143"/>
      <c r="E96" s="143"/>
      <c r="F96" s="143"/>
      <c r="G96" s="143"/>
      <c r="H96" s="143">
        <f t="shared" si="24"/>
        <v>0</v>
      </c>
      <c r="I96" s="143" t="s">
        <v>0</v>
      </c>
      <c r="J96" s="242">
        <v>0</v>
      </c>
      <c r="K96" s="260"/>
      <c r="L96" s="243"/>
      <c r="M96" s="244"/>
      <c r="N96" s="261"/>
      <c r="O96" s="242">
        <v>0</v>
      </c>
      <c r="P96" s="243">
        <v>0</v>
      </c>
      <c r="Q96" s="244"/>
      <c r="R96" s="261"/>
      <c r="S96" s="238">
        <f t="shared" si="23"/>
        <v>0</v>
      </c>
    </row>
    <row r="97" spans="1:20">
      <c r="A97" s="153" t="s">
        <v>37</v>
      </c>
      <c r="B97" s="139" t="s">
        <v>46</v>
      </c>
      <c r="C97" s="144">
        <f>SUM(C89+C92)</f>
        <v>0</v>
      </c>
      <c r="D97" s="144"/>
      <c r="E97" s="144"/>
      <c r="F97" s="144">
        <f>SUM(F89+F92)</f>
        <v>0</v>
      </c>
      <c r="G97" s="144">
        <f>SUM(G89+G92)</f>
        <v>145305055</v>
      </c>
      <c r="H97" s="144">
        <f t="shared" si="24"/>
        <v>145305055</v>
      </c>
      <c r="I97" s="144" t="s">
        <v>11</v>
      </c>
      <c r="J97" s="245">
        <f>SUM(J89:J96)</f>
        <v>0</v>
      </c>
      <c r="K97" s="262"/>
      <c r="L97" s="246"/>
      <c r="M97" s="247"/>
      <c r="N97" s="263"/>
      <c r="O97" s="245">
        <f>SUM(O89:O96)</f>
        <v>0</v>
      </c>
      <c r="P97" s="246">
        <f>SUM(P89:P96)</f>
        <v>36205827</v>
      </c>
      <c r="Q97" s="246">
        <f t="shared" ref="Q97:R97" si="25">SUM(Q89:Q96)</f>
        <v>0</v>
      </c>
      <c r="R97" s="246">
        <f t="shared" si="25"/>
        <v>36205827</v>
      </c>
      <c r="S97" s="238">
        <f t="shared" si="23"/>
        <v>36205827</v>
      </c>
    </row>
    <row r="98" spans="1:20" ht="13.5" thickBot="1">
      <c r="A98" s="154" t="s">
        <v>38</v>
      </c>
      <c r="B98" s="155" t="s">
        <v>77</v>
      </c>
      <c r="C98" s="145">
        <f>SUM(C88+C97)</f>
        <v>0</v>
      </c>
      <c r="D98" s="145"/>
      <c r="E98" s="145"/>
      <c r="F98" s="145">
        <f>SUM(F88+F97)</f>
        <v>0</v>
      </c>
      <c r="G98" s="145">
        <f>SUM(G88+G97)</f>
        <v>193055304</v>
      </c>
      <c r="H98" s="145">
        <f t="shared" si="24"/>
        <v>193055304</v>
      </c>
      <c r="I98" s="145" t="s">
        <v>78</v>
      </c>
      <c r="J98" s="250">
        <f>SUM(J88+J97)</f>
        <v>125000</v>
      </c>
      <c r="K98" s="250">
        <f>SUM(K88+K97)</f>
        <v>420000</v>
      </c>
      <c r="L98" s="251">
        <f>SUM(L88)</f>
        <v>230000</v>
      </c>
      <c r="M98" s="251"/>
      <c r="N98" s="251">
        <f t="shared" ref="N98" si="26">SUM(N88)</f>
        <v>230000</v>
      </c>
      <c r="O98" s="250">
        <f>SUM(O88+O97)</f>
        <v>100000</v>
      </c>
      <c r="P98" s="251">
        <f>SUM(P88+P97)</f>
        <v>214544056</v>
      </c>
      <c r="Q98" s="251">
        <f t="shared" ref="Q98:R98" si="27">SUM(Q88+Q97)</f>
        <v>0</v>
      </c>
      <c r="R98" s="251">
        <f t="shared" si="27"/>
        <v>214544056</v>
      </c>
      <c r="S98" s="238">
        <f>J98+K98+L98+O98+R98</f>
        <v>215419056</v>
      </c>
    </row>
    <row r="99" spans="1:20">
      <c r="A99" s="7" t="s">
        <v>39</v>
      </c>
      <c r="B99" s="282" t="s">
        <v>48</v>
      </c>
      <c r="C99" s="283"/>
      <c r="D99" s="283"/>
      <c r="E99" s="283"/>
      <c r="F99" s="283"/>
      <c r="G99" s="284"/>
      <c r="H99" s="282">
        <f>SUM(H98-S98)</f>
        <v>-22363752</v>
      </c>
      <c r="I99" s="283"/>
      <c r="J99" s="283"/>
      <c r="K99" s="283"/>
      <c r="L99" s="283"/>
      <c r="M99" s="283"/>
      <c r="N99" s="283"/>
      <c r="O99" s="283"/>
      <c r="P99" s="283"/>
      <c r="Q99" s="283"/>
      <c r="R99" s="283"/>
      <c r="S99" s="284"/>
      <c r="T99" s="8">
        <f>H76+H99</f>
        <v>0</v>
      </c>
    </row>
    <row r="100" spans="1:20">
      <c r="A100" s="3" t="s">
        <v>40</v>
      </c>
      <c r="B100" s="285" t="s">
        <v>49</v>
      </c>
      <c r="C100" s="286"/>
      <c r="D100" s="286"/>
      <c r="E100" s="286"/>
      <c r="F100" s="286"/>
      <c r="G100" s="287"/>
      <c r="H100" s="285">
        <f>SUM(H98-S98)</f>
        <v>-22363752</v>
      </c>
      <c r="I100" s="286"/>
      <c r="J100" s="286"/>
      <c r="K100" s="286"/>
      <c r="L100" s="286"/>
      <c r="M100" s="286"/>
      <c r="N100" s="286"/>
      <c r="O100" s="286"/>
      <c r="P100" s="286"/>
      <c r="Q100" s="286"/>
      <c r="R100" s="286"/>
      <c r="S100" s="287"/>
    </row>
    <row r="101" spans="1:20">
      <c r="A101" s="1"/>
      <c r="B101" s="1"/>
      <c r="C101" s="1">
        <f>C98+C74</f>
        <v>22223466</v>
      </c>
      <c r="D101" s="1">
        <f>D74+D98</f>
        <v>11800532</v>
      </c>
      <c r="E101" s="1">
        <f>E98+E74</f>
        <v>73499156</v>
      </c>
      <c r="F101" s="1">
        <f>F98+F74</f>
        <v>124103429</v>
      </c>
      <c r="G101" s="1">
        <f>G98+G74</f>
        <v>1079969239</v>
      </c>
      <c r="H101" s="1">
        <f>H74+H98</f>
        <v>1311595822</v>
      </c>
      <c r="I101" s="1">
        <f>SUM(C101:G101)</f>
        <v>1311595822</v>
      </c>
      <c r="J101" s="254">
        <f>J98+J74</f>
        <v>22223466</v>
      </c>
      <c r="K101" s="254">
        <f>K98+K74</f>
        <v>11800532</v>
      </c>
      <c r="L101" s="254"/>
      <c r="M101" s="254"/>
      <c r="N101" s="254">
        <f>N98+N74</f>
        <v>73499156</v>
      </c>
      <c r="O101" s="254">
        <f>O98+O74</f>
        <v>124103429</v>
      </c>
      <c r="P101" s="254">
        <f>P98+P74</f>
        <v>1078469239</v>
      </c>
      <c r="Q101" s="254">
        <f>Q98+Q74</f>
        <v>1500000</v>
      </c>
      <c r="R101" s="254">
        <f>R98+R74</f>
        <v>1079969239</v>
      </c>
      <c r="S101" s="254">
        <f>S74+S98</f>
        <v>1311595822</v>
      </c>
    </row>
    <row r="102" spans="1:20">
      <c r="A102" s="1" t="s">
        <v>191</v>
      </c>
      <c r="B102" s="1"/>
      <c r="C102" s="1">
        <f>C60+C62++C68+C69</f>
        <v>22223466</v>
      </c>
      <c r="D102" s="1">
        <f>D60+D68+D69</f>
        <v>11800532</v>
      </c>
      <c r="E102" s="1">
        <f>E60+E63+E69</f>
        <v>73499156</v>
      </c>
      <c r="F102" s="1">
        <f>F60+F63+F68+F69</f>
        <v>124103429</v>
      </c>
      <c r="G102" s="1">
        <f>G59+G60+G61+G63+G64+G68+G82+G84+G90+G91</f>
        <v>1079969239</v>
      </c>
      <c r="H102" s="1">
        <f>H59+H60+H61+H62+H63+H64+H68+H69+H82+H84+H90+H91</f>
        <v>1311595822</v>
      </c>
      <c r="I102" s="1"/>
      <c r="J102" s="254">
        <f>J98+J61+J60+J59</f>
        <v>22223466</v>
      </c>
      <c r="K102" s="254">
        <f>K98+K61+K60+K59</f>
        <v>11800532</v>
      </c>
      <c r="L102" s="254"/>
      <c r="M102" s="254"/>
      <c r="N102" s="254">
        <f>N98+N61+N60+N59</f>
        <v>73499156</v>
      </c>
      <c r="O102" s="254">
        <f t="shared" ref="O102" si="28">O98+O61+O60+O59</f>
        <v>124103429</v>
      </c>
      <c r="P102" s="254">
        <f>P59+P60+P61+P62+P63+P64+P82+P83+P93</f>
        <v>1078469239</v>
      </c>
      <c r="Q102" s="254">
        <f>Q59+Q60+Q61+Q62+Q63+Q64+Q82+Q83+Q93</f>
        <v>1500000</v>
      </c>
      <c r="R102" s="254">
        <f>R59+R60+R61+R62+R63+R64+R82+R83+R93</f>
        <v>1079969239</v>
      </c>
      <c r="S102" s="254">
        <f>J101+K101+N101+O101+R101</f>
        <v>1311595822</v>
      </c>
    </row>
    <row r="103" spans="1:20">
      <c r="A103" s="1"/>
      <c r="B103" s="1"/>
      <c r="C103" s="1"/>
      <c r="D103" s="1"/>
      <c r="E103" s="1"/>
      <c r="F103" s="1"/>
      <c r="G103" s="1"/>
      <c r="H103" s="1"/>
      <c r="I103" s="1"/>
      <c r="J103" s="254"/>
      <c r="K103" s="254"/>
      <c r="L103" s="254"/>
      <c r="M103" s="254"/>
      <c r="N103" s="254"/>
      <c r="O103" s="254"/>
      <c r="P103" s="254"/>
      <c r="Q103" s="254"/>
      <c r="R103" s="254"/>
      <c r="S103" s="254">
        <f>S101-S102</f>
        <v>0</v>
      </c>
    </row>
    <row r="104" spans="1:20">
      <c r="A104" s="1"/>
      <c r="B104" s="1" t="s">
        <v>200</v>
      </c>
      <c r="C104" s="1">
        <v>22151791</v>
      </c>
      <c r="D104" s="1">
        <v>11729501</v>
      </c>
      <c r="E104" s="1">
        <v>72354571</v>
      </c>
      <c r="F104" s="1">
        <v>122601277</v>
      </c>
      <c r="G104" s="1">
        <v>780446662</v>
      </c>
      <c r="H104" s="1">
        <f>SUM(C104:G104)</f>
        <v>1009283802</v>
      </c>
      <c r="I104" s="1"/>
      <c r="J104" s="1">
        <v>22151791</v>
      </c>
      <c r="K104" s="1">
        <v>11729501</v>
      </c>
      <c r="L104" s="254"/>
      <c r="M104" s="254"/>
      <c r="N104" s="1">
        <v>72354571</v>
      </c>
      <c r="O104" s="1">
        <v>122601277</v>
      </c>
      <c r="P104" s="254"/>
      <c r="Q104" s="254"/>
      <c r="R104" s="1">
        <v>780446662</v>
      </c>
      <c r="S104" s="1">
        <v>1009283802</v>
      </c>
    </row>
    <row r="105" spans="1:20">
      <c r="A105" s="1"/>
      <c r="B105" s="1"/>
      <c r="C105" s="1">
        <f>C102-C104</f>
        <v>71675</v>
      </c>
      <c r="D105" s="1">
        <f t="shared" ref="D105:H105" si="29">D102-D104</f>
        <v>71031</v>
      </c>
      <c r="E105" s="1">
        <f t="shared" si="29"/>
        <v>1144585</v>
      </c>
      <c r="F105" s="1">
        <f t="shared" si="29"/>
        <v>1502152</v>
      </c>
      <c r="G105" s="1">
        <f t="shared" si="29"/>
        <v>299522577</v>
      </c>
      <c r="H105" s="1">
        <f t="shared" si="29"/>
        <v>302312020</v>
      </c>
      <c r="I105" s="1"/>
      <c r="J105" s="254">
        <f>J102-J104</f>
        <v>71675</v>
      </c>
      <c r="K105" s="254">
        <f t="shared" ref="K105:S105" si="30">K102-K104</f>
        <v>71031</v>
      </c>
      <c r="L105" s="254"/>
      <c r="M105" s="254"/>
      <c r="N105" s="254">
        <f t="shared" si="30"/>
        <v>1144585</v>
      </c>
      <c r="O105" s="254">
        <f t="shared" si="30"/>
        <v>1502152</v>
      </c>
      <c r="P105" s="254"/>
      <c r="Q105" s="254"/>
      <c r="R105" s="254">
        <f t="shared" si="30"/>
        <v>299522577</v>
      </c>
      <c r="S105" s="254">
        <f t="shared" si="30"/>
        <v>302312020</v>
      </c>
    </row>
    <row r="106" spans="1:20">
      <c r="A106" s="1"/>
      <c r="B106" s="1"/>
      <c r="C106" s="1"/>
      <c r="D106" s="1"/>
      <c r="E106" s="1"/>
      <c r="F106" s="1"/>
      <c r="G106" s="1"/>
      <c r="H106" s="1"/>
      <c r="I106" s="1"/>
      <c r="J106" s="254"/>
      <c r="K106" s="254"/>
      <c r="L106" s="254"/>
      <c r="M106" s="254"/>
      <c r="N106" s="254"/>
      <c r="O106" s="254"/>
      <c r="P106" s="254"/>
      <c r="Q106" s="254"/>
      <c r="R106" s="254"/>
      <c r="S106" s="254"/>
    </row>
    <row r="107" spans="1:20">
      <c r="A107" s="1"/>
      <c r="B107" s="1"/>
      <c r="C107" s="1"/>
      <c r="D107" s="1"/>
      <c r="E107" s="1"/>
      <c r="F107" s="1"/>
      <c r="G107" s="1"/>
      <c r="H107" s="1"/>
      <c r="I107" s="1"/>
      <c r="J107" s="254"/>
      <c r="K107" s="254"/>
      <c r="L107" s="254"/>
      <c r="M107" s="254"/>
      <c r="N107" s="254"/>
      <c r="O107" s="254"/>
      <c r="P107" s="254"/>
      <c r="Q107" s="254"/>
      <c r="R107" s="254"/>
      <c r="S107" s="254"/>
    </row>
    <row r="108" spans="1:20">
      <c r="A108" s="1"/>
      <c r="B108" s="1"/>
      <c r="C108" s="1"/>
      <c r="D108" s="1"/>
      <c r="E108" s="1"/>
      <c r="F108" s="1"/>
      <c r="G108" s="1"/>
      <c r="H108" s="1"/>
      <c r="I108" s="1"/>
      <c r="J108" s="254"/>
      <c r="K108" s="254"/>
      <c r="L108" s="254"/>
      <c r="M108" s="254"/>
      <c r="N108" s="254"/>
      <c r="O108" s="254"/>
      <c r="P108" s="254"/>
      <c r="Q108" s="254"/>
      <c r="R108" s="254"/>
      <c r="S108" s="254"/>
    </row>
    <row r="109" spans="1:20">
      <c r="A109" s="1"/>
      <c r="B109" s="1"/>
      <c r="C109" s="1"/>
      <c r="D109" s="1"/>
      <c r="E109" s="1"/>
      <c r="F109" s="1"/>
      <c r="G109" s="1"/>
      <c r="H109" s="1"/>
      <c r="I109" s="1"/>
      <c r="J109" s="254"/>
      <c r="K109" s="254"/>
      <c r="L109" s="254"/>
      <c r="M109" s="254"/>
      <c r="N109" s="254"/>
      <c r="O109" s="254"/>
      <c r="P109" s="254"/>
      <c r="Q109" s="254"/>
      <c r="R109" s="254"/>
      <c r="S109" s="254"/>
    </row>
    <row r="110" spans="1:20">
      <c r="A110" s="1"/>
      <c r="B110" s="1"/>
      <c r="C110" s="1"/>
      <c r="D110" s="1"/>
      <c r="E110" s="1"/>
      <c r="F110" s="1"/>
      <c r="G110" s="1"/>
      <c r="H110" s="1"/>
      <c r="I110" s="1"/>
      <c r="J110" s="254"/>
      <c r="K110" s="254"/>
      <c r="L110" s="254"/>
      <c r="M110" s="254"/>
      <c r="N110" s="254"/>
      <c r="O110" s="254"/>
      <c r="P110" s="254"/>
      <c r="Q110" s="254"/>
      <c r="R110" s="254"/>
      <c r="S110" s="254"/>
    </row>
    <row r="111" spans="1:20">
      <c r="A111" s="1"/>
      <c r="B111" s="1"/>
      <c r="C111" s="1"/>
      <c r="D111" s="1"/>
      <c r="E111" s="1"/>
      <c r="F111" s="1"/>
      <c r="G111" s="1"/>
      <c r="H111" s="1"/>
      <c r="I111" s="1"/>
      <c r="J111" s="254"/>
      <c r="K111" s="254"/>
      <c r="L111" s="254"/>
      <c r="M111" s="254"/>
      <c r="N111" s="254"/>
      <c r="O111" s="254"/>
      <c r="P111" s="254"/>
      <c r="Q111" s="254"/>
      <c r="R111" s="254"/>
      <c r="S111" s="254"/>
    </row>
    <row r="112" spans="1:20">
      <c r="A112" s="1"/>
      <c r="B112" s="1"/>
      <c r="C112" s="1"/>
      <c r="D112" s="1"/>
      <c r="E112" s="1"/>
      <c r="F112" s="1"/>
      <c r="G112" s="1"/>
      <c r="H112" s="1"/>
      <c r="I112" s="1"/>
      <c r="J112" s="254"/>
      <c r="K112" s="254"/>
      <c r="L112" s="254"/>
      <c r="M112" s="254"/>
      <c r="N112" s="254"/>
      <c r="O112" s="254"/>
      <c r="P112" s="254"/>
      <c r="Q112" s="254"/>
      <c r="R112" s="254"/>
      <c r="S112" s="254"/>
    </row>
    <row r="113" spans="1:19">
      <c r="A113" s="1"/>
      <c r="B113" s="1"/>
      <c r="C113" s="1"/>
      <c r="D113" s="1"/>
      <c r="E113" s="1"/>
      <c r="F113" s="1"/>
      <c r="G113" s="1"/>
      <c r="H113" s="1"/>
      <c r="I113" s="1"/>
      <c r="J113" s="254"/>
      <c r="K113" s="254"/>
      <c r="L113" s="254"/>
      <c r="M113" s="254"/>
      <c r="N113" s="254"/>
      <c r="O113" s="254"/>
      <c r="P113" s="254"/>
      <c r="Q113" s="254"/>
      <c r="R113" s="254"/>
      <c r="S113" s="254"/>
    </row>
  </sheetData>
  <mergeCells count="43">
    <mergeCell ref="H48:S48"/>
    <mergeCell ref="H49:S49"/>
    <mergeCell ref="A4:S4"/>
    <mergeCell ref="C28:H28"/>
    <mergeCell ref="J28:S28"/>
    <mergeCell ref="B48:G48"/>
    <mergeCell ref="B49:G49"/>
    <mergeCell ref="H24:S24"/>
    <mergeCell ref="H25:S25"/>
    <mergeCell ref="L6:N6"/>
    <mergeCell ref="L29:N29"/>
    <mergeCell ref="P29:R29"/>
    <mergeCell ref="A27:S27"/>
    <mergeCell ref="C5:H5"/>
    <mergeCell ref="J5:S5"/>
    <mergeCell ref="B24:G24"/>
    <mergeCell ref="B25:G25"/>
    <mergeCell ref="A1:E1"/>
    <mergeCell ref="F1:J1"/>
    <mergeCell ref="K1:S1"/>
    <mergeCell ref="P6:R6"/>
    <mergeCell ref="A2:S2"/>
    <mergeCell ref="A3:S3"/>
    <mergeCell ref="A53:S53"/>
    <mergeCell ref="A54:S54"/>
    <mergeCell ref="A55:S55"/>
    <mergeCell ref="C56:H56"/>
    <mergeCell ref="J56:S56"/>
    <mergeCell ref="L57:N57"/>
    <mergeCell ref="P57:R57"/>
    <mergeCell ref="B75:G75"/>
    <mergeCell ref="H75:S75"/>
    <mergeCell ref="B76:G76"/>
    <mergeCell ref="H76:S76"/>
    <mergeCell ref="B99:G99"/>
    <mergeCell ref="H99:S99"/>
    <mergeCell ref="B100:G100"/>
    <mergeCell ref="H100:S100"/>
    <mergeCell ref="A78:S78"/>
    <mergeCell ref="C79:H79"/>
    <mergeCell ref="J79:S79"/>
    <mergeCell ref="L80:N80"/>
    <mergeCell ref="P80:R80"/>
  </mergeCells>
  <phoneticPr fontId="4" type="noConversion"/>
  <pageMargins left="0.23" right="0.17" top="0.51" bottom="0.19" header="0.17" footer="0.17"/>
  <pageSetup paperSize="8" scale="62" orientation="landscape" r:id="rId1"/>
  <headerFooter alignWithMargins="0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N52"/>
  <sheetViews>
    <sheetView view="pageBreakPreview" topLeftCell="B7" zoomScale="85" zoomScaleNormal="100" zoomScaleSheetLayoutView="85" workbookViewId="0"/>
  </sheetViews>
  <sheetFormatPr defaultRowHeight="12.75"/>
  <cols>
    <col min="1" max="1" width="4.42578125" style="71" customWidth="1"/>
    <col min="2" max="2" width="34" style="71" customWidth="1"/>
    <col min="3" max="3" width="17.42578125" style="71" customWidth="1"/>
    <col min="4" max="4" width="15.85546875" style="71" bestFit="1" customWidth="1"/>
    <col min="5" max="5" width="13.28515625" style="71" bestFit="1" customWidth="1"/>
    <col min="6" max="6" width="20.5703125" style="71" bestFit="1" customWidth="1"/>
    <col min="7" max="7" width="14.5703125" style="99" customWidth="1"/>
    <col min="8" max="8" width="17.42578125" style="99" customWidth="1"/>
    <col min="9" max="9" width="15.85546875" style="71" bestFit="1" customWidth="1"/>
    <col min="10" max="10" width="14.85546875" style="71" bestFit="1" customWidth="1"/>
    <col min="11" max="12" width="19.7109375" style="71" bestFit="1" customWidth="1"/>
    <col min="13" max="13" width="6.42578125" style="71" customWidth="1"/>
    <col min="14" max="14" width="9.140625" style="71"/>
    <col min="15" max="15" width="11.42578125" style="71" bestFit="1" customWidth="1"/>
    <col min="16" max="16384" width="9.140625" style="71"/>
  </cols>
  <sheetData>
    <row r="1" spans="1:14" ht="14.25" customHeight="1">
      <c r="A1" s="70" t="s">
        <v>203</v>
      </c>
      <c r="C1" s="72"/>
      <c r="D1" s="73"/>
      <c r="E1" s="73"/>
      <c r="F1" s="73"/>
      <c r="G1" s="74"/>
      <c r="H1" s="74"/>
      <c r="I1" s="72"/>
      <c r="J1" s="72"/>
      <c r="K1" s="72"/>
      <c r="L1" s="72"/>
      <c r="M1" s="72"/>
    </row>
    <row r="2" spans="1:14" ht="13.5" customHeight="1">
      <c r="A2" s="75"/>
      <c r="C2" s="72"/>
      <c r="D2" s="73"/>
      <c r="E2" s="73"/>
      <c r="F2" s="73"/>
      <c r="G2" s="74"/>
      <c r="H2" s="74"/>
      <c r="I2" s="72"/>
      <c r="J2" s="72"/>
      <c r="K2" s="72"/>
      <c r="L2" s="72"/>
      <c r="M2" s="72"/>
    </row>
    <row r="3" spans="1:14" ht="27.75" customHeight="1">
      <c r="B3" s="305" t="s">
        <v>150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4" ht="27.75" customHeight="1" thickBot="1">
      <c r="B4" s="76"/>
      <c r="C4" s="76"/>
      <c r="D4" s="76"/>
      <c r="E4" s="76"/>
      <c r="F4" s="76"/>
      <c r="G4" s="76"/>
      <c r="H4" s="76"/>
      <c r="I4" s="76"/>
      <c r="J4" s="76"/>
      <c r="K4" s="306" t="s">
        <v>82</v>
      </c>
      <c r="L4" s="306"/>
      <c r="M4" s="306"/>
    </row>
    <row r="5" spans="1:14" ht="16.5" thickBot="1">
      <c r="A5" s="77"/>
      <c r="B5" s="78" t="s">
        <v>88</v>
      </c>
      <c r="C5" s="79" t="s">
        <v>89</v>
      </c>
      <c r="D5" s="78" t="s">
        <v>90</v>
      </c>
      <c r="E5" s="79" t="s">
        <v>91</v>
      </c>
      <c r="F5" s="78" t="s">
        <v>151</v>
      </c>
      <c r="G5" s="79" t="s">
        <v>152</v>
      </c>
      <c r="H5" s="78" t="s">
        <v>153</v>
      </c>
      <c r="I5" s="79" t="s">
        <v>154</v>
      </c>
      <c r="J5" s="78" t="s">
        <v>155</v>
      </c>
      <c r="K5" s="80" t="s">
        <v>156</v>
      </c>
      <c r="L5" s="80" t="s">
        <v>156</v>
      </c>
      <c r="M5" s="78" t="s">
        <v>157</v>
      </c>
    </row>
    <row r="6" spans="1:14" s="82" customFormat="1" ht="36" customHeight="1">
      <c r="A6" s="307">
        <v>1</v>
      </c>
      <c r="B6" s="309" t="s">
        <v>158</v>
      </c>
      <c r="C6" s="81" t="s">
        <v>96</v>
      </c>
      <c r="D6" s="311" t="s">
        <v>159</v>
      </c>
      <c r="E6" s="311"/>
      <c r="F6" s="312"/>
      <c r="G6" s="313" t="s">
        <v>160</v>
      </c>
      <c r="H6" s="315" t="s">
        <v>161</v>
      </c>
      <c r="I6" s="317" t="s">
        <v>92</v>
      </c>
      <c r="J6" s="318"/>
      <c r="K6" s="319"/>
      <c r="L6" s="229"/>
      <c r="M6" s="320" t="s">
        <v>162</v>
      </c>
    </row>
    <row r="7" spans="1:14" s="82" customFormat="1" ht="75.75" thickBot="1">
      <c r="A7" s="308"/>
      <c r="B7" s="310"/>
      <c r="C7" s="83" t="s">
        <v>163</v>
      </c>
      <c r="D7" s="84" t="s">
        <v>164</v>
      </c>
      <c r="E7" s="84" t="s">
        <v>165</v>
      </c>
      <c r="F7" s="85" t="s">
        <v>166</v>
      </c>
      <c r="G7" s="314"/>
      <c r="H7" s="316"/>
      <c r="I7" s="83" t="s">
        <v>17</v>
      </c>
      <c r="J7" s="84" t="s">
        <v>167</v>
      </c>
      <c r="K7" s="85" t="s">
        <v>73</v>
      </c>
      <c r="L7" s="85" t="s">
        <v>55</v>
      </c>
      <c r="M7" s="321"/>
    </row>
    <row r="8" spans="1:14" s="99" customFormat="1" ht="54.95" customHeight="1" thickBot="1">
      <c r="A8" s="86">
        <v>2</v>
      </c>
      <c r="B8" s="87" t="s">
        <v>168</v>
      </c>
      <c r="C8" s="88">
        <f>64898600+11336000+76838-372987+3172</f>
        <v>75941623</v>
      </c>
      <c r="D8" s="89">
        <f>2822762+1770967+101000</f>
        <v>4694729</v>
      </c>
      <c r="E8" s="90">
        <v>0</v>
      </c>
      <c r="F8" s="91">
        <v>13083364</v>
      </c>
      <c r="G8" s="92">
        <f>C8+D8+E8+F8</f>
        <v>93719716</v>
      </c>
      <c r="H8" s="93">
        <f>SUM(I8:L8)</f>
        <v>93035690</v>
      </c>
      <c r="I8" s="94">
        <f>71028030+64300+101000+788900+2700</f>
        <v>71984930</v>
      </c>
      <c r="J8" s="95">
        <f>14008401+12538+159921</f>
        <v>14180860</v>
      </c>
      <c r="K8" s="96">
        <f>7104295-372987-100000+138592</f>
        <v>6769900</v>
      </c>
      <c r="L8" s="96">
        <v>100000</v>
      </c>
      <c r="M8" s="97">
        <v>17</v>
      </c>
      <c r="N8" s="98"/>
    </row>
    <row r="9" spans="1:14" s="99" customFormat="1" ht="54.95" customHeight="1" thickBot="1">
      <c r="A9" s="86">
        <v>3</v>
      </c>
      <c r="B9" s="100" t="s">
        <v>169</v>
      </c>
      <c r="C9" s="101">
        <v>16140000</v>
      </c>
      <c r="D9" s="102">
        <v>0</v>
      </c>
      <c r="E9" s="103">
        <v>2965122</v>
      </c>
      <c r="F9" s="104">
        <v>0</v>
      </c>
      <c r="G9" s="92">
        <f>C9+D9+E9+F9</f>
        <v>19105122</v>
      </c>
      <c r="H9" s="105">
        <f>SUM(I9:K9)</f>
        <v>19505440</v>
      </c>
      <c r="I9" s="106">
        <f>15939188+292600+472</f>
        <v>16232260</v>
      </c>
      <c r="J9" s="107">
        <f>3125281+61114</f>
        <v>3186395</v>
      </c>
      <c r="K9" s="108">
        <f>40653+46132</f>
        <v>86785</v>
      </c>
      <c r="L9" s="108"/>
      <c r="M9" s="109">
        <v>4</v>
      </c>
      <c r="N9" s="98"/>
    </row>
    <row r="10" spans="1:14" s="99" customFormat="1" ht="54.95" customHeight="1" thickBot="1">
      <c r="A10" s="86">
        <v>4</v>
      </c>
      <c r="B10" s="110" t="s">
        <v>170</v>
      </c>
      <c r="C10" s="111">
        <v>10760000</v>
      </c>
      <c r="D10" s="102">
        <v>0</v>
      </c>
      <c r="E10" s="90">
        <v>518591</v>
      </c>
      <c r="F10" s="112">
        <v>0</v>
      </c>
      <c r="G10" s="92">
        <f>C10+D10+E10+F10</f>
        <v>11278591</v>
      </c>
      <c r="H10" s="113">
        <f>SUM(I10:K10)</f>
        <v>11562299</v>
      </c>
      <c r="I10" s="114">
        <f>9427032+216300</f>
        <v>9643332</v>
      </c>
      <c r="J10" s="115">
        <f>1828009+44207</f>
        <v>1872216</v>
      </c>
      <c r="K10" s="116">
        <f>23550+23201</f>
        <v>46751</v>
      </c>
      <c r="L10" s="116"/>
      <c r="M10" s="117">
        <v>2</v>
      </c>
      <c r="N10" s="98"/>
    </row>
    <row r="11" spans="1:14" s="99" customFormat="1" ht="54.95" customHeight="1" thickBot="1">
      <c r="A11" s="118">
        <v>5</v>
      </c>
      <c r="B11" s="119" t="s">
        <v>67</v>
      </c>
      <c r="C11" s="120">
        <f>C8+C9+C10</f>
        <v>102841623</v>
      </c>
      <c r="D11" s="121">
        <f>SUM(D8:D10)</f>
        <v>4694729</v>
      </c>
      <c r="E11" s="121">
        <f>SUM(E8:E10)</f>
        <v>3483713</v>
      </c>
      <c r="F11" s="121">
        <f>SUM(F8:F10)</f>
        <v>13083364</v>
      </c>
      <c r="G11" s="122">
        <f>SUM(C11:F11)</f>
        <v>124103429</v>
      </c>
      <c r="H11" s="123">
        <f>SUM(H8:H10)</f>
        <v>124103429</v>
      </c>
      <c r="I11" s="124">
        <f t="shared" ref="I11:M11" si="0">SUM(I8:I10)</f>
        <v>97860522</v>
      </c>
      <c r="J11" s="124">
        <f t="shared" si="0"/>
        <v>19239471</v>
      </c>
      <c r="K11" s="124">
        <f t="shared" si="0"/>
        <v>6903436</v>
      </c>
      <c r="L11" s="124">
        <f t="shared" si="0"/>
        <v>100000</v>
      </c>
      <c r="M11" s="125">
        <f t="shared" si="0"/>
        <v>23</v>
      </c>
      <c r="N11" s="98"/>
    </row>
    <row r="12" spans="1:14" s="132" customFormat="1" ht="28.5" customHeight="1">
      <c r="A12" s="126"/>
      <c r="B12" s="127"/>
      <c r="C12" s="128"/>
      <c r="D12" s="128"/>
      <c r="E12" s="128"/>
      <c r="F12" s="128"/>
      <c r="G12" s="129"/>
      <c r="H12" s="129"/>
      <c r="I12" s="129"/>
      <c r="J12" s="129"/>
      <c r="K12" s="129"/>
      <c r="L12" s="129"/>
      <c r="M12" s="130"/>
      <c r="N12" s="131"/>
    </row>
    <row r="13" spans="1:14" ht="33.75" customHeight="1">
      <c r="A13" s="168"/>
      <c r="B13" s="169"/>
      <c r="C13" s="168"/>
      <c r="D13" s="168"/>
      <c r="E13" s="170">
        <f>E11+D11</f>
        <v>8178442</v>
      </c>
      <c r="F13" s="168"/>
      <c r="G13" s="171">
        <v>124100257</v>
      </c>
      <c r="H13" s="171"/>
      <c r="I13" s="168"/>
      <c r="J13" s="168"/>
      <c r="K13" s="168"/>
      <c r="L13" s="168"/>
      <c r="M13" s="168"/>
      <c r="N13" s="168"/>
    </row>
    <row r="14" spans="1:14" ht="23.1" customHeight="1">
      <c r="A14" s="168"/>
      <c r="B14" s="172"/>
      <c r="C14" s="173"/>
      <c r="D14" s="174"/>
      <c r="E14" s="175"/>
      <c r="F14" s="176"/>
      <c r="G14" s="177">
        <f>G13-G11</f>
        <v>-3172</v>
      </c>
      <c r="H14" s="178"/>
      <c r="I14" s="179"/>
      <c r="J14" s="180"/>
      <c r="K14" s="181"/>
      <c r="L14" s="181"/>
      <c r="M14" s="168"/>
      <c r="N14" s="168"/>
    </row>
    <row r="15" spans="1:14" ht="23.1" customHeight="1">
      <c r="A15" s="168"/>
      <c r="B15" s="172"/>
      <c r="C15" s="186"/>
      <c r="D15" s="198"/>
      <c r="E15" s="184"/>
      <c r="F15" s="201"/>
      <c r="G15" s="202"/>
      <c r="H15" s="178"/>
      <c r="I15" s="179"/>
      <c r="J15" s="180"/>
      <c r="K15" s="183"/>
      <c r="L15" s="183"/>
      <c r="M15" s="168"/>
      <c r="N15" s="168"/>
    </row>
    <row r="16" spans="1:14" ht="23.1" customHeight="1">
      <c r="A16" s="168"/>
      <c r="B16" s="172"/>
      <c r="C16" s="186"/>
      <c r="D16" s="198"/>
      <c r="E16" s="184"/>
      <c r="F16" s="201"/>
      <c r="G16" s="202"/>
      <c r="H16" s="178"/>
      <c r="I16" s="179"/>
      <c r="J16" s="180"/>
      <c r="K16" s="183"/>
      <c r="L16" s="183"/>
      <c r="M16" s="168"/>
      <c r="N16" s="168"/>
    </row>
    <row r="17" spans="1:14" ht="23.1" customHeight="1">
      <c r="A17" s="168"/>
      <c r="B17" s="172"/>
      <c r="C17" s="186"/>
      <c r="D17" s="198"/>
      <c r="E17" s="184"/>
      <c r="F17" s="201"/>
      <c r="G17" s="202"/>
      <c r="H17" s="178"/>
      <c r="I17" s="179"/>
      <c r="J17" s="180"/>
      <c r="K17" s="183"/>
      <c r="L17" s="183"/>
      <c r="M17" s="168"/>
      <c r="N17" s="168"/>
    </row>
    <row r="18" spans="1:14" ht="23.1" customHeight="1">
      <c r="A18" s="168"/>
      <c r="B18" s="182"/>
      <c r="C18" s="183"/>
      <c r="D18" s="174"/>
      <c r="E18" s="184"/>
      <c r="F18" s="176"/>
      <c r="G18" s="185"/>
      <c r="H18" s="186"/>
      <c r="I18" s="179"/>
      <c r="J18" s="180"/>
      <c r="K18" s="183"/>
      <c r="L18" s="183"/>
      <c r="M18" s="168"/>
      <c r="N18" s="168"/>
    </row>
    <row r="19" spans="1:14" ht="23.1" customHeight="1">
      <c r="A19" s="168"/>
      <c r="B19" s="172"/>
      <c r="C19" s="187"/>
      <c r="D19" s="172"/>
      <c r="E19" s="172"/>
      <c r="F19" s="186"/>
      <c r="G19" s="186"/>
      <c r="H19" s="186"/>
      <c r="I19" s="186"/>
      <c r="J19" s="172"/>
      <c r="K19" s="186"/>
      <c r="L19" s="186"/>
      <c r="M19" s="168"/>
      <c r="N19" s="168"/>
    </row>
    <row r="20" spans="1:14" ht="23.1" customHeight="1">
      <c r="A20" s="168"/>
      <c r="B20" s="188"/>
      <c r="C20" s="189"/>
      <c r="D20" s="189"/>
      <c r="E20" s="189"/>
      <c r="F20" s="203"/>
      <c r="G20" s="189"/>
      <c r="H20" s="190"/>
      <c r="I20" s="190"/>
      <c r="J20" s="190"/>
      <c r="K20" s="204"/>
      <c r="L20" s="204"/>
      <c r="M20" s="168"/>
      <c r="N20" s="168"/>
    </row>
    <row r="21" spans="1:14" ht="23.1" customHeight="1">
      <c r="A21" s="168"/>
      <c r="B21" s="190"/>
      <c r="C21" s="190"/>
      <c r="D21" s="189"/>
      <c r="E21" s="190"/>
      <c r="F21" s="203"/>
      <c r="G21" s="190"/>
      <c r="H21" s="190"/>
      <c r="I21" s="190"/>
      <c r="J21" s="190"/>
      <c r="K21" s="204"/>
      <c r="L21" s="204"/>
      <c r="M21" s="168"/>
      <c r="N21" s="168"/>
    </row>
    <row r="22" spans="1:14" ht="23.1" customHeight="1">
      <c r="A22" s="168"/>
      <c r="B22" s="191"/>
      <c r="C22" s="190"/>
      <c r="D22" s="189"/>
      <c r="E22" s="190"/>
      <c r="F22" s="203"/>
      <c r="G22" s="187"/>
      <c r="H22" s="187"/>
      <c r="I22" s="198"/>
      <c r="J22" s="192"/>
      <c r="K22" s="204"/>
      <c r="L22" s="204"/>
      <c r="M22" s="168"/>
      <c r="N22" s="168"/>
    </row>
    <row r="23" spans="1:14" ht="23.1" customHeight="1">
      <c r="A23" s="168"/>
      <c r="B23" s="191"/>
      <c r="C23" s="190"/>
      <c r="D23" s="189"/>
      <c r="E23" s="190"/>
      <c r="F23" s="203"/>
      <c r="G23" s="187"/>
      <c r="H23" s="186"/>
      <c r="I23" s="180"/>
      <c r="J23" s="180"/>
      <c r="K23" s="204"/>
      <c r="L23" s="204"/>
      <c r="M23" s="168"/>
      <c r="N23" s="168"/>
    </row>
    <row r="24" spans="1:14" ht="23.1" customHeight="1">
      <c r="A24" s="168"/>
      <c r="B24" s="193"/>
      <c r="C24" s="190"/>
      <c r="D24" s="189"/>
      <c r="E24" s="190"/>
      <c r="F24" s="203"/>
      <c r="G24" s="187"/>
      <c r="H24" s="194"/>
      <c r="I24" s="190"/>
      <c r="J24" s="195"/>
      <c r="K24" s="204"/>
      <c r="L24" s="204"/>
      <c r="M24" s="168"/>
      <c r="N24" s="168"/>
    </row>
    <row r="25" spans="1:14" s="133" customFormat="1" ht="23.1" customHeight="1">
      <c r="A25" s="180"/>
      <c r="B25" s="196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80"/>
      <c r="N25" s="180"/>
    </row>
    <row r="26" spans="1:14" s="133" customFormat="1" ht="23.1" customHeight="1">
      <c r="A26" s="180"/>
      <c r="B26" s="174"/>
      <c r="C26" s="194"/>
      <c r="D26" s="190"/>
      <c r="E26" s="190"/>
      <c r="F26" s="190"/>
      <c r="G26" s="187"/>
      <c r="H26" s="190"/>
      <c r="I26" s="190"/>
      <c r="J26" s="190"/>
      <c r="K26" s="204"/>
      <c r="L26" s="204"/>
      <c r="M26" s="180"/>
      <c r="N26" s="180"/>
    </row>
    <row r="27" spans="1:14" s="133" customFormat="1" ht="23.1" customHeight="1">
      <c r="A27" s="180"/>
      <c r="B27" s="174"/>
      <c r="C27" s="194"/>
      <c r="D27" s="190"/>
      <c r="E27" s="190"/>
      <c r="F27" s="190"/>
      <c r="G27" s="187"/>
      <c r="H27" s="190"/>
      <c r="I27" s="190"/>
      <c r="J27" s="190"/>
      <c r="K27" s="204"/>
      <c r="L27" s="204"/>
      <c r="M27" s="180"/>
      <c r="N27" s="180"/>
    </row>
    <row r="28" spans="1:14" ht="23.1" customHeight="1">
      <c r="A28" s="168"/>
      <c r="B28" s="174"/>
      <c r="C28" s="190"/>
      <c r="D28" s="190"/>
      <c r="E28" s="190"/>
      <c r="F28" s="190"/>
      <c r="G28" s="187"/>
      <c r="H28" s="190"/>
      <c r="I28" s="190"/>
      <c r="J28" s="190"/>
      <c r="K28" s="204"/>
      <c r="L28" s="204"/>
      <c r="M28" s="168"/>
      <c r="N28" s="168"/>
    </row>
    <row r="29" spans="1:14" ht="23.1" customHeight="1">
      <c r="A29" s="168"/>
      <c r="B29" s="198"/>
      <c r="C29" s="190"/>
      <c r="D29" s="190"/>
      <c r="E29" s="197"/>
      <c r="F29" s="190"/>
      <c r="G29" s="187"/>
      <c r="H29" s="190"/>
      <c r="I29" s="190"/>
      <c r="J29" s="190"/>
      <c r="K29" s="204"/>
      <c r="L29" s="204"/>
      <c r="M29" s="168"/>
      <c r="N29" s="168"/>
    </row>
    <row r="30" spans="1:14" ht="23.1" customHeight="1">
      <c r="A30" s="168"/>
      <c r="B30" s="174"/>
      <c r="C30" s="190"/>
      <c r="D30" s="190"/>
      <c r="E30" s="190"/>
      <c r="F30" s="190"/>
      <c r="G30" s="172"/>
      <c r="H30" s="190"/>
      <c r="I30" s="190"/>
      <c r="J30" s="190"/>
      <c r="K30" s="204"/>
      <c r="L30" s="204"/>
      <c r="M30" s="168"/>
      <c r="N30" s="168"/>
    </row>
    <row r="31" spans="1:14" ht="23.1" customHeight="1">
      <c r="A31" s="168"/>
      <c r="B31" s="196"/>
      <c r="C31" s="197"/>
      <c r="D31" s="197"/>
      <c r="E31" s="197"/>
      <c r="F31" s="197"/>
      <c r="G31" s="197"/>
      <c r="H31" s="197"/>
      <c r="I31" s="197"/>
      <c r="J31" s="197"/>
      <c r="K31" s="205"/>
      <c r="L31" s="205"/>
      <c r="M31" s="168"/>
      <c r="N31" s="168"/>
    </row>
    <row r="32" spans="1:14" ht="23.1" customHeight="1">
      <c r="A32" s="168"/>
      <c r="B32" s="196"/>
      <c r="C32" s="197"/>
      <c r="D32" s="197"/>
      <c r="E32" s="197"/>
      <c r="F32" s="197"/>
      <c r="G32" s="197"/>
      <c r="H32" s="197"/>
      <c r="I32" s="197"/>
      <c r="J32" s="197"/>
      <c r="K32" s="205"/>
      <c r="L32" s="205"/>
      <c r="M32" s="168"/>
      <c r="N32" s="168"/>
    </row>
    <row r="33" spans="1:14" ht="23.1" customHeight="1">
      <c r="A33" s="168"/>
      <c r="B33" s="206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168"/>
      <c r="N33" s="168"/>
    </row>
    <row r="34" spans="1:14" ht="23.1" customHeight="1">
      <c r="A34" s="168"/>
      <c r="B34" s="174"/>
      <c r="C34" s="180"/>
      <c r="D34" s="180"/>
      <c r="E34" s="180"/>
      <c r="F34" s="180"/>
      <c r="G34" s="172"/>
      <c r="H34" s="172"/>
      <c r="I34" s="180"/>
      <c r="J34" s="180"/>
      <c r="K34" s="180"/>
      <c r="L34" s="180"/>
      <c r="M34" s="168"/>
      <c r="N34" s="168"/>
    </row>
    <row r="35" spans="1:14" ht="23.1" customHeight="1">
      <c r="A35" s="168"/>
      <c r="B35" s="174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68"/>
      <c r="N35" s="168"/>
    </row>
    <row r="36" spans="1:14" ht="23.1" customHeight="1">
      <c r="A36" s="168"/>
      <c r="B36" s="199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168"/>
      <c r="N36" s="168"/>
    </row>
    <row r="37" spans="1:14" ht="23.1" customHeight="1">
      <c r="A37" s="168"/>
      <c r="B37" s="199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168"/>
      <c r="N37" s="168"/>
    </row>
    <row r="38" spans="1:14" ht="23.1" customHeight="1">
      <c r="A38" s="168"/>
      <c r="B38" s="199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168"/>
      <c r="N38" s="168"/>
    </row>
    <row r="39" spans="1:14" ht="23.1" customHeight="1">
      <c r="A39" s="168"/>
      <c r="B39" s="199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168"/>
      <c r="N39" s="168"/>
    </row>
    <row r="40" spans="1:14" ht="23.1" customHeight="1">
      <c r="A40" s="168"/>
      <c r="B40" s="172"/>
      <c r="C40" s="186"/>
      <c r="D40" s="186"/>
      <c r="E40" s="186"/>
      <c r="F40" s="186"/>
      <c r="G40" s="186"/>
      <c r="H40" s="186"/>
      <c r="I40" s="186"/>
      <c r="J40" s="186"/>
      <c r="K40" s="172"/>
      <c r="L40" s="172"/>
      <c r="M40" s="180"/>
      <c r="N40" s="168"/>
    </row>
    <row r="41" spans="1:14" ht="23.1" customHeight="1">
      <c r="A41" s="168"/>
      <c r="B41" s="168"/>
      <c r="C41" s="168"/>
      <c r="D41" s="168"/>
      <c r="E41" s="168"/>
      <c r="F41" s="168"/>
      <c r="G41" s="171"/>
      <c r="H41" s="171"/>
      <c r="I41" s="168"/>
      <c r="J41" s="168"/>
      <c r="K41" s="168"/>
      <c r="L41" s="168"/>
      <c r="M41" s="168"/>
      <c r="N41" s="168"/>
    </row>
    <row r="42" spans="1:14" ht="23.1" customHeight="1"/>
    <row r="43" spans="1:14" ht="23.1" customHeight="1"/>
    <row r="44" spans="1:14" ht="23.1" customHeight="1"/>
    <row r="45" spans="1:14" ht="23.1" customHeight="1"/>
    <row r="46" spans="1:14" ht="23.1" customHeight="1"/>
    <row r="47" spans="1:14" ht="23.1" customHeight="1"/>
    <row r="48" spans="1:14" ht="23.1" customHeight="1"/>
    <row r="49" ht="23.1" customHeight="1"/>
    <row r="50" ht="23.1" customHeight="1"/>
    <row r="51" ht="23.1" customHeight="1"/>
    <row r="52" ht="23.1" customHeight="1"/>
  </sheetData>
  <mergeCells count="9">
    <mergeCell ref="B3:M3"/>
    <mergeCell ref="K4:M4"/>
    <mergeCell ref="A6:A7"/>
    <mergeCell ref="B6:B7"/>
    <mergeCell ref="D6:F6"/>
    <mergeCell ref="G6:G7"/>
    <mergeCell ref="H6:H7"/>
    <mergeCell ref="I6:K6"/>
    <mergeCell ref="M6:M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F113"/>
  <sheetViews>
    <sheetView view="pageBreakPreview" zoomScale="60" zoomScaleNormal="130" workbookViewId="0">
      <selection sqref="A1:F1"/>
    </sheetView>
  </sheetViews>
  <sheetFormatPr defaultRowHeight="12.75"/>
  <cols>
    <col min="1" max="1" width="5.85546875" style="274" customWidth="1"/>
    <col min="2" max="2" width="71.28515625" style="274" bestFit="1" customWidth="1"/>
    <col min="3" max="3" width="21.28515625" style="274" bestFit="1" customWidth="1"/>
    <col min="4" max="4" width="24.85546875" style="274" bestFit="1" customWidth="1"/>
    <col min="5" max="5" width="14.7109375" bestFit="1" customWidth="1"/>
  </cols>
  <sheetData>
    <row r="1" spans="1:6">
      <c r="A1" s="279" t="s">
        <v>204</v>
      </c>
      <c r="B1" s="279"/>
      <c r="C1" s="279"/>
      <c r="D1" s="279"/>
      <c r="E1" s="279"/>
      <c r="F1" s="279"/>
    </row>
    <row r="2" spans="1:6">
      <c r="A2" s="280" t="s">
        <v>84</v>
      </c>
      <c r="B2" s="280"/>
      <c r="C2" s="280"/>
      <c r="D2" s="227"/>
    </row>
    <row r="3" spans="1:6">
      <c r="A3" s="280" t="s">
        <v>103</v>
      </c>
      <c r="B3" s="280"/>
      <c r="C3" s="280"/>
      <c r="D3" s="227"/>
    </row>
    <row r="4" spans="1:6">
      <c r="A4" s="322" t="s">
        <v>0</v>
      </c>
      <c r="B4" s="322"/>
      <c r="C4" s="322"/>
      <c r="D4" s="216"/>
    </row>
    <row r="5" spans="1:6">
      <c r="A5" s="323" t="s">
        <v>81</v>
      </c>
      <c r="B5" s="323"/>
      <c r="C5" s="323"/>
      <c r="D5" s="323"/>
    </row>
    <row r="6" spans="1:6">
      <c r="A6" s="267" t="s">
        <v>68</v>
      </c>
      <c r="B6" s="267" t="s">
        <v>0</v>
      </c>
      <c r="C6" s="268"/>
      <c r="D6" s="268"/>
    </row>
    <row r="7" spans="1:6">
      <c r="A7" s="69" t="s">
        <v>12</v>
      </c>
      <c r="B7" s="69" t="s">
        <v>65</v>
      </c>
      <c r="C7" s="64" t="s">
        <v>87</v>
      </c>
      <c r="D7" s="64" t="s">
        <v>87</v>
      </c>
    </row>
    <row r="8" spans="1:6">
      <c r="A8" s="217" t="s">
        <v>15</v>
      </c>
      <c r="B8" s="217" t="s">
        <v>104</v>
      </c>
      <c r="C8" s="65" t="s">
        <v>197</v>
      </c>
      <c r="D8" s="65" t="s">
        <v>198</v>
      </c>
    </row>
    <row r="9" spans="1:6">
      <c r="A9" s="269" t="s">
        <v>1</v>
      </c>
      <c r="B9" s="270" t="s">
        <v>70</v>
      </c>
      <c r="C9" s="271"/>
      <c r="D9" s="271"/>
    </row>
    <row r="10" spans="1:6">
      <c r="A10" s="3" t="s">
        <v>2</v>
      </c>
      <c r="B10" s="270" t="s">
        <v>105</v>
      </c>
      <c r="C10" s="270">
        <f>C11+C12</f>
        <v>98548585</v>
      </c>
      <c r="D10" s="270">
        <f>D11+D12</f>
        <v>98548585</v>
      </c>
    </row>
    <row r="11" spans="1:6">
      <c r="A11" s="3"/>
      <c r="B11" s="4" t="s">
        <v>106</v>
      </c>
      <c r="C11" s="4">
        <f>72446467+119621+115797</f>
        <v>72681885</v>
      </c>
      <c r="D11" s="4">
        <f>72446467+119621+115797</f>
        <v>72681885</v>
      </c>
    </row>
    <row r="12" spans="1:6">
      <c r="A12" s="3"/>
      <c r="B12" s="4" t="s">
        <v>107</v>
      </c>
      <c r="C12" s="4">
        <v>25866700</v>
      </c>
      <c r="D12" s="4">
        <v>25866700</v>
      </c>
    </row>
    <row r="13" spans="1:6">
      <c r="A13" s="3" t="s">
        <v>3</v>
      </c>
      <c r="B13" s="270" t="s">
        <v>108</v>
      </c>
      <c r="C13" s="270">
        <f>C14+C15</f>
        <v>14597310</v>
      </c>
      <c r="D13" s="270">
        <f>D14+D15</f>
        <v>14597310</v>
      </c>
    </row>
    <row r="14" spans="1:6">
      <c r="A14" s="3"/>
      <c r="B14" s="4" t="s">
        <v>106</v>
      </c>
      <c r="C14" s="4">
        <v>6190644</v>
      </c>
      <c r="D14" s="4">
        <v>6190644</v>
      </c>
    </row>
    <row r="15" spans="1:6">
      <c r="A15" s="3"/>
      <c r="B15" s="4" t="s">
        <v>107</v>
      </c>
      <c r="C15" s="4">
        <v>8406666</v>
      </c>
      <c r="D15" s="4">
        <v>8406666</v>
      </c>
    </row>
    <row r="16" spans="1:6">
      <c r="A16" s="3" t="s">
        <v>4</v>
      </c>
      <c r="B16" s="270" t="s">
        <v>109</v>
      </c>
      <c r="C16" s="270">
        <v>28960</v>
      </c>
      <c r="D16" s="270">
        <v>28960</v>
      </c>
    </row>
    <row r="17" spans="1:4">
      <c r="A17" s="3" t="s">
        <v>5</v>
      </c>
      <c r="B17" s="270" t="s">
        <v>110</v>
      </c>
      <c r="C17" s="270">
        <v>1564195</v>
      </c>
      <c r="D17" s="270">
        <v>1564195</v>
      </c>
    </row>
    <row r="18" spans="1:4">
      <c r="A18" s="3" t="s">
        <v>7</v>
      </c>
      <c r="B18" s="270" t="s">
        <v>147</v>
      </c>
      <c r="C18" s="270">
        <v>177360</v>
      </c>
      <c r="D18" s="270">
        <v>177360</v>
      </c>
    </row>
    <row r="19" spans="1:4">
      <c r="A19" s="219" t="s">
        <v>6</v>
      </c>
      <c r="B19" s="67" t="s">
        <v>111</v>
      </c>
      <c r="C19" s="67">
        <f>C10+C13+C16+C17+18</f>
        <v>114739068</v>
      </c>
      <c r="D19" s="67">
        <f>D10+D13+D16+D17+18</f>
        <v>114739068</v>
      </c>
    </row>
    <row r="20" spans="1:4">
      <c r="A20" s="3"/>
      <c r="B20" s="270" t="s">
        <v>112</v>
      </c>
      <c r="C20" s="4"/>
      <c r="D20" s="4"/>
    </row>
    <row r="21" spans="1:4">
      <c r="A21" s="3" t="s">
        <v>2</v>
      </c>
      <c r="B21" s="4" t="s">
        <v>113</v>
      </c>
      <c r="C21" s="4">
        <v>1500000</v>
      </c>
      <c r="D21" s="4">
        <f>1500000-175000</f>
        <v>1325000</v>
      </c>
    </row>
    <row r="22" spans="1:4">
      <c r="A22" s="3" t="s">
        <v>3</v>
      </c>
      <c r="B22" s="4" t="s">
        <v>117</v>
      </c>
      <c r="C22" s="4">
        <v>251460</v>
      </c>
      <c r="D22" s="4">
        <v>251460</v>
      </c>
    </row>
    <row r="23" spans="1:4">
      <c r="A23" s="3" t="s">
        <v>4</v>
      </c>
      <c r="B23" s="4" t="s">
        <v>199</v>
      </c>
      <c r="C23" s="4"/>
      <c r="D23" s="4">
        <v>175000</v>
      </c>
    </row>
    <row r="24" spans="1:4">
      <c r="A24" s="3"/>
      <c r="B24" s="67" t="s">
        <v>114</v>
      </c>
      <c r="C24" s="67">
        <f>C21+C22+C23</f>
        <v>1751460</v>
      </c>
      <c r="D24" s="67">
        <f>D21+D22+D23</f>
        <v>1751460</v>
      </c>
    </row>
    <row r="25" spans="1:4">
      <c r="A25" s="272"/>
      <c r="B25" s="9" t="s">
        <v>116</v>
      </c>
      <c r="C25" s="273">
        <f>C19+C24</f>
        <v>116490528</v>
      </c>
      <c r="D25" s="273">
        <f>D19+D24</f>
        <v>116490528</v>
      </c>
    </row>
    <row r="26" spans="1:4">
      <c r="A26" s="216"/>
      <c r="B26" s="1"/>
      <c r="C26" s="1"/>
      <c r="D26" s="1"/>
    </row>
    <row r="27" spans="1:4">
      <c r="A27" s="216"/>
      <c r="B27" s="1"/>
      <c r="C27" s="1"/>
      <c r="D27" s="1"/>
    </row>
    <row r="28" spans="1:4">
      <c r="A28" s="216"/>
      <c r="B28" s="10"/>
      <c r="C28" s="1"/>
      <c r="D28" s="1"/>
    </row>
    <row r="29" spans="1:4">
      <c r="A29" s="216"/>
      <c r="B29" s="10"/>
      <c r="C29" s="1"/>
      <c r="D29" s="1"/>
    </row>
    <row r="30" spans="1:4">
      <c r="A30" s="227"/>
      <c r="B30" s="5"/>
      <c r="C30" s="5"/>
      <c r="D30" s="5"/>
    </row>
    <row r="31" spans="1:4">
      <c r="A31" s="227"/>
      <c r="B31" s="5"/>
      <c r="C31" s="5"/>
      <c r="D31" s="5"/>
    </row>
    <row r="32" spans="1:4">
      <c r="A32" s="216"/>
      <c r="B32" s="5"/>
      <c r="C32" s="5"/>
      <c r="D32" s="5"/>
    </row>
    <row r="33" spans="1:4">
      <c r="A33" s="216"/>
      <c r="B33" s="1"/>
      <c r="C33" s="1"/>
      <c r="D33" s="1"/>
    </row>
    <row r="34" spans="1:4">
      <c r="A34" s="216"/>
      <c r="B34" s="1"/>
      <c r="C34" s="1"/>
      <c r="D34" s="1"/>
    </row>
    <row r="35" spans="1:4">
      <c r="A35" s="216"/>
      <c r="B35" s="1"/>
      <c r="C35" s="1"/>
      <c r="D35" s="1"/>
    </row>
    <row r="36" spans="1:4">
      <c r="A36" s="216"/>
      <c r="B36" s="5"/>
      <c r="C36" s="5"/>
      <c r="D36" s="5"/>
    </row>
    <row r="37" spans="1:4">
      <c r="A37" s="216"/>
      <c r="B37" s="1"/>
      <c r="C37" s="1"/>
      <c r="D37" s="1"/>
    </row>
    <row r="38" spans="1:4">
      <c r="A38" s="216"/>
      <c r="B38" s="1"/>
      <c r="C38" s="1"/>
      <c r="D38" s="1"/>
    </row>
    <row r="39" spans="1:4">
      <c r="A39" s="216"/>
      <c r="B39" s="5"/>
      <c r="C39" s="5"/>
      <c r="D39" s="5"/>
    </row>
    <row r="40" spans="1:4">
      <c r="A40" s="216"/>
      <c r="B40" s="1"/>
      <c r="C40" s="1"/>
      <c r="D40" s="1"/>
    </row>
    <row r="41" spans="1:4">
      <c r="A41" s="216"/>
      <c r="B41" s="5"/>
      <c r="C41" s="5"/>
      <c r="D41" s="5"/>
    </row>
    <row r="42" spans="1:4">
      <c r="A42" s="216"/>
      <c r="B42" s="1"/>
      <c r="C42" s="1"/>
      <c r="D42" s="1"/>
    </row>
    <row r="43" spans="1:4">
      <c r="A43" s="216"/>
      <c r="B43" s="5"/>
      <c r="C43" s="5"/>
      <c r="D43" s="5"/>
    </row>
    <row r="44" spans="1:4">
      <c r="A44" s="216"/>
      <c r="B44" s="1"/>
      <c r="C44" s="1"/>
      <c r="D44" s="1"/>
    </row>
    <row r="45" spans="1:4">
      <c r="A45" s="216"/>
      <c r="B45" s="1"/>
      <c r="C45" s="1"/>
      <c r="D45" s="1"/>
    </row>
    <row r="46" spans="1:4">
      <c r="A46" s="216"/>
      <c r="B46" s="1"/>
      <c r="C46" s="1"/>
      <c r="D46" s="1"/>
    </row>
    <row r="47" spans="1:4">
      <c r="A47" s="216"/>
      <c r="B47" s="1"/>
      <c r="C47" s="1"/>
      <c r="D47" s="1"/>
    </row>
    <row r="48" spans="1:4">
      <c r="A48" s="216"/>
      <c r="B48" s="1"/>
      <c r="C48" s="1"/>
      <c r="D48" s="1"/>
    </row>
    <row r="49" spans="1:4">
      <c r="A49" s="216"/>
      <c r="B49" s="1"/>
      <c r="C49" s="1"/>
      <c r="D49" s="1"/>
    </row>
    <row r="50" spans="1:4">
      <c r="A50" s="216"/>
      <c r="B50" s="1"/>
      <c r="C50" s="1"/>
      <c r="D50" s="1"/>
    </row>
    <row r="51" spans="1:4">
      <c r="A51" s="227"/>
      <c r="B51" s="5"/>
      <c r="C51" s="5"/>
      <c r="D51" s="5"/>
    </row>
    <row r="52" spans="1:4">
      <c r="A52" s="227"/>
      <c r="B52" s="5"/>
      <c r="C52" s="5"/>
      <c r="D52" s="5"/>
    </row>
    <row r="53" spans="1:4">
      <c r="A53" s="216"/>
      <c r="B53" s="1"/>
      <c r="C53" s="1"/>
      <c r="D53" s="1"/>
    </row>
    <row r="54" spans="1:4">
      <c r="A54" s="281"/>
      <c r="B54" s="281"/>
      <c r="C54" s="281"/>
      <c r="D54" s="228"/>
    </row>
    <row r="55" spans="1:4">
      <c r="A55" s="227"/>
      <c r="B55" s="227"/>
      <c r="C55" s="227"/>
      <c r="D55" s="227"/>
    </row>
    <row r="56" spans="1:4">
      <c r="A56" s="227"/>
      <c r="B56" s="227"/>
      <c r="C56" s="227"/>
      <c r="D56" s="227"/>
    </row>
    <row r="57" spans="1:4">
      <c r="A57" s="227"/>
      <c r="B57" s="227"/>
      <c r="C57" s="227"/>
      <c r="D57" s="227"/>
    </row>
    <row r="58" spans="1:4">
      <c r="A58" s="216"/>
      <c r="B58" s="1"/>
      <c r="C58" s="1"/>
      <c r="D58" s="1"/>
    </row>
    <row r="59" spans="1:4">
      <c r="A59" s="216"/>
      <c r="B59" s="1"/>
      <c r="C59" s="1"/>
      <c r="D59" s="1"/>
    </row>
    <row r="60" spans="1:4">
      <c r="A60" s="216"/>
      <c r="B60" s="1"/>
      <c r="C60" s="1"/>
      <c r="D60" s="1"/>
    </row>
    <row r="61" spans="1:4">
      <c r="A61" s="216"/>
      <c r="B61" s="1"/>
      <c r="C61" s="1"/>
      <c r="D61" s="1"/>
    </row>
    <row r="62" spans="1:4">
      <c r="A62" s="216"/>
      <c r="B62" s="1"/>
      <c r="C62" s="1"/>
      <c r="D62" s="1"/>
    </row>
    <row r="63" spans="1:4">
      <c r="A63" s="227"/>
      <c r="B63" s="5"/>
      <c r="C63" s="5"/>
      <c r="D63" s="5"/>
    </row>
    <row r="64" spans="1:4">
      <c r="A64" s="216"/>
      <c r="B64" s="1"/>
      <c r="C64" s="1"/>
      <c r="D64" s="1"/>
    </row>
    <row r="65" spans="1:5">
      <c r="A65" s="216"/>
      <c r="B65" s="10"/>
      <c r="C65" s="1"/>
      <c r="D65" s="1"/>
    </row>
    <row r="66" spans="1:5">
      <c r="A66" s="216"/>
      <c r="B66" s="10"/>
      <c r="C66" s="1"/>
      <c r="D66" s="1"/>
      <c r="E66" s="8"/>
    </row>
    <row r="67" spans="1:5">
      <c r="A67" s="216"/>
      <c r="B67" s="10"/>
      <c r="C67" s="1"/>
      <c r="D67" s="1"/>
    </row>
    <row r="68" spans="1:5">
      <c r="A68" s="216"/>
      <c r="B68" s="10"/>
      <c r="C68" s="1"/>
      <c r="D68" s="1"/>
    </row>
    <row r="69" spans="1:5">
      <c r="A69" s="12"/>
      <c r="B69" s="13"/>
      <c r="C69" s="11"/>
      <c r="D69" s="11"/>
    </row>
    <row r="70" spans="1:5">
      <c r="A70" s="227"/>
      <c r="B70" s="5"/>
      <c r="C70" s="5"/>
      <c r="D70" s="5"/>
    </row>
    <row r="71" spans="1:5">
      <c r="A71" s="227"/>
      <c r="B71" s="5"/>
      <c r="C71" s="5"/>
      <c r="D71" s="5"/>
    </row>
    <row r="72" spans="1:5">
      <c r="A72" s="216"/>
      <c r="B72" s="1"/>
      <c r="C72" s="1"/>
      <c r="D72" s="1"/>
    </row>
    <row r="73" spans="1:5">
      <c r="A73" s="216"/>
      <c r="B73" s="1"/>
      <c r="C73" s="1"/>
      <c r="D73" s="1"/>
    </row>
    <row r="74" spans="1:5">
      <c r="A74" s="216"/>
      <c r="B74" s="1"/>
      <c r="C74" s="1"/>
      <c r="D74" s="1"/>
    </row>
    <row r="75" spans="1:5">
      <c r="A75" s="216"/>
      <c r="B75" s="1"/>
      <c r="C75" s="1"/>
      <c r="D75" s="1"/>
    </row>
    <row r="76" spans="1:5">
      <c r="A76" s="216"/>
      <c r="B76" s="1"/>
      <c r="C76" s="1"/>
      <c r="D76" s="1"/>
    </row>
    <row r="77" spans="1:5">
      <c r="A77" s="216"/>
      <c r="B77" s="1"/>
      <c r="C77" s="1"/>
      <c r="D77" s="1"/>
    </row>
    <row r="78" spans="1:5">
      <c r="A78" s="216"/>
      <c r="B78" s="1"/>
      <c r="C78" s="1"/>
      <c r="D78" s="1"/>
    </row>
    <row r="79" spans="1:5">
      <c r="A79" s="216"/>
      <c r="B79" s="1"/>
      <c r="C79" s="1"/>
      <c r="D79" s="1"/>
    </row>
    <row r="80" spans="1:5">
      <c r="A80" s="216"/>
      <c r="B80" s="1"/>
      <c r="C80" s="1"/>
      <c r="D80" s="1"/>
    </row>
    <row r="81" spans="1:4">
      <c r="A81" s="216"/>
      <c r="B81" s="1"/>
      <c r="C81" s="1"/>
      <c r="D81" s="1"/>
    </row>
    <row r="82" spans="1:4">
      <c r="A82" s="216"/>
      <c r="B82" s="1"/>
      <c r="C82" s="1"/>
      <c r="D82" s="1"/>
    </row>
    <row r="83" spans="1:4">
      <c r="A83" s="216"/>
      <c r="B83" s="1"/>
      <c r="C83" s="1"/>
      <c r="D83" s="1"/>
    </row>
    <row r="84" spans="1:4">
      <c r="A84" s="216"/>
      <c r="B84" s="1"/>
      <c r="C84" s="1"/>
      <c r="D84" s="1"/>
    </row>
    <row r="85" spans="1:4">
      <c r="A85" s="216"/>
      <c r="B85" s="1"/>
      <c r="C85" s="1"/>
      <c r="D85" s="1"/>
    </row>
    <row r="86" spans="1:4">
      <c r="A86" s="216"/>
      <c r="B86" s="1"/>
      <c r="C86" s="1"/>
      <c r="D86" s="1"/>
    </row>
    <row r="87" spans="1:4">
      <c r="A87" s="216"/>
      <c r="B87" s="1"/>
      <c r="C87" s="1"/>
      <c r="D87" s="1"/>
    </row>
    <row r="88" spans="1:4">
      <c r="A88" s="216"/>
      <c r="B88" s="1"/>
      <c r="C88" s="1"/>
      <c r="D88" s="1"/>
    </row>
    <row r="89" spans="1:4">
      <c r="A89" s="216"/>
      <c r="C89" s="1"/>
      <c r="D89" s="1"/>
    </row>
    <row r="90" spans="1:4">
      <c r="A90" s="216"/>
      <c r="C90" s="1"/>
      <c r="D90" s="1"/>
    </row>
    <row r="91" spans="1:4">
      <c r="A91" s="216"/>
      <c r="C91" s="1"/>
      <c r="D91" s="1"/>
    </row>
    <row r="92" spans="1:4">
      <c r="A92" s="216"/>
      <c r="C92" s="1"/>
      <c r="D92" s="1"/>
    </row>
    <row r="93" spans="1:4">
      <c r="A93" s="216"/>
      <c r="C93" s="1"/>
      <c r="D93" s="1"/>
    </row>
    <row r="94" spans="1:4">
      <c r="A94" s="216"/>
      <c r="C94" s="1"/>
      <c r="D94" s="1"/>
    </row>
    <row r="95" spans="1:4">
      <c r="A95" s="216"/>
      <c r="C95" s="1"/>
      <c r="D95" s="1"/>
    </row>
    <row r="96" spans="1:4">
      <c r="A96" s="216"/>
      <c r="C96" s="1"/>
      <c r="D96" s="1"/>
    </row>
    <row r="97" spans="1:4">
      <c r="A97" s="216"/>
      <c r="C97" s="1"/>
      <c r="D97" s="1"/>
    </row>
    <row r="98" spans="1:4">
      <c r="A98" s="216"/>
      <c r="C98" s="1"/>
      <c r="D98" s="1"/>
    </row>
    <row r="99" spans="1:4">
      <c r="A99" s="216"/>
      <c r="B99" s="1"/>
      <c r="C99" s="1"/>
      <c r="D99" s="1"/>
    </row>
    <row r="100" spans="1:4">
      <c r="A100" s="216"/>
      <c r="B100" s="1"/>
      <c r="C100" s="1"/>
      <c r="D100" s="1"/>
    </row>
    <row r="101" spans="1:4">
      <c r="A101" s="216"/>
      <c r="B101" s="1"/>
      <c r="C101" s="1"/>
      <c r="D101" s="1"/>
    </row>
    <row r="102" spans="1:4">
      <c r="A102" s="216"/>
      <c r="B102" s="1"/>
      <c r="C102" s="1"/>
      <c r="D102" s="1"/>
    </row>
    <row r="103" spans="1:4">
      <c r="A103" s="216"/>
      <c r="B103" s="1"/>
      <c r="C103" s="1"/>
      <c r="D103" s="1"/>
    </row>
    <row r="104" spans="1:4">
      <c r="A104" s="216"/>
      <c r="B104" s="1"/>
      <c r="C104" s="1"/>
      <c r="D104" s="1"/>
    </row>
    <row r="105" spans="1:4">
      <c r="A105" s="275"/>
    </row>
    <row r="106" spans="1:4">
      <c r="A106" s="275"/>
    </row>
    <row r="107" spans="1:4">
      <c r="A107" s="275"/>
    </row>
    <row r="108" spans="1:4">
      <c r="A108" s="275"/>
    </row>
    <row r="109" spans="1:4">
      <c r="A109" s="275"/>
    </row>
    <row r="110" spans="1:4">
      <c r="A110" s="275"/>
    </row>
    <row r="111" spans="1:4">
      <c r="A111" s="275"/>
    </row>
    <row r="112" spans="1:4">
      <c r="A112" s="275"/>
    </row>
    <row r="113" spans="1:1">
      <c r="A113" s="275"/>
    </row>
  </sheetData>
  <mergeCells count="6">
    <mergeCell ref="A1:F1"/>
    <mergeCell ref="A2:C2"/>
    <mergeCell ref="A3:C3"/>
    <mergeCell ref="A4:C4"/>
    <mergeCell ref="A54:C54"/>
    <mergeCell ref="A5:D5"/>
  </mergeCells>
  <phoneticPr fontId="4" type="noConversion"/>
  <printOptions horizontalCentered="1"/>
  <pageMargins left="0.27559055118110237" right="0.23622047244094491" top="0.39370078740157483" bottom="0.35433070866141736" header="0.27559055118110237" footer="0.19685039370078741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W34"/>
  <sheetViews>
    <sheetView view="pageBreakPreview" zoomScale="60" zoomScaleNormal="100" workbookViewId="0">
      <selection activeCell="T5" sqref="T5"/>
    </sheetView>
  </sheetViews>
  <sheetFormatPr defaultRowHeight="12.75"/>
  <cols>
    <col min="1" max="1" width="9.28515625" bestFit="1" customWidth="1"/>
    <col min="4" max="4" width="35.140625" bestFit="1" customWidth="1"/>
    <col min="5" max="5" width="12.28515625" style="55" bestFit="1" customWidth="1"/>
    <col min="6" max="6" width="12.28515625" style="55" customWidth="1"/>
    <col min="7" max="9" width="10.7109375" customWidth="1"/>
    <col min="10" max="11" width="11.42578125" bestFit="1" customWidth="1"/>
    <col min="12" max="12" width="9.85546875" bestFit="1" customWidth="1"/>
    <col min="13" max="13" width="10.85546875" bestFit="1" customWidth="1"/>
    <col min="14" max="14" width="9.85546875" bestFit="1" customWidth="1"/>
    <col min="15" max="15" width="10.85546875" bestFit="1" customWidth="1"/>
    <col min="16" max="18" width="9.85546875" bestFit="1" customWidth="1"/>
    <col min="19" max="19" width="12.28515625" bestFit="1" customWidth="1"/>
    <col min="20" max="20" width="16.28515625" style="276" bestFit="1" customWidth="1"/>
    <col min="21" max="21" width="14.7109375" bestFit="1" customWidth="1"/>
    <col min="22" max="22" width="12.7109375" bestFit="1" customWidth="1"/>
    <col min="23" max="23" width="10.7109375" bestFit="1" customWidth="1"/>
  </cols>
  <sheetData>
    <row r="1" spans="1:23">
      <c r="A1" s="279" t="s">
        <v>205</v>
      </c>
      <c r="B1" s="279"/>
      <c r="C1" s="279"/>
      <c r="D1" s="279"/>
      <c r="E1" s="279"/>
      <c r="F1" s="213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3">
      <c r="A2" s="327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</row>
    <row r="3" spans="1:23" ht="18.75" customHeight="1">
      <c r="A3" s="328" t="s">
        <v>126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</row>
    <row r="4" spans="1:23">
      <c r="A4" s="329" t="s">
        <v>146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</row>
    <row r="5" spans="1:23">
      <c r="A5" s="18"/>
      <c r="B5" s="18"/>
      <c r="C5" s="18"/>
      <c r="D5" s="18"/>
      <c r="E5" s="51"/>
      <c r="F5" s="51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23" ht="13.5" thickBot="1">
      <c r="A6" s="17"/>
      <c r="B6" s="17"/>
      <c r="C6" s="19"/>
      <c r="D6" s="19"/>
      <c r="E6" s="50"/>
      <c r="F6" s="50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20" t="s">
        <v>82</v>
      </c>
    </row>
    <row r="7" spans="1:23" ht="26.25" thickBot="1">
      <c r="A7" s="59"/>
      <c r="B7" s="59"/>
      <c r="C7" s="330" t="s">
        <v>127</v>
      </c>
      <c r="D7" s="331"/>
      <c r="E7" s="60" t="s">
        <v>128</v>
      </c>
      <c r="F7" s="60" t="s">
        <v>192</v>
      </c>
      <c r="G7" s="61" t="s">
        <v>129</v>
      </c>
      <c r="H7" s="61" t="s">
        <v>130</v>
      </c>
      <c r="I7" s="62" t="s">
        <v>131</v>
      </c>
      <c r="J7" s="61" t="s">
        <v>132</v>
      </c>
      <c r="K7" s="62" t="s">
        <v>133</v>
      </c>
      <c r="L7" s="61" t="s">
        <v>134</v>
      </c>
      <c r="M7" s="62" t="s">
        <v>135</v>
      </c>
      <c r="N7" s="61" t="s">
        <v>136</v>
      </c>
      <c r="O7" s="62" t="s">
        <v>137</v>
      </c>
      <c r="P7" s="61" t="s">
        <v>138</v>
      </c>
      <c r="Q7" s="62" t="s">
        <v>139</v>
      </c>
      <c r="R7" s="61" t="s">
        <v>140</v>
      </c>
      <c r="S7" s="63" t="s">
        <v>141</v>
      </c>
    </row>
    <row r="8" spans="1:23">
      <c r="A8" s="21"/>
      <c r="B8" s="22" t="s">
        <v>64</v>
      </c>
      <c r="C8" s="23"/>
      <c r="D8" s="23"/>
      <c r="E8" s="52"/>
      <c r="F8" s="52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</row>
    <row r="9" spans="1:23">
      <c r="A9" s="25" t="s">
        <v>2</v>
      </c>
      <c r="B9" s="26"/>
      <c r="C9" s="22" t="s">
        <v>25</v>
      </c>
      <c r="D9" s="22"/>
      <c r="E9" s="53"/>
      <c r="F9" s="53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23"/>
    </row>
    <row r="10" spans="1:23">
      <c r="A10" s="25"/>
      <c r="B10" s="27"/>
      <c r="C10" s="28"/>
      <c r="D10" s="28" t="s">
        <v>142</v>
      </c>
      <c r="E10" s="56">
        <v>356847855</v>
      </c>
      <c r="F10" s="56">
        <f>SUM(G10:R10)</f>
        <v>365904139</v>
      </c>
      <c r="G10" s="30">
        <f>29737321+1149904</f>
        <v>30887225</v>
      </c>
      <c r="H10" s="30">
        <f>29737321+1149904</f>
        <v>30887225</v>
      </c>
      <c r="I10" s="30">
        <f>29737321+1149904</f>
        <v>30887225</v>
      </c>
      <c r="J10" s="30">
        <f>29737321+1149904</f>
        <v>30887225</v>
      </c>
      <c r="K10" s="30">
        <f>29737321+1149904</f>
        <v>30887225</v>
      </c>
      <c r="L10" s="30">
        <v>29737321</v>
      </c>
      <c r="M10" s="30">
        <f>29737321+1330524</f>
        <v>31067845</v>
      </c>
      <c r="N10" s="30">
        <v>29737321</v>
      </c>
      <c r="O10" s="30">
        <f>29737321+1976240</f>
        <v>31713561</v>
      </c>
      <c r="P10" s="30">
        <v>29737321</v>
      </c>
      <c r="Q10" s="30">
        <v>29737321</v>
      </c>
      <c r="R10" s="30">
        <v>29737324</v>
      </c>
      <c r="S10" s="224">
        <f>SUM(G10:R10)</f>
        <v>365904139</v>
      </c>
      <c r="T10" s="276">
        <f>335908455+29995684</f>
        <v>365904139</v>
      </c>
      <c r="U10" s="222">
        <f>(T10-S10)</f>
        <v>0</v>
      </c>
      <c r="V10" s="225">
        <f>SUM(G10:R10)</f>
        <v>365904139</v>
      </c>
      <c r="W10" s="225">
        <f>V10-F10</f>
        <v>0</v>
      </c>
    </row>
    <row r="11" spans="1:23">
      <c r="A11" s="25"/>
      <c r="B11" s="27"/>
      <c r="C11" s="28"/>
      <c r="D11" s="31" t="s">
        <v>143</v>
      </c>
      <c r="E11" s="49"/>
      <c r="F11" s="56">
        <f t="shared" ref="F11:F21" si="0">SUM(G11:R11)</f>
        <v>0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224">
        <f>SUM(G11:R11)</f>
        <v>0</v>
      </c>
      <c r="U11" s="222">
        <f t="shared" ref="U11:U31" si="1">(T11-S11)</f>
        <v>0</v>
      </c>
      <c r="V11" s="225">
        <f t="shared" ref="V11:V31" si="2">SUM(G11:R11)</f>
        <v>0</v>
      </c>
      <c r="W11" s="225">
        <f t="shared" ref="W11:W31" si="3">V11-F11</f>
        <v>0</v>
      </c>
    </row>
    <row r="12" spans="1:23">
      <c r="A12" s="25"/>
      <c r="B12" s="27"/>
      <c r="C12" s="28"/>
      <c r="D12" s="28" t="s">
        <v>74</v>
      </c>
      <c r="E12" s="56">
        <v>79606106</v>
      </c>
      <c r="F12" s="56">
        <f>SUM(G12:R12)</f>
        <v>79606106</v>
      </c>
      <c r="G12" s="30">
        <f>1152950+114965+116165+5000</f>
        <v>1389080</v>
      </c>
      <c r="H12" s="30">
        <v>146426</v>
      </c>
      <c r="I12" s="30">
        <v>38267547</v>
      </c>
      <c r="J12" s="30"/>
      <c r="K12" s="30"/>
      <c r="L12" s="30"/>
      <c r="M12" s="30"/>
      <c r="N12" s="30"/>
      <c r="O12" s="30">
        <f>+E12/2</f>
        <v>39803053</v>
      </c>
      <c r="P12" s="30"/>
      <c r="Q12" s="30"/>
      <c r="R12" s="30"/>
      <c r="S12" s="224">
        <f t="shared" ref="S12:S30" si="4">SUM(G12:R12)</f>
        <v>79606106</v>
      </c>
      <c r="T12" s="276">
        <v>79606106</v>
      </c>
      <c r="U12" s="222">
        <f t="shared" si="1"/>
        <v>0</v>
      </c>
      <c r="V12" s="225">
        <f t="shared" si="2"/>
        <v>79606106</v>
      </c>
      <c r="W12" s="225">
        <f t="shared" si="3"/>
        <v>0</v>
      </c>
    </row>
    <row r="13" spans="1:23">
      <c r="A13" s="25"/>
      <c r="B13" s="27"/>
      <c r="C13" s="28"/>
      <c r="D13" s="28" t="s">
        <v>25</v>
      </c>
      <c r="E13" s="56">
        <v>59494771</v>
      </c>
      <c r="F13" s="56">
        <f t="shared" si="0"/>
        <v>72723071.75</v>
      </c>
      <c r="G13" s="30">
        <v>3958476</v>
      </c>
      <c r="H13" s="30">
        <f>+E13/12</f>
        <v>4957897.583333333</v>
      </c>
      <c r="I13" s="30">
        <f>E13/12</f>
        <v>4957897.583333333</v>
      </c>
      <c r="J13" s="30">
        <f>E13/12</f>
        <v>4957897.583333333</v>
      </c>
      <c r="K13" s="30">
        <v>4957898</v>
      </c>
      <c r="L13" s="30">
        <f>4669215+1200000</f>
        <v>5869215</v>
      </c>
      <c r="M13" s="30">
        <v>3789414</v>
      </c>
      <c r="N13" s="30">
        <f>4669215+500000</f>
        <v>5169215</v>
      </c>
      <c r="O13" s="30">
        <f>4669215+500000+4409434</f>
        <v>9578649</v>
      </c>
      <c r="P13" s="30">
        <f>4669215+500000+2939622</f>
        <v>8108837</v>
      </c>
      <c r="Q13" s="30">
        <f>5869215+1959748+3919497</f>
        <v>11748460</v>
      </c>
      <c r="R13" s="30">
        <v>4669215</v>
      </c>
      <c r="S13" s="224">
        <f t="shared" si="4"/>
        <v>72723071.75</v>
      </c>
      <c r="T13" s="276">
        <v>72723072</v>
      </c>
      <c r="U13" s="222">
        <f t="shared" si="1"/>
        <v>0.25</v>
      </c>
      <c r="V13" s="225">
        <f t="shared" si="2"/>
        <v>72723071.75</v>
      </c>
      <c r="W13" s="225">
        <f t="shared" si="3"/>
        <v>0</v>
      </c>
    </row>
    <row r="14" spans="1:23">
      <c r="A14" s="25"/>
      <c r="B14" s="27"/>
      <c r="C14" s="28"/>
      <c r="D14" s="32" t="s">
        <v>75</v>
      </c>
      <c r="E14" s="56">
        <v>93466548</v>
      </c>
      <c r="F14" s="56">
        <f t="shared" si="0"/>
        <v>101743476</v>
      </c>
      <c r="G14" s="30">
        <f>+$E$14/12</f>
        <v>7788879</v>
      </c>
      <c r="H14" s="30">
        <f t="shared" ref="H14:R14" si="5">+$E$14/12</f>
        <v>7788879</v>
      </c>
      <c r="I14" s="30">
        <f t="shared" si="5"/>
        <v>7788879</v>
      </c>
      <c r="J14" s="30">
        <f t="shared" si="5"/>
        <v>7788879</v>
      </c>
      <c r="K14" s="30">
        <f t="shared" si="5"/>
        <v>7788879</v>
      </c>
      <c r="L14" s="30">
        <f t="shared" si="5"/>
        <v>7788879</v>
      </c>
      <c r="M14" s="30">
        <f t="shared" si="5"/>
        <v>7788879</v>
      </c>
      <c r="N14" s="30">
        <f t="shared" si="5"/>
        <v>7788879</v>
      </c>
      <c r="O14" s="30">
        <f>+$E$14/12+8276928</f>
        <v>16065807</v>
      </c>
      <c r="P14" s="30">
        <f t="shared" si="5"/>
        <v>7788879</v>
      </c>
      <c r="Q14" s="30">
        <f t="shared" si="5"/>
        <v>7788879</v>
      </c>
      <c r="R14" s="30">
        <f t="shared" si="5"/>
        <v>7788879</v>
      </c>
      <c r="S14" s="224">
        <f t="shared" si="4"/>
        <v>101743476</v>
      </c>
      <c r="T14" s="276">
        <v>101743476</v>
      </c>
      <c r="U14" s="222">
        <f t="shared" si="1"/>
        <v>0</v>
      </c>
      <c r="V14" s="225">
        <f t="shared" si="2"/>
        <v>101743476</v>
      </c>
      <c r="W14" s="225">
        <f t="shared" si="3"/>
        <v>0</v>
      </c>
    </row>
    <row r="15" spans="1:23">
      <c r="A15" s="25" t="s">
        <v>3</v>
      </c>
      <c r="B15" s="25"/>
      <c r="C15" s="33" t="s">
        <v>96</v>
      </c>
      <c r="D15" s="28"/>
      <c r="E15" s="56">
        <v>255185580</v>
      </c>
      <c r="F15" s="56">
        <f t="shared" si="0"/>
        <v>498563725</v>
      </c>
      <c r="G15" s="30">
        <f>29600034+1278000+970942</f>
        <v>31848976</v>
      </c>
      <c r="H15" s="30">
        <f>29906657-359978+1278000+970942</f>
        <v>31795621</v>
      </c>
      <c r="I15" s="30">
        <f>17856859-280045+1911172+1278000+970942</f>
        <v>21736928</v>
      </c>
      <c r="J15" s="30">
        <f>17856859+1911172+1278001+970942</f>
        <v>22016974</v>
      </c>
      <c r="K15" s="30">
        <f>17856859+1911172+1278001+970942</f>
        <v>22016974</v>
      </c>
      <c r="L15" s="30">
        <f>17856859+1911173</f>
        <v>19768032</v>
      </c>
      <c r="M15" s="30">
        <f>17856859+619272+238520263+3172</f>
        <v>256999566</v>
      </c>
      <c r="N15" s="30">
        <f>17856859+619272</f>
        <v>18476131</v>
      </c>
      <c r="O15" s="30">
        <f>17856859+619272</f>
        <v>18476131</v>
      </c>
      <c r="P15" s="30">
        <f>17856859+619272</f>
        <v>18476131</v>
      </c>
      <c r="Q15" s="30">
        <f>17856859+619272</f>
        <v>18476131</v>
      </c>
      <c r="R15" s="30">
        <f>17856859+619271</f>
        <v>18476130</v>
      </c>
      <c r="S15" s="224">
        <f t="shared" si="4"/>
        <v>498563725</v>
      </c>
      <c r="T15" s="276">
        <v>498563725</v>
      </c>
      <c r="U15" s="222">
        <f t="shared" si="1"/>
        <v>0</v>
      </c>
      <c r="V15" s="225">
        <f t="shared" si="2"/>
        <v>498563725</v>
      </c>
      <c r="W15" s="225">
        <f t="shared" si="3"/>
        <v>0</v>
      </c>
    </row>
    <row r="16" spans="1:23">
      <c r="A16" s="25"/>
      <c r="B16" s="25"/>
      <c r="C16" s="34"/>
      <c r="D16" s="28" t="s">
        <v>144</v>
      </c>
      <c r="E16" s="56">
        <v>0</v>
      </c>
      <c r="F16" s="56">
        <f t="shared" si="0"/>
        <v>0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224">
        <f t="shared" si="4"/>
        <v>0</v>
      </c>
      <c r="U16" s="222">
        <f t="shared" si="1"/>
        <v>0</v>
      </c>
      <c r="V16" s="225">
        <f t="shared" si="2"/>
        <v>0</v>
      </c>
      <c r="W16" s="225">
        <f t="shared" si="3"/>
        <v>0</v>
      </c>
    </row>
    <row r="17" spans="1:23">
      <c r="A17" s="25" t="s">
        <v>4</v>
      </c>
      <c r="B17" s="26"/>
      <c r="C17" s="24" t="s">
        <v>57</v>
      </c>
      <c r="D17" s="35"/>
      <c r="E17" s="58">
        <v>0</v>
      </c>
      <c r="F17" s="56">
        <f t="shared" si="0"/>
        <v>0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224">
        <f t="shared" si="4"/>
        <v>0</v>
      </c>
      <c r="U17" s="222">
        <f t="shared" si="1"/>
        <v>0</v>
      </c>
      <c r="V17" s="225">
        <f t="shared" si="2"/>
        <v>0</v>
      </c>
      <c r="W17" s="225">
        <f t="shared" si="3"/>
        <v>0</v>
      </c>
    </row>
    <row r="18" spans="1:23">
      <c r="A18" s="25"/>
      <c r="B18" s="27"/>
      <c r="C18" s="28"/>
      <c r="D18" s="37" t="s">
        <v>57</v>
      </c>
      <c r="E18" s="56">
        <v>154078713</v>
      </c>
      <c r="F18" s="56">
        <f t="shared" si="0"/>
        <v>193055304</v>
      </c>
      <c r="G18" s="30">
        <v>120556562</v>
      </c>
      <c r="H18" s="30"/>
      <c r="I18" s="30">
        <v>38976591</v>
      </c>
      <c r="J18" s="30">
        <v>30982151</v>
      </c>
      <c r="K18" s="30"/>
      <c r="L18" s="30"/>
      <c r="M18" s="30">
        <v>2540000</v>
      </c>
      <c r="N18" s="30"/>
      <c r="O18" s="30"/>
      <c r="P18" s="30"/>
      <c r="Q18" s="30"/>
      <c r="R18" s="30"/>
      <c r="S18" s="224">
        <f t="shared" si="4"/>
        <v>193055304</v>
      </c>
      <c r="T18" s="276">
        <v>193055304</v>
      </c>
      <c r="U18" s="222">
        <f t="shared" si="1"/>
        <v>0</v>
      </c>
      <c r="V18" s="225">
        <f t="shared" si="2"/>
        <v>193055304</v>
      </c>
      <c r="W18" s="225">
        <f t="shared" si="3"/>
        <v>0</v>
      </c>
    </row>
    <row r="19" spans="1:23">
      <c r="A19" s="25"/>
      <c r="B19" s="38" t="s">
        <v>76</v>
      </c>
      <c r="C19" s="39"/>
      <c r="D19" s="38"/>
      <c r="E19" s="57">
        <f t="shared" ref="E19:S19" si="6">SUM(E10:E18)</f>
        <v>998679573</v>
      </c>
      <c r="F19" s="57">
        <f t="shared" si="6"/>
        <v>1311595821.75</v>
      </c>
      <c r="G19" s="40">
        <f t="shared" si="6"/>
        <v>196429198</v>
      </c>
      <c r="H19" s="40">
        <f t="shared" si="6"/>
        <v>75576048.583333343</v>
      </c>
      <c r="I19" s="40">
        <f t="shared" si="6"/>
        <v>142615067.58333331</v>
      </c>
      <c r="J19" s="40">
        <f t="shared" si="6"/>
        <v>96633126.583333343</v>
      </c>
      <c r="K19" s="40">
        <f t="shared" si="6"/>
        <v>65650976</v>
      </c>
      <c r="L19" s="40">
        <f t="shared" si="6"/>
        <v>63163447</v>
      </c>
      <c r="M19" s="40">
        <f t="shared" si="6"/>
        <v>302185704</v>
      </c>
      <c r="N19" s="40">
        <f t="shared" si="6"/>
        <v>61171546</v>
      </c>
      <c r="O19" s="40">
        <f t="shared" si="6"/>
        <v>115637201</v>
      </c>
      <c r="P19" s="40">
        <f t="shared" si="6"/>
        <v>64111168</v>
      </c>
      <c r="Q19" s="40">
        <f t="shared" si="6"/>
        <v>67750791</v>
      </c>
      <c r="R19" s="40">
        <f t="shared" si="6"/>
        <v>60671548</v>
      </c>
      <c r="S19" s="40">
        <f t="shared" si="6"/>
        <v>1311595821.75</v>
      </c>
      <c r="T19" s="277">
        <f>SUM(T10:T18)</f>
        <v>1311595822</v>
      </c>
      <c r="U19" s="222">
        <f t="shared" si="1"/>
        <v>0.25</v>
      </c>
      <c r="V19" s="225">
        <f t="shared" si="2"/>
        <v>1311595821.75</v>
      </c>
      <c r="W19" s="225">
        <f t="shared" si="3"/>
        <v>0</v>
      </c>
    </row>
    <row r="20" spans="1:23">
      <c r="A20" s="25"/>
      <c r="B20" s="33" t="s">
        <v>65</v>
      </c>
      <c r="C20" s="41"/>
      <c r="D20" s="41"/>
      <c r="E20" s="54"/>
      <c r="F20" s="56">
        <f t="shared" si="0"/>
        <v>0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U20" s="222">
        <f t="shared" si="1"/>
        <v>0</v>
      </c>
      <c r="V20" s="225">
        <f t="shared" si="2"/>
        <v>0</v>
      </c>
      <c r="W20" s="225">
        <f t="shared" si="3"/>
        <v>0</v>
      </c>
    </row>
    <row r="21" spans="1:23">
      <c r="A21" s="25" t="s">
        <v>2</v>
      </c>
      <c r="B21" s="43" t="s">
        <v>92</v>
      </c>
      <c r="C21" s="44"/>
      <c r="D21" s="45"/>
      <c r="E21" s="49"/>
      <c r="F21" s="56">
        <f t="shared" si="0"/>
        <v>0</v>
      </c>
      <c r="G21" s="30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U21" s="222">
        <f t="shared" si="1"/>
        <v>0</v>
      </c>
      <c r="V21" s="225">
        <f t="shared" si="2"/>
        <v>0</v>
      </c>
      <c r="W21" s="225">
        <f t="shared" si="3"/>
        <v>0</v>
      </c>
    </row>
    <row r="22" spans="1:23">
      <c r="A22" s="25"/>
      <c r="B22" s="25"/>
      <c r="C22" s="28" t="s">
        <v>17</v>
      </c>
      <c r="D22" s="28"/>
      <c r="E22" s="56">
        <v>239569232</v>
      </c>
      <c r="F22" s="56">
        <f>SUM(G22:R22)</f>
        <v>248262518</v>
      </c>
      <c r="G22" s="30">
        <f>14969400+5546151+794161</f>
        <v>21309712</v>
      </c>
      <c r="H22" s="30">
        <f>20515551+794161</f>
        <v>21309712</v>
      </c>
      <c r="I22" s="30">
        <f>20515551+794161</f>
        <v>21309712</v>
      </c>
      <c r="J22" s="30">
        <f>14969400+1741390+4036935+794161</f>
        <v>21541886</v>
      </c>
      <c r="K22" s="30">
        <f>20747725+794161</f>
        <v>21541886</v>
      </c>
      <c r="L22" s="30">
        <v>20747725</v>
      </c>
      <c r="M22" s="30">
        <f>20747725+36700</f>
        <v>20784425</v>
      </c>
      <c r="N22" s="30">
        <f>14969400+4036935</f>
        <v>19006335</v>
      </c>
      <c r="O22" s="30">
        <v>19006336</v>
      </c>
      <c r="P22" s="30">
        <f>19006336+4685781</f>
        <v>23692117</v>
      </c>
      <c r="Q22" s="30">
        <v>19006336</v>
      </c>
      <c r="R22" s="30">
        <v>19006336</v>
      </c>
      <c r="S22" s="29">
        <f>SUM(G22:R22)</f>
        <v>248262518</v>
      </c>
      <c r="T22" s="276">
        <v>248262518</v>
      </c>
      <c r="U22" s="222">
        <f t="shared" si="1"/>
        <v>0</v>
      </c>
      <c r="V22" s="225">
        <f t="shared" si="2"/>
        <v>248262518</v>
      </c>
      <c r="W22" s="225">
        <f t="shared" si="3"/>
        <v>0</v>
      </c>
    </row>
    <row r="23" spans="1:23">
      <c r="A23" s="25"/>
      <c r="B23" s="25"/>
      <c r="C23" s="28" t="s">
        <v>145</v>
      </c>
      <c r="D23" s="28"/>
      <c r="E23" s="56">
        <v>40706662</v>
      </c>
      <c r="F23" s="56">
        <f>SUM(G23:R23)</f>
        <v>42328972</v>
      </c>
      <c r="G23" s="30">
        <f>2905248+540741+154859</f>
        <v>3600848</v>
      </c>
      <c r="H23" s="30">
        <f>3445989+154859</f>
        <v>3600848</v>
      </c>
      <c r="I23" s="30">
        <f>3445989+154859</f>
        <v>3600848</v>
      </c>
      <c r="J23" s="30">
        <f>2905248+169782+393593+154859</f>
        <v>3623482</v>
      </c>
      <c r="K23" s="30">
        <f>3468623+154859</f>
        <v>3623482</v>
      </c>
      <c r="L23" s="30">
        <v>3468623</v>
      </c>
      <c r="M23" s="30">
        <f>3468623+6593</f>
        <v>3475216</v>
      </c>
      <c r="N23" s="30">
        <f>2905248+393593</f>
        <v>3298841</v>
      </c>
      <c r="O23" s="30">
        <v>3298841</v>
      </c>
      <c r="P23" s="30">
        <f>3298841+841422</f>
        <v>4140263</v>
      </c>
      <c r="Q23" s="30">
        <v>3298840</v>
      </c>
      <c r="R23" s="30">
        <v>3298840</v>
      </c>
      <c r="S23" s="29">
        <f t="shared" si="4"/>
        <v>42328972</v>
      </c>
      <c r="T23" s="276">
        <v>42328972</v>
      </c>
      <c r="U23" s="222">
        <f t="shared" si="1"/>
        <v>0</v>
      </c>
      <c r="V23" s="225">
        <f t="shared" si="2"/>
        <v>42328972</v>
      </c>
      <c r="W23" s="225">
        <f t="shared" si="3"/>
        <v>0</v>
      </c>
    </row>
    <row r="24" spans="1:23">
      <c r="A24" s="25"/>
      <c r="B24" s="25"/>
      <c r="C24" s="28" t="s">
        <v>73</v>
      </c>
      <c r="D24" s="28"/>
      <c r="E24" s="56">
        <v>235856881</v>
      </c>
      <c r="F24" s="56">
        <f t="shared" ref="F24:F30" si="7">SUM(G24:R24)</f>
        <v>243535106.00000006</v>
      </c>
      <c r="G24" s="30">
        <f>+$E$24/12+120000</f>
        <v>19774740.083333332</v>
      </c>
      <c r="H24" s="30">
        <f>+$E$24/12+120000</f>
        <v>19774740.083333332</v>
      </c>
      <c r="I24" s="30">
        <f>+$E$24/12-159575069+158715069+120000</f>
        <v>18914740.083333343</v>
      </c>
      <c r="J24" s="30">
        <f>+$E$24/12+480000+120000</f>
        <v>20254740.083333332</v>
      </c>
      <c r="K24" s="30">
        <f>+$E$24/12+480000+120000+169000</f>
        <v>20423740.083333332</v>
      </c>
      <c r="L24" s="30">
        <f>+$E$24/12-214563</f>
        <v>19440177.083333332</v>
      </c>
      <c r="M24" s="30">
        <f t="shared" ref="M24:R24" si="8">+$E$24/12</f>
        <v>19654740.083333332</v>
      </c>
      <c r="N24" s="30">
        <f>+$E$24/12+214563</f>
        <v>19869303.083333332</v>
      </c>
      <c r="O24" s="30">
        <f>+$E$24/12-100000</f>
        <v>19554740.083333332</v>
      </c>
      <c r="P24" s="30">
        <f>+$E$24/12+6909225</f>
        <v>26563965.083333332</v>
      </c>
      <c r="Q24" s="30">
        <f t="shared" si="8"/>
        <v>19654740.083333332</v>
      </c>
      <c r="R24" s="30">
        <f t="shared" si="8"/>
        <v>19654740.083333332</v>
      </c>
      <c r="S24" s="29">
        <f t="shared" si="4"/>
        <v>243535106.00000006</v>
      </c>
      <c r="T24" s="276">
        <v>243535106</v>
      </c>
      <c r="U24" s="222">
        <f t="shared" si="1"/>
        <v>-5.9604644775390625E-8</v>
      </c>
      <c r="V24" s="225">
        <f t="shared" si="2"/>
        <v>243535106.00000006</v>
      </c>
      <c r="W24" s="225">
        <f>V24-F24</f>
        <v>0</v>
      </c>
    </row>
    <row r="25" spans="1:23">
      <c r="A25" s="25"/>
      <c r="B25" s="25"/>
      <c r="C25" s="28" t="s">
        <v>98</v>
      </c>
      <c r="D25" s="28"/>
      <c r="E25" s="56">
        <v>17188494</v>
      </c>
      <c r="F25" s="56">
        <f t="shared" si="7"/>
        <v>17188494</v>
      </c>
      <c r="G25" s="30">
        <f>+$E$25/12</f>
        <v>1432374.5</v>
      </c>
      <c r="H25" s="30">
        <f t="shared" ref="H25:R25" si="9">+$E$25/12</f>
        <v>1432374.5</v>
      </c>
      <c r="I25" s="30">
        <f t="shared" si="9"/>
        <v>1432374.5</v>
      </c>
      <c r="J25" s="30">
        <f t="shared" si="9"/>
        <v>1432374.5</v>
      </c>
      <c r="K25" s="30">
        <f t="shared" si="9"/>
        <v>1432374.5</v>
      </c>
      <c r="L25" s="30">
        <f t="shared" si="9"/>
        <v>1432374.5</v>
      </c>
      <c r="M25" s="30">
        <f t="shared" si="9"/>
        <v>1432374.5</v>
      </c>
      <c r="N25" s="30">
        <f t="shared" si="9"/>
        <v>1432374.5</v>
      </c>
      <c r="O25" s="30">
        <f t="shared" si="9"/>
        <v>1432374.5</v>
      </c>
      <c r="P25" s="30">
        <f t="shared" si="9"/>
        <v>1432374.5</v>
      </c>
      <c r="Q25" s="30">
        <f t="shared" si="9"/>
        <v>1432374.5</v>
      </c>
      <c r="R25" s="30">
        <f t="shared" si="9"/>
        <v>1432374.5</v>
      </c>
      <c r="S25" s="29">
        <f t="shared" si="4"/>
        <v>17188494</v>
      </c>
      <c r="T25" s="276">
        <v>17188494</v>
      </c>
      <c r="U25" s="222">
        <f t="shared" si="1"/>
        <v>0</v>
      </c>
      <c r="V25" s="225">
        <f t="shared" si="2"/>
        <v>17188494</v>
      </c>
      <c r="W25" s="225">
        <f t="shared" si="3"/>
        <v>0</v>
      </c>
    </row>
    <row r="26" spans="1:23">
      <c r="A26" s="25"/>
      <c r="B26" s="27"/>
      <c r="C26" s="32" t="s">
        <v>99</v>
      </c>
      <c r="D26" s="32"/>
      <c r="E26" s="56">
        <v>116255110</v>
      </c>
      <c r="F26" s="56">
        <f t="shared" si="7"/>
        <v>354096487.83333337</v>
      </c>
      <c r="G26" s="30">
        <f>+E26/12+47084</f>
        <v>9735009.833333334</v>
      </c>
      <c r="H26" s="30">
        <f>9687926+47084</f>
        <v>9735010</v>
      </c>
      <c r="I26" s="30">
        <f>9687926+47084+237605958</f>
        <v>247340968</v>
      </c>
      <c r="J26" s="30">
        <f>9687926+47084</f>
        <v>9735010</v>
      </c>
      <c r="K26" s="30">
        <f>9687926+47084</f>
        <v>9735010</v>
      </c>
      <c r="L26" s="30">
        <f>9687926</f>
        <v>9687926</v>
      </c>
      <c r="M26" s="30">
        <v>9687926</v>
      </c>
      <c r="N26" s="30">
        <v>9687926</v>
      </c>
      <c r="O26" s="30">
        <v>9687926</v>
      </c>
      <c r="P26" s="30">
        <v>9687926</v>
      </c>
      <c r="Q26" s="30">
        <v>9687925</v>
      </c>
      <c r="R26" s="30">
        <v>9687925</v>
      </c>
      <c r="S26" s="29">
        <f t="shared" si="4"/>
        <v>354096487.83333337</v>
      </c>
      <c r="T26" s="276">
        <v>354096488</v>
      </c>
      <c r="U26" s="222">
        <f t="shared" si="1"/>
        <v>0.16666662693023682</v>
      </c>
      <c r="V26" s="225">
        <f t="shared" si="2"/>
        <v>354096487.83333337</v>
      </c>
      <c r="W26" s="225">
        <f t="shared" si="3"/>
        <v>0</v>
      </c>
    </row>
    <row r="27" spans="1:23">
      <c r="A27" s="25"/>
      <c r="B27" s="27"/>
      <c r="C27" s="37" t="s">
        <v>100</v>
      </c>
      <c r="D27" s="37"/>
      <c r="E27" s="56">
        <v>184993063</v>
      </c>
      <c r="F27" s="56">
        <f t="shared" si="7"/>
        <v>226971015.00000003</v>
      </c>
      <c r="G27" s="30">
        <f>+$E$27/12+970942</f>
        <v>16387030.583333334</v>
      </c>
      <c r="H27" s="30">
        <f>+$E$27/12+970942</f>
        <v>16387030.583333334</v>
      </c>
      <c r="I27" s="30">
        <f>+$E$27/12+970942+36205827</f>
        <v>52592857.583333336</v>
      </c>
      <c r="J27" s="30">
        <f>+$E$27/12+970942</f>
        <v>16387030.583333334</v>
      </c>
      <c r="K27" s="30">
        <f>+$E$27/12+970942</f>
        <v>16387030.583333334</v>
      </c>
      <c r="L27" s="30">
        <f t="shared" ref="L27:R27" si="10">+$E$27/12</f>
        <v>15416088.583333334</v>
      </c>
      <c r="M27" s="30">
        <f>+$E$27/12-372988</f>
        <v>15043100.583333334</v>
      </c>
      <c r="N27" s="30">
        <f>+$E$27/12+1290403</f>
        <v>16706491.583333334</v>
      </c>
      <c r="O27" s="30">
        <f t="shared" si="10"/>
        <v>15416088.583333334</v>
      </c>
      <c r="P27" s="30">
        <f t="shared" si="10"/>
        <v>15416088.583333334</v>
      </c>
      <c r="Q27" s="30">
        <f t="shared" si="10"/>
        <v>15416088.583333334</v>
      </c>
      <c r="R27" s="30">
        <f t="shared" si="10"/>
        <v>15416088.583333334</v>
      </c>
      <c r="S27" s="29">
        <f t="shared" si="4"/>
        <v>226971015.00000003</v>
      </c>
      <c r="T27" s="276">
        <f>190765188+36205827</f>
        <v>226971015</v>
      </c>
      <c r="U27" s="222">
        <f t="shared" si="1"/>
        <v>-2.9802322387695313E-8</v>
      </c>
      <c r="V27" s="225">
        <f t="shared" si="2"/>
        <v>226971015.00000003</v>
      </c>
      <c r="W27" s="225">
        <f t="shared" si="3"/>
        <v>0</v>
      </c>
    </row>
    <row r="28" spans="1:23">
      <c r="A28" s="25" t="s">
        <v>3</v>
      </c>
      <c r="B28" s="332" t="s">
        <v>93</v>
      </c>
      <c r="C28" s="333"/>
      <c r="D28" s="334"/>
      <c r="E28" s="49"/>
      <c r="F28" s="56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29"/>
      <c r="U28" s="222">
        <f t="shared" si="1"/>
        <v>0</v>
      </c>
      <c r="V28" s="225">
        <f t="shared" si="2"/>
        <v>0</v>
      </c>
      <c r="W28" s="225">
        <f t="shared" si="3"/>
        <v>0</v>
      </c>
    </row>
    <row r="29" spans="1:23">
      <c r="A29" s="25"/>
      <c r="B29" s="46"/>
      <c r="C29" s="48" t="s">
        <v>55</v>
      </c>
      <c r="D29" s="47"/>
      <c r="E29" s="56">
        <v>160253713</v>
      </c>
      <c r="F29" s="56">
        <f t="shared" si="7"/>
        <v>105678693</v>
      </c>
      <c r="G29" s="30">
        <v>9095837</v>
      </c>
      <c r="H29" s="30">
        <v>9095837</v>
      </c>
      <c r="I29" s="30">
        <v>9095837</v>
      </c>
      <c r="J29" s="30">
        <v>9095837</v>
      </c>
      <c r="K29" s="30">
        <v>9095837</v>
      </c>
      <c r="L29" s="30">
        <f>9095837-3471351</f>
        <v>5624486</v>
      </c>
      <c r="M29" s="30">
        <v>9095837</v>
      </c>
      <c r="N29" s="30">
        <v>9095837</v>
      </c>
      <c r="O29" s="30">
        <v>9095837</v>
      </c>
      <c r="P29" s="30">
        <v>9095837</v>
      </c>
      <c r="Q29" s="30">
        <v>9095837</v>
      </c>
      <c r="R29" s="30">
        <v>9095837</v>
      </c>
      <c r="S29" s="29">
        <f t="shared" si="4"/>
        <v>105678693</v>
      </c>
      <c r="T29" s="276">
        <v>105678693</v>
      </c>
      <c r="U29" s="222">
        <f>V29-T29</f>
        <v>0</v>
      </c>
      <c r="V29" s="225">
        <f t="shared" si="2"/>
        <v>105678693</v>
      </c>
      <c r="W29" s="225">
        <f t="shared" si="3"/>
        <v>0</v>
      </c>
    </row>
    <row r="30" spans="1:23">
      <c r="A30" s="25"/>
      <c r="B30" s="46"/>
      <c r="C30" s="48" t="s">
        <v>115</v>
      </c>
      <c r="D30" s="47"/>
      <c r="E30" s="56">
        <v>3856418</v>
      </c>
      <c r="F30" s="56">
        <f t="shared" si="7"/>
        <v>73534536</v>
      </c>
      <c r="G30" s="30">
        <v>647798</v>
      </c>
      <c r="H30" s="30">
        <v>2250166</v>
      </c>
      <c r="I30" s="30">
        <v>958454</v>
      </c>
      <c r="J30" s="30">
        <v>7742013</v>
      </c>
      <c r="K30" s="30">
        <v>7742013</v>
      </c>
      <c r="L30" s="30">
        <v>7742013</v>
      </c>
      <c r="M30" s="30">
        <v>7742013</v>
      </c>
      <c r="N30" s="30">
        <v>7742013</v>
      </c>
      <c r="O30" s="30">
        <v>7742013</v>
      </c>
      <c r="P30" s="30">
        <v>7742013</v>
      </c>
      <c r="Q30" s="30">
        <v>7742013</v>
      </c>
      <c r="R30" s="30">
        <v>7742014</v>
      </c>
      <c r="S30" s="29">
        <f t="shared" si="4"/>
        <v>73534536</v>
      </c>
      <c r="T30" s="276">
        <v>73534536</v>
      </c>
      <c r="U30" s="222">
        <f t="shared" si="1"/>
        <v>0</v>
      </c>
      <c r="V30" s="225">
        <f t="shared" si="2"/>
        <v>73534536</v>
      </c>
      <c r="W30" s="225">
        <f t="shared" si="3"/>
        <v>0</v>
      </c>
    </row>
    <row r="31" spans="1:23">
      <c r="A31" s="25"/>
      <c r="B31" s="324" t="s">
        <v>94</v>
      </c>
      <c r="C31" s="325"/>
      <c r="D31" s="326"/>
      <c r="E31" s="57">
        <f>SUM(E22:E30)</f>
        <v>998679573</v>
      </c>
      <c r="F31" s="57">
        <f>SUM(F22:F30)</f>
        <v>1311595821.8333335</v>
      </c>
      <c r="G31" s="40">
        <f>SUM(G22:G30)</f>
        <v>81983350</v>
      </c>
      <c r="H31" s="40">
        <f t="shared" ref="H31:R31" si="11">SUM(H22:H30)</f>
        <v>83585718.166666657</v>
      </c>
      <c r="I31" s="40">
        <f t="shared" si="11"/>
        <v>355245791.16666669</v>
      </c>
      <c r="J31" s="40">
        <f t="shared" si="11"/>
        <v>89812373.166666657</v>
      </c>
      <c r="K31" s="40">
        <f t="shared" si="11"/>
        <v>89981373.166666657</v>
      </c>
      <c r="L31" s="40">
        <f t="shared" si="11"/>
        <v>83559413.166666657</v>
      </c>
      <c r="M31" s="40">
        <f t="shared" si="11"/>
        <v>86915632.166666657</v>
      </c>
      <c r="N31" s="40">
        <f t="shared" si="11"/>
        <v>86839121.166666657</v>
      </c>
      <c r="O31" s="40">
        <f t="shared" si="11"/>
        <v>85234156.166666657</v>
      </c>
      <c r="P31" s="40">
        <f t="shared" si="11"/>
        <v>97770584.166666657</v>
      </c>
      <c r="Q31" s="40">
        <f t="shared" si="11"/>
        <v>85334154.166666657</v>
      </c>
      <c r="R31" s="40">
        <f t="shared" si="11"/>
        <v>85334155.166666657</v>
      </c>
      <c r="S31" s="40">
        <f>SUM(S22:S30)</f>
        <v>1311595821.8333335</v>
      </c>
      <c r="T31" s="278">
        <f>SUM(T22:T30)</f>
        <v>1311595822</v>
      </c>
      <c r="U31" s="222">
        <f t="shared" si="1"/>
        <v>0.16666650772094727</v>
      </c>
      <c r="V31" s="225">
        <f t="shared" si="2"/>
        <v>1311595821.8333333</v>
      </c>
      <c r="W31" s="225">
        <f t="shared" si="3"/>
        <v>0</v>
      </c>
    </row>
    <row r="32" spans="1:23">
      <c r="F32" s="226">
        <f>F31-E31</f>
        <v>312916248.83333349</v>
      </c>
      <c r="T32" s="276">
        <f>T19-T31</f>
        <v>0</v>
      </c>
      <c r="W32" s="225"/>
    </row>
    <row r="33" spans="6:21">
      <c r="F33" s="226">
        <f>F19-E19</f>
        <v>312916248.75</v>
      </c>
    </row>
    <row r="34" spans="6:21">
      <c r="U34" s="222">
        <f>U30/9</f>
        <v>0</v>
      </c>
    </row>
  </sheetData>
  <mergeCells count="7">
    <mergeCell ref="B31:D31"/>
    <mergeCell ref="A2:S2"/>
    <mergeCell ref="A1:E1"/>
    <mergeCell ref="A3:S3"/>
    <mergeCell ref="A4:S4"/>
    <mergeCell ref="C7:D7"/>
    <mergeCell ref="B28:D28"/>
  </mergeCells>
  <pageMargins left="0.7" right="0.7" top="0.75" bottom="0.75" header="0.3" footer="0.3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5</vt:i4>
      </vt:variant>
    </vt:vector>
  </HeadingPairs>
  <TitlesOfParts>
    <vt:vector size="10" baseType="lpstr">
      <vt:lpstr>Mérleg</vt:lpstr>
      <vt:lpstr>Műk.és felhalm.mérleg</vt:lpstr>
      <vt:lpstr>PH</vt:lpstr>
      <vt:lpstr>Átadott</vt:lpstr>
      <vt:lpstr>likvid. ütemterv</vt:lpstr>
      <vt:lpstr>Átadott!Nyomtatási_terület</vt:lpstr>
      <vt:lpstr>'likvid. ütemterv'!Nyomtatási_terület</vt:lpstr>
      <vt:lpstr>Mérleg!Nyomtatási_terület</vt:lpstr>
      <vt:lpstr>'Műk.és felhalm.mérleg'!Nyomtatási_terület</vt:lpstr>
      <vt:lpstr>PH!Nyomtatási_terület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repar</cp:lastModifiedBy>
  <cp:lastPrinted>2019-11-07T14:57:39Z</cp:lastPrinted>
  <dcterms:created xsi:type="dcterms:W3CDTF">1997-01-17T14:02:09Z</dcterms:created>
  <dcterms:modified xsi:type="dcterms:W3CDTF">2019-11-15T15:39:04Z</dcterms:modified>
</cp:coreProperties>
</file>