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95" activeTab="0"/>
  </bookViews>
  <sheets>
    <sheet name="1. bevételek" sheetId="1" r:id="rId1"/>
    <sheet name="2. kiadások " sheetId="2" r:id="rId2"/>
    <sheet name="3.műk.-felh." sheetId="3" r:id="rId3"/>
    <sheet name="4.önkorm.szakf. " sheetId="4" r:id="rId4"/>
    <sheet name="5. kiadások megbontása" sheetId="5" r:id="rId5"/>
    <sheet name="6. források sz. bontás" sheetId="6" r:id="rId6"/>
    <sheet name="7. létszámok" sheetId="7" r:id="rId7"/>
    <sheet name="8.felhki" sheetId="8" r:id="rId8"/>
    <sheet name="9. Stab.tv.saját bev" sheetId="9" r:id="rId9"/>
    <sheet name="10.normatívák" sheetId="10" r:id="rId10"/>
  </sheets>
  <definedNames>
    <definedName name="_xlnm.Print_Titles" localSheetId="0">'1. bevételek'!$6:$7</definedName>
    <definedName name="_xlnm.Print_Titles" localSheetId="1">'2. kiadások '!$5:$6</definedName>
    <definedName name="_xlnm.Print_Titles" localSheetId="2">'3.műk.-felh.'!$4:$5</definedName>
    <definedName name="_xlnm.Print_Titles" localSheetId="3">'4.önkorm.szakf. '!$4:$7</definedName>
    <definedName name="_xlnm.Print_Titles" localSheetId="4">'5. kiadások megbontása'!$5:$8</definedName>
    <definedName name="_xlnm.Print_Titles" localSheetId="6">'7. létszámok'!$7:$7</definedName>
    <definedName name="_xlnm.Print_Titles" localSheetId="7">'8.felhki'!$6:$7</definedName>
    <definedName name="_xlnm.Print_Area" localSheetId="0">'1. bevételek'!$A$1:$I$201</definedName>
    <definedName name="_xlnm.Print_Area" localSheetId="9">'10.normatívák'!$A$1:$L$60</definedName>
    <definedName name="_xlnm.Print_Area" localSheetId="1">'2. kiadások '!$A$1:$I$75</definedName>
    <definedName name="_xlnm.Print_Area" localSheetId="3">'4.önkorm.szakf. '!$D$1:$Z$58</definedName>
    <definedName name="_xlnm.Print_Area" localSheetId="4">'5. kiadások megbontása'!$A$1:$M$84</definedName>
    <definedName name="_xlnm.Print_Area" localSheetId="5">'6. források sz. bontás'!$A$1:$AC$65</definedName>
    <definedName name="_xlnm.Print_Area" localSheetId="6">'7. létszámok'!$A$1:$M$82</definedName>
    <definedName name="_xlnm.Print_Area" localSheetId="7">'8.felhki'!$A$1:$D$77</definedName>
    <definedName name="_xlnm.Print_Area" localSheetId="8">'9. Stab.tv.saját bev'!$A$1:$I$14</definedName>
  </definedNames>
  <calcPr fullCalcOnLoad="1"/>
</workbook>
</file>

<file path=xl/sharedStrings.xml><?xml version="1.0" encoding="utf-8"?>
<sst xmlns="http://schemas.openxmlformats.org/spreadsheetml/2006/main" count="1633" uniqueCount="1072">
  <si>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</si>
  <si>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</si>
  <si>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</si>
  <si>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</si>
  <si>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</si>
  <si>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</si>
  <si>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</si>
  <si>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</si>
  <si>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</si>
  <si>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</si>
  <si>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</si>
  <si>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</si>
  <si>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</si>
  <si>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</si>
  <si>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</si>
  <si>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</si>
  <si>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</si>
  <si>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</si>
  <si>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</si>
  <si>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</si>
  <si>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</si>
  <si>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</si>
  <si>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2.3. Egyéb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</si>
  <si>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</si>
  <si>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</si>
  <si>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</si>
  <si>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</si>
  <si>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</si>
  <si>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</si>
  <si>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</si>
  <si>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</si>
  <si>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</si>
  <si>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</si>
  <si>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</si>
  <si>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</si>
  <si>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</si>
  <si>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</si>
  <si>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</si>
  <si>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</si>
  <si>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</si>
  <si>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</si>
  <si>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5.1. Egyéb műk. célú támogatások államh.-on belülre</t>
  </si>
  <si>
    <t>5.3. Egyéb műk. célú támogatások államh.-on kívülre</t>
  </si>
  <si>
    <t>5. Egyéb működési célú kiadások</t>
  </si>
  <si>
    <t>5.4. Tartalékok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</si>
  <si>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</si>
  <si>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</si>
  <si>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</si>
  <si>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</si>
  <si>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</si>
  <si>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</si>
  <si>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2.2. Belföldi gépjárművek adójának helyi önk-t megillető része</t>
  </si>
  <si>
    <t>3.4. Felh. c. v.tér. tám. kölcs. nyújt. állh.-on kívülre</t>
  </si>
  <si>
    <t>3.5. Egyéb felh. c. támogatások állh-on kívülre</t>
  </si>
  <si>
    <t>Viziközmű fejl. tartalék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</si>
  <si>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</si>
  <si>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</si>
  <si>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</si>
  <si>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</si>
  <si>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</si>
  <si>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</si>
  <si>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</si>
  <si>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</si>
  <si>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</si>
  <si>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</si>
  <si>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</si>
  <si>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</si>
  <si>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</si>
  <si>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</si>
  <si>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</si>
  <si>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</si>
  <si>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</si>
  <si>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</si>
  <si>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</si>
  <si>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</si>
  <si>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</si>
  <si>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</si>
  <si>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</si>
  <si>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</si>
  <si>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</si>
  <si>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</si>
  <si>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107013</t>
  </si>
  <si>
    <t>102030</t>
  </si>
  <si>
    <t>104042</t>
  </si>
  <si>
    <t>107015</t>
  </si>
  <si>
    <t>Hajléktalanok nappali ellátása</t>
  </si>
  <si>
    <t>107051</t>
  </si>
  <si>
    <t>107052</t>
  </si>
  <si>
    <t>107054</t>
  </si>
  <si>
    <t>104060</t>
  </si>
  <si>
    <t>107060</t>
  </si>
  <si>
    <t>082044</t>
  </si>
  <si>
    <t>082061</t>
  </si>
  <si>
    <t>082092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</si>
  <si>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</si>
  <si>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</si>
  <si>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</si>
  <si>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</si>
  <si>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 xml:space="preserve">Hajléktalanok átmeneti ellátása </t>
  </si>
  <si>
    <t>Múzeumi, gyűjteményi tevékenység</t>
  </si>
  <si>
    <t xml:space="preserve">működési </t>
  </si>
  <si>
    <t>felhalmozási</t>
  </si>
  <si>
    <t>össz.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</si>
  <si>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</si>
  <si>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</si>
  <si>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</si>
  <si>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</si>
  <si>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</si>
  <si>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 xml:space="preserve"> 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</si>
  <si>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</si>
  <si>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</si>
  <si>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</si>
  <si>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</si>
  <si>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</si>
  <si>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</si>
  <si>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</si>
  <si>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</si>
  <si>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</si>
  <si>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</si>
  <si>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</si>
  <si>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</si>
  <si>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</si>
  <si>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</si>
  <si>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</si>
  <si>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</si>
  <si>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</si>
  <si>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</si>
  <si>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</si>
  <si>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</si>
  <si>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</si>
  <si>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Kieg. RGYVK címén kifizetett összeg és kapcsolódó pótlék megtérítése</t>
  </si>
  <si>
    <t>Felhalmozás célú támogatás államháztartáson kívülre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</si>
  <si>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</si>
  <si>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</si>
  <si>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</si>
  <si>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</si>
  <si>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</si>
  <si>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II.1 (3)</t>
  </si>
  <si>
    <t>A települési önkormányzatok szociális, gyermekjóléti és gyermekétkeztetési feladatainak támogatása</t>
  </si>
  <si>
    <t>III.5</t>
  </si>
  <si>
    <t>Gyermekétkeztetés támogatása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</si>
  <si>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</si>
  <si>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</si>
  <si>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</si>
  <si>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</si>
  <si>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</si>
  <si>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</si>
  <si>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</si>
  <si>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</si>
  <si>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</si>
  <si>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</si>
  <si>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</si>
  <si>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</si>
  <si>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353/2011. (XII. 30.) Korm. rendelet 2.§ (1) bek. szerinti saját bevétel összege az adósságot keletkeztető ügyletek (viziközmű-társulati hitel kapcsán vállalt készfizető kezesség)  futamidejének végéig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</si>
  <si>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</si>
  <si>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</si>
  <si>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</si>
  <si>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</si>
  <si>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</si>
  <si>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</si>
  <si>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</si>
  <si>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</si>
  <si>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</si>
  <si>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</si>
  <si>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</si>
  <si>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</si>
  <si>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</si>
  <si>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</si>
  <si>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</si>
  <si>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</si>
  <si>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</si>
  <si>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</si>
  <si>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</si>
  <si>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</si>
  <si>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</si>
  <si>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</si>
  <si>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</si>
  <si>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</si>
  <si>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</si>
  <si>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</si>
  <si>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</si>
  <si>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</si>
  <si>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</si>
  <si>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</si>
  <si>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</si>
  <si>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</si>
  <si>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</si>
  <si>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</si>
  <si>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</si>
  <si>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</si>
  <si>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</si>
  <si>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</si>
  <si>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</si>
  <si>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</si>
  <si>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</si>
  <si>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</si>
  <si>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</si>
  <si>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</si>
  <si>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</si>
  <si>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</si>
  <si>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</si>
  <si>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</si>
  <si>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</si>
  <si>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</si>
  <si>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</si>
  <si>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</si>
  <si>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</si>
  <si>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</si>
  <si>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</si>
  <si>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</si>
  <si>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</si>
  <si>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</si>
  <si>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</si>
  <si>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</si>
  <si>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</si>
  <si>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</si>
  <si>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</si>
  <si>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</si>
  <si>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</si>
  <si>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</si>
  <si>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</si>
  <si>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</si>
  <si>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</si>
  <si>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</si>
  <si>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</si>
  <si>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</si>
  <si>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</si>
  <si>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</si>
  <si>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</si>
  <si>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</si>
  <si>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</si>
  <si>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</si>
  <si>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</si>
  <si>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</si>
  <si>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</si>
  <si>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</si>
  <si>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</si>
  <si>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</si>
  <si>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</si>
  <si>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</si>
  <si>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</si>
  <si>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</si>
  <si>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</si>
  <si>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</si>
  <si>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</si>
  <si>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</si>
  <si>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</si>
  <si>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</si>
  <si>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</si>
  <si>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</si>
  <si>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</si>
  <si>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</si>
  <si>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</si>
  <si>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</si>
  <si>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</si>
  <si>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</si>
  <si>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</si>
  <si>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</si>
  <si>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</si>
  <si>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</si>
  <si>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</si>
  <si>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</si>
  <si>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</si>
  <si>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</si>
  <si>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</si>
  <si>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</si>
  <si>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</si>
  <si>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</si>
  <si>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</si>
  <si>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</si>
  <si>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</si>
  <si>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</si>
  <si>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</si>
  <si>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</si>
  <si>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</si>
  <si>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</si>
  <si>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</si>
  <si>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</si>
  <si>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</si>
  <si>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</si>
  <si>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</si>
  <si>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</si>
  <si>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</si>
  <si>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</si>
  <si>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</si>
  <si>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</si>
  <si>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</si>
  <si>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</si>
  <si>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</si>
  <si>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</si>
  <si>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</si>
  <si>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</si>
  <si>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</si>
  <si>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</si>
  <si>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</si>
  <si>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</si>
  <si>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</si>
  <si>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</si>
  <si>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</si>
  <si>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</si>
  <si>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</si>
  <si>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</si>
  <si>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</si>
  <si>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</si>
  <si>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</si>
  <si>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</si>
  <si>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</si>
  <si>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</si>
  <si>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</si>
  <si>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</si>
  <si>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</si>
  <si>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</si>
  <si>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</si>
  <si>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</si>
  <si>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</si>
  <si>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</si>
  <si>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</si>
  <si>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</si>
  <si>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</si>
  <si>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</si>
  <si>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</si>
  <si>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</si>
  <si>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</si>
  <si>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</si>
  <si>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</si>
  <si>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</si>
  <si>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</si>
  <si>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</si>
  <si>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</si>
  <si>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</si>
  <si>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</si>
  <si>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</si>
  <si>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</si>
  <si>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</si>
  <si>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</si>
  <si>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</si>
  <si>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</si>
  <si>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</si>
  <si>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</si>
  <si>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</si>
  <si>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</si>
  <si>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</si>
  <si>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</si>
  <si>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</si>
  <si>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</si>
  <si>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</si>
  <si>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</si>
  <si>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</si>
  <si>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</si>
  <si>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</si>
  <si>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</si>
  <si>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</si>
  <si>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</si>
  <si>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</si>
  <si>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</si>
  <si>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</si>
  <si>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</si>
  <si>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</si>
  <si>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</si>
  <si>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</si>
  <si>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</si>
  <si>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</si>
  <si>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</si>
  <si>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</si>
  <si>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</si>
  <si>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</si>
  <si>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</si>
  <si>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</si>
  <si>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</si>
  <si>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</si>
  <si>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</si>
  <si>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</si>
  <si>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</si>
  <si>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</si>
  <si>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Diákélelmezési Konyha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</si>
  <si>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</si>
  <si>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</si>
  <si>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</si>
  <si>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</si>
  <si>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</si>
  <si>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</si>
  <si>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</si>
  <si>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</si>
  <si>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</si>
  <si>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</si>
  <si>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Polgármesteri Hivatal</t>
  </si>
  <si>
    <t>Felújítás</t>
  </si>
  <si>
    <t>Összeg</t>
  </si>
  <si>
    <t>–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</si>
  <si>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</si>
  <si>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</si>
  <si>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</si>
  <si>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</si>
  <si>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</si>
  <si>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</si>
  <si>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</si>
  <si>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</si>
  <si>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</si>
  <si>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</si>
  <si>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</si>
  <si>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</si>
  <si>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</si>
  <si>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</si>
  <si>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</si>
  <si>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</si>
  <si>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</si>
  <si>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</si>
  <si>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</si>
  <si>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</si>
  <si>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</si>
  <si>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</si>
  <si>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</si>
  <si>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</si>
  <si>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</si>
  <si>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</si>
  <si>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</si>
  <si>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</si>
  <si>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</si>
  <si>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</si>
  <si>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</si>
  <si>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</si>
  <si>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</si>
  <si>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</si>
  <si>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</si>
  <si>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</si>
  <si>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</si>
  <si>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</si>
  <si>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</si>
  <si>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</si>
  <si>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</si>
  <si>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</si>
  <si>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</si>
  <si>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</si>
  <si>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Időszak</t>
  </si>
  <si>
    <t>5. bírság-, pótlék- és díjbevétel</t>
  </si>
  <si>
    <t>1. helyi adóból származó bevétel</t>
  </si>
  <si>
    <t>2. önkormányzati  vagyon és az önkormányzatot megillető vagyoni értékű jog értékesítéséből és hasznosításából származó bevétel</t>
  </si>
  <si>
    <t>4. tárgyi eszköz és az immateriális jószág, részvény, részesedés, vállalat értékesítéséből vagy privatizációból származó bevétel</t>
  </si>
  <si>
    <t>6. kezességvállalással kapcsolatos megtérülés</t>
  </si>
  <si>
    <t>Az önkormányzat saját bevételének típusa</t>
  </si>
  <si>
    <t>Összesen</t>
  </si>
  <si>
    <t>3. osztalék, koncessziós díj és hozambevétel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</si>
  <si>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</si>
  <si>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</si>
  <si>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</si>
  <si>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</si>
  <si>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</si>
  <si>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</si>
  <si>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</si>
  <si>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</si>
  <si>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</si>
  <si>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</si>
  <si>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</si>
  <si>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</si>
  <si>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</si>
  <si>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</si>
  <si>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</si>
  <si>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</si>
  <si>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</si>
  <si>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</si>
  <si>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</si>
  <si>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</si>
  <si>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</si>
  <si>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</si>
  <si>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</si>
  <si>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</si>
  <si>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</si>
  <si>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</si>
  <si>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</si>
  <si>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</si>
  <si>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</si>
  <si>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</si>
  <si>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</si>
  <si>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</si>
  <si>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</si>
  <si>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</si>
  <si>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I. Működési bevételek</t>
  </si>
  <si>
    <t>Szociális étkeztetés</t>
  </si>
  <si>
    <t>Házi segítségnyújtás</t>
  </si>
  <si>
    <t>II. Felhalmozási bevételek</t>
  </si>
  <si>
    <t>I. Működési kiadások</t>
  </si>
  <si>
    <t>1. Személyi juttatások</t>
  </si>
  <si>
    <t>26</t>
  </si>
  <si>
    <t>Általános tartalék</t>
  </si>
  <si>
    <t>A települési önkormányzatok kulturális feladatainak támogatása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</si>
  <si>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</si>
  <si>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</si>
  <si>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</si>
  <si>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</si>
  <si>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</si>
  <si>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</si>
  <si>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</si>
  <si>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</si>
  <si>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</si>
  <si>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bértámogatása</t>
  </si>
  <si>
    <t>II.1 (1)</t>
  </si>
  <si>
    <t>II.1 (2)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</si>
  <si>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</si>
  <si>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</si>
  <si>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</si>
  <si>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</si>
  <si>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</si>
  <si>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</si>
  <si>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</si>
  <si>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</si>
  <si>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</si>
  <si>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</si>
  <si>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</si>
  <si>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</si>
  <si>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</si>
  <si>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</si>
  <si>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</si>
  <si>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</si>
  <si>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</si>
  <si>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</si>
  <si>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</si>
  <si>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</si>
  <si>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</si>
  <si>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</si>
  <si>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</si>
  <si>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</si>
  <si>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36</t>
  </si>
  <si>
    <t>37</t>
  </si>
  <si>
    <t>38</t>
  </si>
  <si>
    <t>Polgármesteri Hivatal összesen:</t>
  </si>
  <si>
    <t>Óvodai intézményi étkeztetés</t>
  </si>
  <si>
    <t>Óvodai nevelés, ellátás Jh.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</si>
  <si>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</si>
  <si>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</si>
  <si>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</si>
  <si>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</si>
  <si>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</si>
  <si>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</si>
  <si>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</si>
  <si>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</si>
  <si>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</si>
  <si>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</si>
  <si>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</si>
  <si>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</si>
  <si>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</si>
  <si>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</si>
  <si>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</si>
  <si>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</si>
  <si>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</si>
  <si>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Ügyeleti ellátáshoz önkormányzatoktól átvett pénzeszk.</t>
  </si>
  <si>
    <t>Ügyeleti ellátáshoz OEP-finanszírozás</t>
  </si>
  <si>
    <t>Család- és nővédelmi eü. gondozáshoz OEP-finanszírozás</t>
  </si>
  <si>
    <t>Tűzoltóság BM támogatása</t>
  </si>
  <si>
    <t>Építéshatósági eljárási díj</t>
  </si>
  <si>
    <t>Anyakönyvi szolg. díjbevétele</t>
  </si>
  <si>
    <t>Továbbszámlázott szolg. bevételei</t>
  </si>
  <si>
    <t>Étkeztetéssel kapcsolatos térítési díj bevétel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</si>
  <si>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</si>
  <si>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</si>
  <si>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</si>
  <si>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</si>
  <si>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</si>
  <si>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</si>
  <si>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</si>
  <si>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</si>
  <si>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</si>
  <si>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</si>
  <si>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</si>
  <si>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</si>
  <si>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II.4</t>
  </si>
  <si>
    <t>Kiegészítő támogatás az óvodapedagógusok minősítéséből adódó többletkiadásokhoz</t>
  </si>
  <si>
    <t>A települési önkorm.-k szociális feladatainak egyéb támogatása</t>
  </si>
  <si>
    <t xml:space="preserve">A finanszírozás szempontjából elismert dolgozók bértámogatása                </t>
  </si>
  <si>
    <t xml:space="preserve">III.5.a 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</si>
  <si>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</si>
  <si>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</si>
  <si>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</si>
  <si>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</si>
  <si>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</si>
  <si>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3.4. Tulajdonosi bevételek</t>
  </si>
  <si>
    <t>082030</t>
  </si>
  <si>
    <t>082042</t>
  </si>
  <si>
    <t>Konyha</t>
  </si>
  <si>
    <t>Más szerv részére végzett pü-i, gazd-i, üzemeltetési, egyéb szolg. - Építményüzemeltetés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</si>
  <si>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</si>
  <si>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</si>
  <si>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</si>
  <si>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</si>
  <si>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Közművelődés- hagyományos közösségi kulturális értékek gondozása</t>
  </si>
  <si>
    <t>Nyitnikék Gyerekház</t>
  </si>
  <si>
    <t>Szociális feladatok egyéb támogatása</t>
  </si>
  <si>
    <t>Nyitnikék Gyerekház fejezeti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</si>
  <si>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</si>
  <si>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</si>
  <si>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</si>
  <si>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</si>
  <si>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</si>
  <si>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</si>
  <si>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</si>
  <si>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</si>
  <si>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</si>
  <si>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</si>
  <si>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</si>
  <si>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</si>
  <si>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</si>
  <si>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</si>
  <si>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</si>
  <si>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</si>
  <si>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</si>
  <si>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</si>
  <si>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</si>
  <si>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</si>
  <si>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</si>
  <si>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</si>
  <si>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</si>
  <si>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</si>
  <si>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</si>
  <si>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</si>
  <si>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</si>
  <si>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</si>
  <si>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</si>
  <si>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</si>
  <si>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</si>
  <si>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</si>
  <si>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</si>
  <si>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</si>
  <si>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</si>
  <si>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</si>
  <si>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</si>
  <si>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Család- és Gyermekjóléti Központ</t>
  </si>
  <si>
    <t>II.1 (4)</t>
  </si>
  <si>
    <t>Óvodapedagógusok pótlólagos bértámogatása</t>
  </si>
  <si>
    <t>Pedagógus szakképzettséggel rendelkező, óvodapedagógusok nevelő munkáját közvetlenül segítők pótlólagos bértámogatása</t>
  </si>
  <si>
    <t>Pedagógus szakképzettséggel rendelkező, óvodapedagógusok nevelő munkáját közvetlenül segítők bértámogatása</t>
  </si>
  <si>
    <t>Pedagógus szakképzettséggel nem rendelkező, óvodapedagógusok nevelő munkáját közvetlenül segítők bértámogatása</t>
  </si>
  <si>
    <t xml:space="preserve">III.3.a </t>
  </si>
  <si>
    <t>Család- és gyermekjóléti szolgálat</t>
  </si>
  <si>
    <t>Család- és gyermekjóléti központ</t>
  </si>
  <si>
    <t>III.3.b</t>
  </si>
  <si>
    <t>III.5.c</t>
  </si>
  <si>
    <t>A rászoruló gyermekek intézményen kívüli szünidei étkeztetésének támog.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</si>
  <si>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</si>
  <si>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</si>
  <si>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</si>
  <si>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</si>
  <si>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</si>
  <si>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</si>
  <si>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</si>
  <si>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</si>
  <si>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</si>
  <si>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</si>
  <si>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</si>
  <si>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</si>
  <si>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</si>
  <si>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</si>
  <si>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</si>
  <si>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</si>
  <si>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Önkormányzati bérlakások felújítása</t>
  </si>
  <si>
    <t>091250</t>
  </si>
  <si>
    <t>Alapfokú művészetoktatással összefüggő működtetési feladatok</t>
  </si>
  <si>
    <t>098022</t>
  </si>
  <si>
    <t>Pedagógiai szakszolgáltató tevékenység működtetési feladatai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</si>
  <si>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</si>
  <si>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</si>
  <si>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</si>
  <si>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</si>
  <si>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</si>
  <si>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</si>
  <si>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Gyermekvédelmi pénzbeli és természetbeni ell. -(Erzsébet ut., kieg. gyerm.véd. tám. és pótléka)</t>
  </si>
  <si>
    <t>Gyvt. 40/A. §</t>
  </si>
  <si>
    <t xml:space="preserve">Gyvt. tv. 14.§ (3), 18.§ (1a), 20/A.§,20/B.§, 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</si>
  <si>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</si>
  <si>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</si>
  <si>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</si>
  <si>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>összeg  Ft</t>
  </si>
  <si>
    <t>II.3</t>
  </si>
  <si>
    <t>Társulás által fenntartott óvodákba bejáró gyermekek utaztatásának tám.</t>
  </si>
  <si>
    <t xml:space="preserve">II.4 a (1) </t>
  </si>
  <si>
    <t xml:space="preserve">II.4 a (2) </t>
  </si>
  <si>
    <t>Mesterpedagógus kategória (minősítést megszerezték 2015. december 31-ig)</t>
  </si>
  <si>
    <t>Szociális ágazati összevont pótlék</t>
  </si>
  <si>
    <t>A 2016. évről áthúzódó bérkompenzáció támogatása</t>
  </si>
  <si>
    <t>Jánoshalma Városi Önkormányzat 2017. évi költségvetésében tervezett köponti költségvetési támogatások</t>
  </si>
  <si>
    <t>Jánoshalma Városi Önkormányzat és költségvetési szervei 2017. évi költségvetésének bevételi előirányzatai</t>
  </si>
  <si>
    <t>adatok Ft-ban</t>
  </si>
  <si>
    <t>Telep. önk-ok szoc.,  gyermekjóléti és gyermekétk. feladatainak tám.</t>
  </si>
  <si>
    <t>termőföld bérbeadásából származó jövedelem adója</t>
  </si>
  <si>
    <t>Egyéb felhalmozási célra átvett pénzeszközök</t>
  </si>
  <si>
    <t>Jánoshalma Városi Önkormányzat és költségvetési szervei 2017. évi költségvetésének kiadási előirányzatai</t>
  </si>
  <si>
    <t>Jánoshalma Városi Önkormányzat  2017. évi költségvetési kiadásai feladatonként</t>
  </si>
  <si>
    <t>013320</t>
  </si>
  <si>
    <t>Köztemető fenntartás és működtetés</t>
  </si>
  <si>
    <t>018020</t>
  </si>
  <si>
    <t>Központi költségvetési befizetések</t>
  </si>
  <si>
    <t>Kerékpárút építése</t>
  </si>
  <si>
    <t>045120</t>
  </si>
  <si>
    <t>Munkaadót terhelő járulékok</t>
  </si>
  <si>
    <t>Óvodai nevelés, ellátás</t>
  </si>
  <si>
    <t>102023</t>
  </si>
  <si>
    <t>102031</t>
  </si>
  <si>
    <t>Időskorúak tartós bentlakásos ellátása (Szoc. Otthon)</t>
  </si>
  <si>
    <t>Idősek nappali ellátása (Idősek Klubja)</t>
  </si>
  <si>
    <t>Hajléktalanok átmeneti ellátása (éjjeli menedékhely)</t>
  </si>
  <si>
    <t>Hajléktalanok nappali ellátása (nappali melegedő)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</si>
  <si>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</si>
  <si>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</si>
  <si>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</si>
  <si>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</si>
  <si>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</si>
  <si>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</si>
  <si>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</si>
  <si>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Céltartalék Interreg-IPA pályázathoz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</si>
  <si>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</si>
  <si>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</si>
  <si>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</si>
  <si>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</si>
  <si>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</si>
  <si>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</si>
  <si>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</si>
  <si>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</si>
  <si>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</si>
  <si>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</si>
  <si>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</si>
  <si>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</si>
  <si>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</si>
  <si>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</si>
  <si>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</si>
  <si>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</si>
  <si>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</si>
  <si>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</si>
  <si>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</si>
  <si>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</si>
  <si>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</si>
  <si>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</si>
  <si>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</si>
  <si>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utak használata ellenében beszedett használati díj, pótdíj, elektr. Útdíj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</si>
  <si>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</si>
  <si>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</si>
  <si>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</si>
  <si>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</si>
  <si>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</si>
  <si>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</si>
  <si>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</si>
  <si>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</si>
  <si>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</si>
  <si>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</si>
  <si>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</si>
  <si>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</si>
  <si>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</si>
  <si>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</si>
  <si>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</si>
  <si>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</si>
  <si>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</si>
  <si>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Fejlesztési célú tartalék - viziközművek fejlesztésére</t>
  </si>
  <si>
    <t>Működési célú tartalék - Környezetvédelmi alap</t>
  </si>
  <si>
    <t>Jánoshalma Város Önkormányzat 2017. évi költségvetése működési és felhalmozási célú bontásban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</si>
  <si>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</si>
  <si>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</si>
  <si>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</si>
  <si>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</si>
  <si>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</si>
  <si>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</si>
  <si>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</si>
  <si>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</si>
  <si>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</si>
  <si>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</si>
  <si>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</si>
  <si>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</si>
  <si>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</si>
  <si>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Jánoshalma Városi Önkormányzat és költségvetési szerveinek 2017. évi költségvetési kiadásai kötelező-, önként vállalt-, és állami (államigazgatási) feladatok szerinti bontásban</t>
  </si>
  <si>
    <t>Óvodai nevelés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</si>
  <si>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</si>
  <si>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</si>
  <si>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</si>
  <si>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</si>
  <si>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</si>
  <si>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</si>
  <si>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Ttv. 2.§(2) Mötv. 13.§ (1) 12.</t>
  </si>
  <si>
    <t>Mötv. 13.§ (1) 2.</t>
  </si>
  <si>
    <t>Mötv. 13.§ (1) 11.</t>
  </si>
  <si>
    <t>Mötv. 13.§ (1) 19.</t>
  </si>
  <si>
    <t>Mötv. 13.§ (1) 5., 19.</t>
  </si>
  <si>
    <t>Mötv. 13.§ (1) 2., 11., 9., 12., 5.</t>
  </si>
  <si>
    <t xml:space="preserve">Mötv. 13.§ (1) 4.,  Eü tv. 5.§ (1) </t>
  </si>
  <si>
    <t>Mötv. 13.§ (1) 15.</t>
  </si>
  <si>
    <t>Mötv. 13.§ (1) 7., Közműv. tv. 64.§ (1)</t>
  </si>
  <si>
    <t>Mötv. 13.§ (1) 7</t>
  </si>
  <si>
    <t>Mötv. 13.§ (1) 7., Közműv. tv. 73.§ (2)</t>
  </si>
  <si>
    <t>Szoc. tv. 86.§ (1) d,</t>
  </si>
  <si>
    <t>Mötv. 13.§ (1) 10.</t>
  </si>
  <si>
    <t>Szoc. tv. 86.§ (1) b,</t>
  </si>
  <si>
    <t>Szoc. tv. 86.§ (1) c,</t>
  </si>
  <si>
    <t>Mötv. 13.§ (1)13.</t>
  </si>
  <si>
    <t>Mötv. 13.§ (1) 13.</t>
  </si>
  <si>
    <t>Mötv. 13.§ (1) 6.</t>
  </si>
  <si>
    <t>39</t>
  </si>
  <si>
    <t>40</t>
  </si>
  <si>
    <t>Család- és nővédelmi egészségügyi gondozás (Védőnői Szolg.)</t>
  </si>
  <si>
    <t>2017. évi felhalmozási kiadások feladatonként, felújítási kiadások célonként</t>
  </si>
  <si>
    <t>Redőnyfelújítás - Radnóti utcai óvodaépület</t>
  </si>
  <si>
    <t>Egyéb tárgyi eszközök beszerzése (mosógép, Panda vírusírtó) - Jánoshalmi óvoda, Nyitnikék Gyerekház</t>
  </si>
  <si>
    <t>Egyéb tárgyi eszközök beszerzése (hűtőszekrény, CD-s lejátszó) - Kéleshalmi tagóvoda</t>
  </si>
  <si>
    <t>Informatikai és egyéb tárgyi eszközök beszerzése - Család- és Gyermekjóléti Központ</t>
  </si>
  <si>
    <t>Informatikai és egyéb tárgyi eszközök beszerzése - Család- és Gyermekjóléti Szolgálat</t>
  </si>
  <si>
    <t>3.8. Kamatbevételek</t>
  </si>
  <si>
    <t>Gyvt. 21/A § (3)</t>
  </si>
  <si>
    <t xml:space="preserve">Mötv. 13.§ (1) 8a, Szoc. tv.  45.§, 48.§ </t>
  </si>
  <si>
    <t>Gyvt. 21/A.§ (3)</t>
  </si>
  <si>
    <t>Gyvt. 40. §</t>
  </si>
  <si>
    <t>Gyvt. 94. § (3a)</t>
  </si>
  <si>
    <t xml:space="preserve">Gyvt. 38/A § </t>
  </si>
  <si>
    <t>Gyvt. 21/C § (1)</t>
  </si>
  <si>
    <t>Mötv. 13.§ (1) 6., 9.</t>
  </si>
  <si>
    <t>Idősek nappali ellátása</t>
  </si>
  <si>
    <t>Jánoshalma Városi Önkormányzat  és költségvetési szerveinek 2017. évi költségvetési bevételei és  kiadásai kötelező-, önként vállalt-, és állami (államigazgatási) feladatok szerinti bontásban</t>
  </si>
  <si>
    <t>199/2016.(XII.15.) Kt. hat. Jánoshalmi Közétkeztetési Kft alapítása (törzstőke)</t>
  </si>
  <si>
    <t>208/2016.(XII.15.) Kt. hat. Pályázati önerő VP6-7.2.1-7.4.2-16. kódszámú pályázathoz (közutak karbantartásához erő- és munkagépek beszerzése)</t>
  </si>
  <si>
    <t>209/2016.(XII.15.) Kt. hat. Pályázati önerő az "Innovatív vízgazdálkodási tervezés a határmenti régióban" projekthez</t>
  </si>
  <si>
    <t>Háziorvosi Ügyeleti szolgálat - üzenetrögzítős telefon beszerzése</t>
  </si>
  <si>
    <t>Védőnői Szolgálat részére eszközbeszerzések (hűtő, vércukormérő, vörös visszfénylámpa, zsámoly, tornaszőnyeg, csörgő)</t>
  </si>
  <si>
    <t xml:space="preserve">168/2015.(X.08.) Kt. hat. Pályázati önerő - Műfüves labdarúgópálya kialakítása Jánoshalma, Radnóti u. 13. sz. alatti ingatlanon </t>
  </si>
  <si>
    <t>89/2016.(V.26.) Kt. hat. Eszközbeszerzés az óvodafejlesztési projekt keretében pályázati támogatással a Batthyány utcai óvodába (zsírfogó, mosógép, 2 db villanybojler, hűtőszekrény, vízlágyító, mosogatógép állvánnyal, kamerarendszer, székek)</t>
  </si>
  <si>
    <t>Egyéb tárgyi eszköz beszerzések (szünetmentes tápegység, nyomtató, porszívó)</t>
  </si>
  <si>
    <t xml:space="preserve">2 db Notebook vásárlása </t>
  </si>
  <si>
    <t>Tűzoltó laktanya vizesblokkjának felújítása</t>
  </si>
  <si>
    <t>89/2016.(V.26.) Kt. hat. Batthyány utcai óvodaépület felújítása pályázati támogatással (tetőfelújítás, napelemes rendszer kiépítése, falak, csővezetékek festése, parkettalakkozás, csempeburkolatok javítása)</t>
  </si>
  <si>
    <t>219/2016.(XII.15.) Kt. hat. Szennyvízcsatorna beruházáshoz lehívott hitel elszámolása a Jánoshalmi Viziközmű Társulattal (elszámolási különbözet III. részletének kifizetése)</t>
  </si>
  <si>
    <t>35/2016.(III.24.) Kt. hat. Nyertes pályázat esetén a Gazdakörnek székház felújításához biztosított 1,5 millió Ft támogatás (pályázati önerő) 2017. évben átutalásra kerülő része</t>
  </si>
  <si>
    <t>2016. december havi bérkompenzáció</t>
  </si>
  <si>
    <t>RGYVK-hoz kapcs. természetbeni juttatás (Erzsébet utalvány) megtérítése</t>
  </si>
  <si>
    <t>Felhalmozási célú maradvány igénybevétele</t>
  </si>
  <si>
    <t>Ügyeleti szolg. ellenértéke (pl. vérvétel)</t>
  </si>
  <si>
    <t>Készletértékesítés (búza, kukorica stb.)</t>
  </si>
  <si>
    <t>Naperőmű által termelt többlet energia értékesítésének bevétele</t>
  </si>
  <si>
    <t>2016. dec. havi étkeztetési, szállítási tevék. bev.</t>
  </si>
  <si>
    <t>Közvetített szolgáltatások értéke</t>
  </si>
  <si>
    <t>Kamatbevétel</t>
  </si>
  <si>
    <t>Működési célú maradvány igénybevétele</t>
  </si>
  <si>
    <t xml:space="preserve">Ellátási díjak </t>
  </si>
  <si>
    <t>Intézményi gyermekétkeztetési feladatok támogatása (iskolai étkeztetés)</t>
  </si>
  <si>
    <t>Intézményi gyermekétkeztetési feladatok támogatása (óvodai étkeztetés)</t>
  </si>
  <si>
    <t>Lajtha</t>
  </si>
  <si>
    <t>Eü. Ágazat</t>
  </si>
  <si>
    <t>Családsegítő- és Gyermekjóléti Szolgálat, Családsegítő- és Gyermekjóléti Központ</t>
  </si>
  <si>
    <t>RK Egyházmegye hozzájárulása a műfüves labdarúgó pálya megvalósításához</t>
  </si>
  <si>
    <t>Pedagógus II. kategória - (teljes összeg, minősítést megszerezték 2015.12.31-ig)</t>
  </si>
  <si>
    <t>Műk. c. visszatérítendő támogatások, kölcsönök nyújtása államháztartáson kívülre</t>
  </si>
  <si>
    <t>5.5. Egyéb elvonások, befizetések</t>
  </si>
  <si>
    <t>1.4. Elvonások és befizetések bevételei</t>
  </si>
  <si>
    <t>018030</t>
  </si>
  <si>
    <t>Támogatási célú finanszírozási műveletek</t>
  </si>
  <si>
    <t>Egyéb műk. c. tám. ÁH-on belülre</t>
  </si>
  <si>
    <t>Alaptev. maradv.-ból képzett tart.</t>
  </si>
  <si>
    <t>Vállalk. tev. maradványából képzett tart.</t>
  </si>
  <si>
    <t>Önk-ok elszámolásai a központi költségvetéssel</t>
  </si>
  <si>
    <t>018010</t>
  </si>
  <si>
    <t>049010</t>
  </si>
  <si>
    <t>Máshova nem sorolt gazdasági ügyek</t>
  </si>
  <si>
    <t>041232</t>
  </si>
  <si>
    <t>Start-munka program - Téli közfoglalkoztatás</t>
  </si>
  <si>
    <t>041233</t>
  </si>
  <si>
    <t>Hosszabb időtartamú közfoglalkoztatás</t>
  </si>
  <si>
    <t>Start- munka program - Téli közfoglalkoztatás</t>
  </si>
  <si>
    <t>41</t>
  </si>
  <si>
    <t>42</t>
  </si>
  <si>
    <t>43</t>
  </si>
  <si>
    <t>44</t>
  </si>
  <si>
    <t>45</t>
  </si>
  <si>
    <t>ASP rendszerhez történő csatlakozás műköödési célú támogatása</t>
  </si>
  <si>
    <t>ASP rendszerhez történő csatlakozás felhalmozási célú támogatása</t>
  </si>
  <si>
    <t xml:space="preserve">2016. évi szabad maradvány elvonása </t>
  </si>
  <si>
    <t>2017. évi bérkompenzáció</t>
  </si>
  <si>
    <t>I. Szent István király szobor elkészítésére vissza nem térítendő támogatás</t>
  </si>
  <si>
    <t>Kéményseprő-ipari közszolgáltatás támogatása</t>
  </si>
  <si>
    <t>Hosszabb időtartamú közfogl. működési c. tám.</t>
  </si>
  <si>
    <t>Hosszabb időtartamú közfogl. felhalm. c. tám.</t>
  </si>
  <si>
    <t>Startmunka programok működési c. támogatás</t>
  </si>
  <si>
    <t>Startmunka programok felhalm. c. támogatás</t>
  </si>
  <si>
    <t>Kéleshalom önkormányzat támogatása óvodai ellátáshoz</t>
  </si>
  <si>
    <t>Egyéb működési bev.- áramdíj túlfizetés visszatérítése</t>
  </si>
  <si>
    <t>Polgármesteri béremelés különbözetének támogatása</t>
  </si>
  <si>
    <t>2016. évi maradvány igénybevétel</t>
  </si>
  <si>
    <t>28/2017.(III.02.) Kt. hat. ASP rendszerhez történő csatlakozás - eszközbeszerzések</t>
  </si>
  <si>
    <t>38/20147.(III.23.) Kt. hat. EFOP-4.1.8-16 kódszámú "A könyvtári intézményrendszer tanulást segítő infrastrukturális fejlesztései" pályázat - előkészítési költségeinek támogatása</t>
  </si>
  <si>
    <t>210/2016.(XII.15.) Kt. hat. "I. Szent István szobor elkészítése és felállítása Jánoshalma főterén"                          (pályázati önerő és vissza nem térítendő támogatás)</t>
  </si>
  <si>
    <t>Hosszabb időtartamú közfoglalkoztatás eszközbeszerzései</t>
  </si>
  <si>
    <t>Startmunka mintaprogramok eszközbeszerzései</t>
  </si>
  <si>
    <t>200/2016.(XII.15.) Kt. hat. Kiskunhalas - Jánoshalma - Mélykút kerékpárút Jánoshalma közigazgatási területét érintő szakaszának tervezési munkái (VIA Futura Mérnöki Tanácsadó és Szolgáltató Kft)  és közbeszerzési eljárás költsége</t>
  </si>
  <si>
    <t xml:space="preserve">Fejlesztési célú tartalék - viziközművek előző évek és 2017. évi bérleti díj bevételéből (szerződés szerint viziközművek fejlesztésére fordítandó a szolgáltatóval történő egyeztetés alapján) </t>
  </si>
  <si>
    <t>Kéményseprő-ipari közszolgáltatás helyi önkormányzat általi ellátásának támogatása</t>
  </si>
  <si>
    <t>2.</t>
  </si>
  <si>
    <t>3. melléklet jogcímei mindösszesen:</t>
  </si>
  <si>
    <t>3.9. Biztosító által fizetett kártérítés</t>
  </si>
  <si>
    <t>3.10. Egyéb működési bevételek</t>
  </si>
  <si>
    <t>104031</t>
  </si>
  <si>
    <t>Gyermekek bölcsődében és mini bölcsődében történő ellátása</t>
  </si>
  <si>
    <t>082091</t>
  </si>
  <si>
    <t>Közművelődés - közösségi és társadalmi részvétel fejlesztése</t>
  </si>
  <si>
    <t>A gyermekek, fiatalok és családok életminőségét javító programok</t>
  </si>
  <si>
    <r>
      <t>Elvonások és befizetések (</t>
    </r>
    <r>
      <rPr>
        <sz val="9"/>
        <rFont val="Times New Roman"/>
        <family val="1"/>
      </rPr>
      <t>2016. évi szabad kv-i maradvány elvonása miatti befizetés az önkormányzat felé)</t>
    </r>
  </si>
  <si>
    <t>46</t>
  </si>
  <si>
    <t>47</t>
  </si>
  <si>
    <t>48</t>
  </si>
  <si>
    <t>Áht. 46. § (2)</t>
  </si>
  <si>
    <t>Áht.</t>
  </si>
  <si>
    <t>2011. évi CXCV. tv. az államháztartásról</t>
  </si>
  <si>
    <t>Áht. 86. § (5)</t>
  </si>
  <si>
    <t>Bethlen G. Alap- Mithras K. erdélyi vszerepl. tám.</t>
  </si>
  <si>
    <t>EFOP-1.4.2-16 Integrált térs. gyermekpr. "Együtt könnyebb" támogatása</t>
  </si>
  <si>
    <t>"Jánoshalmi Művésztelep energetikai felújítása" projekt támogatása (VP)</t>
  </si>
  <si>
    <t>Egyéb működési bevételek,  biztosítási díj visszatérítések</t>
  </si>
  <si>
    <t>Minimálbér, gar. bérmin. emelés és járulék támogatása</t>
  </si>
  <si>
    <t>Óvodákban nev.munkát segítő mkörben fogl.-ak 2017. évi illetményéhez kapcs. kieg. támogatás</t>
  </si>
  <si>
    <t>2016. dec. havi és 2017. évi bérkompenzáció</t>
  </si>
  <si>
    <t>Önk-ok rendkív. tám. - Önkormányzati tűzoltóságok támogatása</t>
  </si>
  <si>
    <t>140/2017. (VI.22.) Kt. hat. Közművelődési érdekeltségnövelő pályázat önerő</t>
  </si>
  <si>
    <t>a Magyarország 2017. évi központi költségvetéséről szóló 2016. évi XC. törvény 2. sz. és 3. sz. mellékletének jogcímei szerint</t>
  </si>
  <si>
    <t>I.5.</t>
  </si>
  <si>
    <t>A településképi arculati kézikönyv elkészítésének támogatása</t>
  </si>
  <si>
    <t>A minimálbér és a garantált bérminimum emelése, valamint a szoc.hj. adó támogatása</t>
  </si>
  <si>
    <t>Pedagógus II. kategória - ( 11 havi rész, minősítést megszerezték 2016.12.31-ig)</t>
  </si>
  <si>
    <t xml:space="preserve">III. </t>
  </si>
  <si>
    <t>Gyermeklánc Óvoda és Bölcsőde, Család- és Gyermekjóléti Központ</t>
  </si>
  <si>
    <t>Gyermeklánc Óvoda és Bölcsőde, Család- és Gyermekjóléti Központ összesen:</t>
  </si>
  <si>
    <t>Gyermeklánc Óvoda és Bölcsőde Család- és Gyermekjóléti Központ kiadásai összesen:</t>
  </si>
  <si>
    <t>Gyermeklánc Óvoda és Bölcsőde, Család- és Gyermekjóléti Központ  összesen:</t>
  </si>
  <si>
    <t>Műk. c. vtérítendő tám., kölcsön nyújt. ÁH-on kívülre</t>
  </si>
  <si>
    <t>Q</t>
  </si>
  <si>
    <t>R</t>
  </si>
  <si>
    <t>S</t>
  </si>
  <si>
    <t>T</t>
  </si>
  <si>
    <t>U</t>
  </si>
  <si>
    <t>Rendezvények szolgáltatási bevételei</t>
  </si>
  <si>
    <t>Támogatott foglalkoztatás bevétele</t>
  </si>
  <si>
    <t>Nyári diákmunka program támogatása</t>
  </si>
  <si>
    <t xml:space="preserve">Rendszeres gyermekvédelmi kedvezményhez kapcsolódó természetbeni juttatás </t>
  </si>
  <si>
    <t xml:space="preserve">Kiegészítő gyermekvédelmi támogatás és a kieg. gyermekvédelmi támogatás pótléka Gyvt. </t>
  </si>
  <si>
    <t xml:space="preserve">Köztemetés </t>
  </si>
  <si>
    <t xml:space="preserve">Települési támogatás </t>
  </si>
  <si>
    <t xml:space="preserve"> Településképi Arculati Kézikönyv elkészítése</t>
  </si>
  <si>
    <t>Az óvodákban nevelőmunkát segítő munkakörben foglalkoztatottak 2017. évi illetményéhez kapcsolódó kiegészítő támogatás</t>
  </si>
  <si>
    <t>041110</t>
  </si>
  <si>
    <t>Általános gazdasági és kereskedelmi ügyek igazgatása</t>
  </si>
  <si>
    <t>49</t>
  </si>
  <si>
    <t>TOP-3.2.1.-16 Polg. Hiv. energetikai korsz. projekt, TOP-2.1.2-16 "Zöld tér felújítása projekt és TOP-2.1.3-16 "Jh. belvíz elvezetése I. ütem" c. projekt támogatása</t>
  </si>
  <si>
    <t>TOP-1.1.1-15-BK1-2016-00006 Iparter. fejl. Jh-n, TOP-1.1.2-16 Jh. térségi szerepének erősítése a mg.-ban", TOP-1.1.3-16 "Agrárlogisztikai központ építése Jh-n" c. projektek támogatása</t>
  </si>
  <si>
    <t>51/2016.(III.24.) Kt. hat. Jánoshalmi Művésztelep energetikai felújítása, közösségi terek fejlesztése pályázathoz tervezői munkarészek (Sándorfi Tervezőiroda Baja)</t>
  </si>
  <si>
    <t>51/2016.(III.24.) Kt. hat. Jánoshalmi Művésztelep energetikai felújítása, közösségi terek fejlesztése projekt  önerő és támogatás</t>
  </si>
  <si>
    <t>58/2015.(III.26) Kt. hat. TOP-2.1.2-16-BK1 - "Zöld tér felújítása Jánoshalmán" c. projekt</t>
  </si>
  <si>
    <t>58/2015.(III.26) Kt. hat.  TOP-1.1.1-15-BK1-2016-00006 - "Iparterület fejlesztése Jánoshalmán" c. projekt</t>
  </si>
  <si>
    <t>58/2015.(III.26) Kt. hat.  TOP-1.1.3-16-BK1 - "Agrárlogisztikai központ építése Jánoshalmán c. projekt</t>
  </si>
  <si>
    <t>58/2015.(III.26) Kt. hat.  TOP-2.1.3-16-BK1 - "Jánoshalma belvíz elvezetése I. ütem" c. projekt</t>
  </si>
  <si>
    <t>154/2017.(VIII.24.) Kt. hat.  TOP-3.2.1-16  - "Önkormányzati épületek energetikai korszerűsítése" c. projekt</t>
  </si>
  <si>
    <t xml:space="preserve">B21 </t>
  </si>
  <si>
    <t>063020</t>
  </si>
  <si>
    <t>Víztermelés, - kezlés, -ellátás</t>
  </si>
  <si>
    <t>Víztermelés, -kezelés, -ellátás</t>
  </si>
  <si>
    <t>Mötv. 13.§ (1) 11. 21.</t>
  </si>
  <si>
    <t>50</t>
  </si>
  <si>
    <t>Bölcsődei ellátás támogatása</t>
  </si>
  <si>
    <t>Belterületi utak, járdák felújítása támogatás</t>
  </si>
  <si>
    <t>Ingatlan, termőföld értékesítés Áfa-ja</t>
  </si>
  <si>
    <t>Önk-ok rendkív. tám. - II.</t>
  </si>
  <si>
    <t>Bethlen G. Alap- 2017. évi Jh-i Napok tám.</t>
  </si>
  <si>
    <t>Áfa visszatérítés</t>
  </si>
  <si>
    <t>BKM-i Cigány Önkorm. - óvodai kirándulás tám.</t>
  </si>
  <si>
    <t>Bölcsődei étkeztetés ellátási díja</t>
  </si>
  <si>
    <t>EFOP-3.2.9-16 projekt működési támogatása</t>
  </si>
  <si>
    <t>EFOP-3.2.9-16 projekt felhalm. támogatása</t>
  </si>
  <si>
    <t>23. Egészségügyi ellátás</t>
  </si>
  <si>
    <t>28. Latha Kft f.ellát. támog.</t>
  </si>
  <si>
    <t>35. Pelikán Kft. feladatell. tám.</t>
  </si>
  <si>
    <t>173/2017.(X.26) Kt. hat.  Sportpálya kerítés építése</t>
  </si>
  <si>
    <t>176/2017.(X.26) Kt. hat.  Homokbánya bányaművelési térkép, Műszaki Üzemelési Terv készítése</t>
  </si>
  <si>
    <t>72/2017.(IV.20) Kt. hat. Belterületi utak, járdák, hidak felújítása pályázat - járdafelújítás pályázati önerő és központi támogatás</t>
  </si>
  <si>
    <t>Ivóvízhálózaton a bekötővezetékek cseréje a Batthyání u. 1, Kölcsey u. 1, Orczy u. 12, 36. számokon</t>
  </si>
  <si>
    <t>Bem utcai átemelő szennyvíz szivattyú felújítása</t>
  </si>
  <si>
    <t>III.3.ja</t>
  </si>
  <si>
    <t>Bölcsőde támogatása (nem fogyatékos, nem hátrányos helyzetű gyermek)</t>
  </si>
  <si>
    <t>III.3.jc</t>
  </si>
  <si>
    <t>Bölcsőde kiegészítő támogatása</t>
  </si>
  <si>
    <t>Bölcsődében foglalkoztatott középfokú végzettséggel rendelkező kisgyermeknevelőt megillető bölcsődei pótlék</t>
  </si>
  <si>
    <t xml:space="preserve">II. </t>
  </si>
  <si>
    <t>2.c.</t>
  </si>
  <si>
    <t>Önk-i feladatellátást szolgáló fejlesztések - Belterületi utak, járdák, hidak felújítása</t>
  </si>
  <si>
    <t xml:space="preserve">Önkormányzatok rendkívüli támogatása </t>
  </si>
  <si>
    <t>EFOP-3.2.9-16 "Segítsd, hogy segíthessen!" c. projekt eszközbeszerzések</t>
  </si>
  <si>
    <t>EFOP-3.2.9-16 "Segítsd, hogy segíthessen!" c. projekt</t>
  </si>
  <si>
    <t>Kiegészítő támogatás a bölcsődében, mini bölcsődében foglalkoztatott, felsőfokú végzettségű kisgyermeknevelők és szakemberek béréhez</t>
  </si>
  <si>
    <t>III.7.</t>
  </si>
  <si>
    <t>Államháztartáson belüli megelőlegezések</t>
  </si>
  <si>
    <t>Jh-ért Alapítv.tám. -  Sportpálya kerít, pályaép.</t>
  </si>
  <si>
    <t>Készletértékesítés (homokbánya, konyhai készlet, közfogl. készlet)</t>
  </si>
  <si>
    <t>Tűzoltóság eszközbeszerzése (1 db habbekeverő, Husqvarna vezető, tartóbak)</t>
  </si>
  <si>
    <t xml:space="preserve">A helyi önkormányzat és költségvetési szervei engedélyezett létszáma és a közfoglalkoztatottak létszáma 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</si>
  <si>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</si>
  <si>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</si>
  <si>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</si>
  <si>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</si>
  <si>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</si>
  <si>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</si>
  <si>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</si>
  <si>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</si>
  <si>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</si>
  <si>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</si>
  <si>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</si>
  <si>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</si>
  <si>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Jánoshalmi tagóvodák                           (Radnóti u.,Batthyány u.,Petőfi u.)</t>
  </si>
  <si>
    <t xml:space="preserve">- Vezető </t>
  </si>
  <si>
    <t xml:space="preserve">- Óvónő </t>
  </si>
  <si>
    <t>- Pedagógiai asszisztens</t>
  </si>
  <si>
    <t xml:space="preserve">- Óvodai dajka </t>
  </si>
  <si>
    <t>- Óvodatitkár</t>
  </si>
  <si>
    <t>- Technikai dolgozó (udvaros)</t>
  </si>
  <si>
    <t>Kéleshalmi tagóvoda</t>
  </si>
  <si>
    <t>- Óvónő</t>
  </si>
  <si>
    <t>- Óvodai dajka</t>
  </si>
  <si>
    <t>Egységes óvoda-bölcsődei csoport (Petőfi u.) 2017.08.31-ig</t>
  </si>
  <si>
    <t>- Kisgyermeknevelő</t>
  </si>
  <si>
    <t>- Bölcsődei gondozónő dajka</t>
  </si>
  <si>
    <t>Bölcsődei feladatellátás létszáma 131/2017. (VI.22) Kt. sz. határozat alapján 2017. szept. 1-től</t>
  </si>
  <si>
    <t>- Szakmai vezető</t>
  </si>
  <si>
    <t>- Esetmenedzser / Tanácsadó</t>
  </si>
  <si>
    <t>Család- és Gyermekjóléti Szolg.</t>
  </si>
  <si>
    <t>- Családsegítő</t>
  </si>
  <si>
    <t xml:space="preserve">Nyitnikék Gyerekház </t>
  </si>
  <si>
    <t>- Gyerekház vezető</t>
  </si>
  <si>
    <t>- Szakmai munkatárs</t>
  </si>
  <si>
    <t>- Technikai munkatárs</t>
  </si>
  <si>
    <t xml:space="preserve">- Köztisztviselők                      </t>
  </si>
  <si>
    <t>Polgármesteri  Hivatal összesen:</t>
  </si>
  <si>
    <t>- Polgármester</t>
  </si>
  <si>
    <t>- Főállású alpolgármester</t>
  </si>
  <si>
    <t>- Közfoglalkoztatási ügyintéző</t>
  </si>
  <si>
    <t>Önkormányzati Tűzoltóság</t>
  </si>
  <si>
    <t>- Tűzoltók (közalkalmazottak)</t>
  </si>
  <si>
    <t>Építményüzemeltetés</t>
  </si>
  <si>
    <t>- Gazdasági ügyintéző</t>
  </si>
  <si>
    <t>-Térítési díjak beszedését végző ügyintéző</t>
  </si>
  <si>
    <t>Ügyeleti Szolgálat</t>
  </si>
  <si>
    <t>- Ápoló</t>
  </si>
  <si>
    <t>- Gépkocsivezető</t>
  </si>
  <si>
    <t>Védőnői Szolgálat</t>
  </si>
  <si>
    <t>- Védőnők</t>
  </si>
  <si>
    <t>Helyi önkorm. összesen:</t>
  </si>
  <si>
    <t>HELYI ÖNKORMÁNYZAT ÉS INTÉZMÉNYEI ÖSSZESEN:</t>
  </si>
  <si>
    <t xml:space="preserve">Közfoglalkoztatás </t>
  </si>
  <si>
    <t>Helyi Önkormányzat</t>
  </si>
  <si>
    <t>Gyermeklánc Óvoda és Bölcsőde, Család- és Gyermekjóléti Közp.</t>
  </si>
  <si>
    <t>Hosszabb időtartamú közfoglalkoztatás- 12 fő (Roma védőháló)</t>
  </si>
  <si>
    <t>Hosszabb időtartamú közfoglalkoztatás- 9 fő (Mezőgazdasági közfoglalkoztatás)</t>
  </si>
  <si>
    <t>Hosszabb időtartamú közfoglalkoztatás- 72 fő (Intézményes)</t>
  </si>
  <si>
    <t>Hosszabb időtartamú közfoglalkoztatás- összesen 87 fő változó időtartamban (Mg. paprika termesztés + képzések)</t>
  </si>
  <si>
    <t>Startmunka mintaprogram - Bio- és megújuló energia felhasználás programelem (2017. 03.16-tól)</t>
  </si>
  <si>
    <t>Startmunka mintaprogram - Belterületi utak karbantartása programelem (2017. 03.16-tól)</t>
  </si>
  <si>
    <t>Startmunka mintaprogram - Belvízelvezetés programelem (2017. 03.16-tól)</t>
  </si>
  <si>
    <t>KÖZFOGLALKOZTATOTTAK LÉTSZÁMA ÖSSZESEN:</t>
  </si>
  <si>
    <t>"Együtt könnyebb" komplex prevenciós és társadalmi felzárkóztató program a gyermekszegénység ellen (GYEP-II.)</t>
  </si>
  <si>
    <t>- Pénzügyi vezető (részmunkaidős napi 4 órában)</t>
  </si>
  <si>
    <t>- Projektmenedzser (részmunkaidős napi 4 órában)</t>
  </si>
  <si>
    <t>- Szakterületi koordinátor (1 fő teljes munkaidős, 1 fő részmunkaidős napi 4 órában)</t>
  </si>
  <si>
    <t>- Szakmai asszisztens</t>
  </si>
  <si>
    <t>Nyári diákmunka program</t>
  </si>
  <si>
    <t>NYÁRI DIÁKMUNKÁSOK LÉTSZÁMA ÖSSZESEN:</t>
  </si>
  <si>
    <t>Eszközbeszerzés (önkormányzat igazgatási tevékenység - asztali lámpa)</t>
  </si>
  <si>
    <t>58/2015.(III.26) Kt. hat.  TOP-1.1.2-16-BK1 - "Jánoshalma térségi szerepének erősítése a mezőgazdaságban" című projekt</t>
  </si>
  <si>
    <t>207/2017.(XI.19) Kt. hat.  Sportpálya - Kedvezményes pályaépítési program előkészítési költségei</t>
  </si>
  <si>
    <t>1. melléklet az 1/2018.(II.19.) önkormányzati rendelethez</t>
  </si>
  <si>
    <t>2. melléklet az 1/2018.(II.19.) önkormányzati rendelethez</t>
  </si>
  <si>
    <t>3. melléklet az 1/2018.(II.19.) önkormányzati rendelethez</t>
  </si>
  <si>
    <t>4. melléklet az 1/2018.(II.19.) önkormányzati rendelethez</t>
  </si>
  <si>
    <t>5. melléklet az 1/2018.(II.19.) önkormányzati rendelethez</t>
  </si>
  <si>
    <t>6. melléklet az 1/2018.(II.19.) önkormányzati rendelethez</t>
  </si>
  <si>
    <t>7. melléklet az 1/2018. (II.19.) önkormányzati rendelethez</t>
  </si>
  <si>
    <t>8. melléklet az 1/2018.(II.19.) önkormányzati rendelethez</t>
  </si>
  <si>
    <t>9. melléklet az 1/2018. (II.19.) önkormányzati rendelethez</t>
  </si>
  <si>
    <t>10. melléklet az 1/2018. (II.19.)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</si>
</sst>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  <numFmt numFmtId="190" formatCode="[$¥€-2]\ #\ ##,000_);[Red]\([$€-2]\ #\ ##,000\)"/>
  </numFmts>
  <fonts count="10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i/>
      <sz val="14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medium"/>
      <top style="thick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14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5" fillId="25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9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0" fillId="27" borderId="7" applyNumberFormat="0" applyFont="0" applyAlignment="0" applyProtection="0"/>
    <xf numFmtId="0" fontId="93" fillId="28" borderId="0" applyNumberFormat="0" applyBorder="0" applyAlignment="0" applyProtection="0"/>
    <xf numFmtId="0" fontId="94" fillId="29" borderId="8" applyNumberFormat="0" applyAlignment="0" applyProtection="0"/>
    <xf numFmtId="0" fontId="1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9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0" borderId="0" applyNumberFormat="0" applyBorder="0" applyAlignment="0" applyProtection="0"/>
    <xf numFmtId="0" fontId="98" fillId="31" borderId="0" applyNumberFormat="0" applyBorder="0" applyAlignment="0" applyProtection="0"/>
    <xf numFmtId="0" fontId="99" fillId="29" borderId="1" applyNumberFormat="0" applyAlignment="0" applyProtection="0"/>
    <xf numFmtId="9" fontId="0" fillId="0" borderId="0" applyFont="0" applyFill="0" applyBorder="0" applyAlignment="0" applyProtection="0"/>
  </cellStyleXfs>
  <cellXfs count="1075">
    <xf numFmtId="0" fontId="0" fillId="0" borderId="0" xfId="0" applyAlignment="1">
      <alignment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62" applyFont="1">
      <alignment/>
      <protection/>
    </xf>
    <xf numFmtId="0" fontId="11" fillId="0" borderId="0" xfId="62" applyFont="1" applyAlignment="1">
      <alignment horizontal="center"/>
      <protection/>
    </xf>
    <xf numFmtId="0" fontId="1" fillId="0" borderId="14" xfId="62" applyFont="1" applyBorder="1" applyAlignment="1">
      <alignment horizontal="center" vertical="center"/>
      <protection/>
    </xf>
    <xf numFmtId="0" fontId="1" fillId="0" borderId="21" xfId="62" applyFont="1" applyBorder="1" applyAlignment="1">
      <alignment horizontal="center" vertical="center" wrapText="1"/>
      <protection/>
    </xf>
    <xf numFmtId="0" fontId="1" fillId="0" borderId="17" xfId="62" applyFont="1" applyBorder="1" applyAlignment="1">
      <alignment horizontal="center" vertical="center" wrapText="1"/>
      <protection/>
    </xf>
    <xf numFmtId="0" fontId="1" fillId="0" borderId="22" xfId="62" applyFont="1" applyBorder="1" applyAlignment="1">
      <alignment horizontal="center" vertical="center" wrapText="1"/>
      <protection/>
    </xf>
    <xf numFmtId="0" fontId="1" fillId="0" borderId="23" xfId="62" applyFont="1" applyBorder="1" applyAlignment="1">
      <alignment horizontal="center" vertical="center" wrapText="1"/>
      <protection/>
    </xf>
    <xf numFmtId="0" fontId="1" fillId="0" borderId="0" xfId="62" applyFont="1" applyAlignment="1">
      <alignment horizontal="center" vertical="center"/>
      <protection/>
    </xf>
    <xf numFmtId="49" fontId="13" fillId="0" borderId="22" xfId="62" applyNumberFormat="1" applyBorder="1" applyAlignment="1">
      <alignment vertical="center"/>
      <protection/>
    </xf>
    <xf numFmtId="3" fontId="13" fillId="0" borderId="0" xfId="62" applyNumberFormat="1">
      <alignment/>
      <protection/>
    </xf>
    <xf numFmtId="0" fontId="13" fillId="0" borderId="0" xfId="62">
      <alignment/>
      <protection/>
    </xf>
    <xf numFmtId="3" fontId="2" fillId="0" borderId="0" xfId="62" applyNumberFormat="1" applyFont="1">
      <alignment/>
      <protection/>
    </xf>
    <xf numFmtId="3" fontId="1" fillId="0" borderId="0" xfId="62" applyNumberFormat="1" applyFont="1">
      <alignment/>
      <protection/>
    </xf>
    <xf numFmtId="0" fontId="2" fillId="0" borderId="0" xfId="62" applyFont="1">
      <alignment/>
      <protection/>
    </xf>
    <xf numFmtId="49" fontId="13" fillId="0" borderId="0" xfId="62" applyNumberFormat="1">
      <alignment/>
      <protection/>
    </xf>
    <xf numFmtId="0" fontId="25" fillId="0" borderId="0" xfId="0" applyFont="1" applyFill="1" applyAlignment="1">
      <alignment vertical="center"/>
    </xf>
    <xf numFmtId="0" fontId="16" fillId="0" borderId="0" xfId="58" applyFont="1">
      <alignment/>
      <protection/>
    </xf>
    <xf numFmtId="0" fontId="15" fillId="0" borderId="0" xfId="58" applyFont="1" applyAlignment="1">
      <alignment vertical="center"/>
      <protection/>
    </xf>
    <xf numFmtId="0" fontId="17" fillId="0" borderId="22" xfId="58" applyFont="1" applyBorder="1" applyAlignment="1">
      <alignment horizontal="center" vertical="center" wrapText="1"/>
      <protection/>
    </xf>
    <xf numFmtId="0" fontId="19" fillId="0" borderId="22" xfId="58" applyFont="1" applyBorder="1" applyAlignment="1">
      <alignment horizontal="center" vertical="center" wrapText="1"/>
      <protection/>
    </xf>
    <xf numFmtId="0" fontId="19" fillId="0" borderId="0" xfId="58" applyFont="1" applyAlignment="1">
      <alignment horizontal="center" vertical="center" wrapText="1"/>
      <protection/>
    </xf>
    <xf numFmtId="0" fontId="19" fillId="0" borderId="0" xfId="58" applyFont="1">
      <alignment/>
      <protection/>
    </xf>
    <xf numFmtId="0" fontId="18" fillId="0" borderId="22" xfId="58" applyFont="1" applyBorder="1">
      <alignment/>
      <protection/>
    </xf>
    <xf numFmtId="0" fontId="18" fillId="0" borderId="0" xfId="58" applyFont="1">
      <alignment/>
      <protection/>
    </xf>
    <xf numFmtId="0" fontId="22" fillId="0" borderId="0" xfId="58" applyFont="1">
      <alignment/>
      <protection/>
    </xf>
    <xf numFmtId="0" fontId="23" fillId="0" borderId="0" xfId="58" applyFont="1">
      <alignment/>
      <protection/>
    </xf>
    <xf numFmtId="0" fontId="22" fillId="0" borderId="22" xfId="58" applyFont="1" applyBorder="1">
      <alignment/>
      <protection/>
    </xf>
    <xf numFmtId="0" fontId="24" fillId="0" borderId="0" xfId="58" applyFont="1">
      <alignment/>
      <protection/>
    </xf>
    <xf numFmtId="0" fontId="18" fillId="0" borderId="0" xfId="58" applyFont="1" applyBorder="1">
      <alignment/>
      <protection/>
    </xf>
    <xf numFmtId="0" fontId="22" fillId="0" borderId="22" xfId="58" applyFont="1" applyBorder="1" applyAlignment="1">
      <alignment horizontal="left" vertical="center" indent="2"/>
      <protection/>
    </xf>
    <xf numFmtId="16" fontId="22" fillId="0" borderId="22" xfId="58" applyNumberFormat="1" applyFont="1" applyBorder="1" applyAlignment="1">
      <alignment horizontal="left" vertical="center" indent="2"/>
      <protection/>
    </xf>
    <xf numFmtId="0" fontId="22" fillId="0" borderId="22" xfId="58" applyFont="1" applyBorder="1" applyAlignment="1">
      <alignment horizontal="left" indent="2"/>
      <protection/>
    </xf>
    <xf numFmtId="3" fontId="19" fillId="0" borderId="22" xfId="48" applyNumberFormat="1" applyFont="1" applyBorder="1" applyAlignment="1">
      <alignment horizontal="right"/>
    </xf>
    <xf numFmtId="3" fontId="18" fillId="0" borderId="22" xfId="48" applyNumberFormat="1" applyFont="1" applyBorder="1" applyAlignment="1">
      <alignment horizontal="right"/>
    </xf>
    <xf numFmtId="3" fontId="22" fillId="0" borderId="22" xfId="48" applyNumberFormat="1" applyFont="1" applyBorder="1" applyAlignment="1">
      <alignment horizontal="right"/>
    </xf>
    <xf numFmtId="0" fontId="26" fillId="0" borderId="22" xfId="58" applyFont="1" applyBorder="1" applyAlignment="1">
      <alignment horizontal="left" vertical="center" wrapText="1"/>
      <protection/>
    </xf>
    <xf numFmtId="0" fontId="26" fillId="0" borderId="0" xfId="58" applyFont="1" applyAlignment="1">
      <alignment horizontal="center" vertical="center" wrapText="1"/>
      <protection/>
    </xf>
    <xf numFmtId="3" fontId="26" fillId="0" borderId="22" xfId="48" applyNumberFormat="1" applyFont="1" applyBorder="1" applyAlignment="1">
      <alignment horizontal="right"/>
    </xf>
    <xf numFmtId="0" fontId="26" fillId="0" borderId="22" xfId="58" applyFont="1" applyBorder="1">
      <alignment/>
      <protection/>
    </xf>
    <xf numFmtId="0" fontId="27" fillId="0" borderId="0" xfId="58" applyFont="1">
      <alignment/>
      <protection/>
    </xf>
    <xf numFmtId="0" fontId="28" fillId="0" borderId="22" xfId="58" applyFont="1" applyBorder="1" applyAlignment="1">
      <alignment horizontal="right"/>
      <protection/>
    </xf>
    <xf numFmtId="0" fontId="29" fillId="0" borderId="0" xfId="58" applyFont="1">
      <alignment/>
      <protection/>
    </xf>
    <xf numFmtId="0" fontId="30" fillId="0" borderId="22" xfId="58" applyFont="1" applyBorder="1" applyAlignment="1">
      <alignment vertical="center"/>
      <protection/>
    </xf>
    <xf numFmtId="3" fontId="30" fillId="0" borderId="22" xfId="48" applyNumberFormat="1" applyFont="1" applyBorder="1" applyAlignment="1">
      <alignment horizontal="right"/>
    </xf>
    <xf numFmtId="0" fontId="30" fillId="0" borderId="22" xfId="58" applyFont="1" applyBorder="1">
      <alignment/>
      <protection/>
    </xf>
    <xf numFmtId="0" fontId="30" fillId="0" borderId="0" xfId="58" applyFont="1">
      <alignment/>
      <protection/>
    </xf>
    <xf numFmtId="0" fontId="30" fillId="0" borderId="22" xfId="58" applyFont="1" applyBorder="1" applyAlignment="1">
      <alignment vertical="center" wrapText="1"/>
      <protection/>
    </xf>
    <xf numFmtId="0" fontId="30" fillId="0" borderId="22" xfId="58" applyFont="1" applyBorder="1" applyAlignment="1">
      <alignment horizontal="left" vertical="center"/>
      <protection/>
    </xf>
    <xf numFmtId="0" fontId="31" fillId="0" borderId="0" xfId="58" applyFont="1">
      <alignment/>
      <protection/>
    </xf>
    <xf numFmtId="0" fontId="30" fillId="0" borderId="22" xfId="58" applyFont="1" applyBorder="1" applyAlignment="1">
      <alignment horizontal="left" vertical="center" wrapText="1"/>
      <protection/>
    </xf>
    <xf numFmtId="0" fontId="32" fillId="0" borderId="0" xfId="58" applyFont="1">
      <alignment/>
      <protection/>
    </xf>
    <xf numFmtId="0" fontId="19" fillId="0" borderId="22" xfId="58" applyFont="1" applyBorder="1" applyAlignment="1">
      <alignment horizontal="left" vertical="center" indent="1"/>
      <protection/>
    </xf>
    <xf numFmtId="0" fontId="19" fillId="0" borderId="22" xfId="58" applyFont="1" applyBorder="1" applyAlignment="1">
      <alignment horizontal="left" indent="1"/>
      <protection/>
    </xf>
    <xf numFmtId="3" fontId="33" fillId="0" borderId="22" xfId="58" applyNumberFormat="1" applyFont="1" applyBorder="1" applyAlignment="1">
      <alignment horizontal="right" vertical="center"/>
      <protection/>
    </xf>
    <xf numFmtId="0" fontId="26" fillId="0" borderId="22" xfId="58" applyFont="1" applyBorder="1" applyAlignment="1">
      <alignment vertical="top"/>
      <protection/>
    </xf>
    <xf numFmtId="3" fontId="33" fillId="0" borderId="22" xfId="48" applyNumberFormat="1" applyFont="1" applyBorder="1" applyAlignment="1">
      <alignment horizontal="right"/>
    </xf>
    <xf numFmtId="0" fontId="19" fillId="0" borderId="22" xfId="58" applyFont="1" applyBorder="1" applyAlignment="1">
      <alignment horizontal="left" vertical="top" indent="1"/>
      <protection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16" fillId="0" borderId="22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22" xfId="58" applyFont="1" applyBorder="1" applyAlignment="1">
      <alignment horizontal="center" vertical="center" wrapText="1"/>
      <protection/>
    </xf>
    <xf numFmtId="0" fontId="20" fillId="0" borderId="0" xfId="58" applyFont="1" applyAlignment="1">
      <alignment horizontal="center" vertical="center" wrapText="1"/>
      <protection/>
    </xf>
    <xf numFmtId="0" fontId="20" fillId="0" borderId="0" xfId="58" applyFont="1" applyAlignment="1">
      <alignment horizontal="center"/>
      <protection/>
    </xf>
    <xf numFmtId="0" fontId="20" fillId="0" borderId="22" xfId="58" applyFont="1" applyBorder="1" applyAlignment="1">
      <alignment horizont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3" fillId="0" borderId="14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 wrapText="1"/>
      <protection/>
    </xf>
    <xf numFmtId="0" fontId="3" fillId="0" borderId="22" xfId="62" applyFont="1" applyBorder="1" applyAlignment="1">
      <alignment horizontal="center" vertical="center" wrapText="1"/>
      <protection/>
    </xf>
    <xf numFmtId="0" fontId="3" fillId="0" borderId="23" xfId="62" applyFont="1" applyBorder="1" applyAlignment="1">
      <alignment horizontal="center" vertical="center" wrapText="1"/>
      <protection/>
    </xf>
    <xf numFmtId="0" fontId="3" fillId="0" borderId="17" xfId="62" applyFont="1" applyBorder="1" applyAlignment="1">
      <alignment horizontal="center" vertical="center" wrapText="1"/>
      <protection/>
    </xf>
    <xf numFmtId="0" fontId="3" fillId="0" borderId="0" xfId="62" applyFont="1" applyAlignment="1">
      <alignment horizontal="center" vertical="center"/>
      <protection/>
    </xf>
    <xf numFmtId="0" fontId="14" fillId="0" borderId="0" xfId="63" applyFont="1" applyAlignment="1">
      <alignment vertical="center"/>
      <protection/>
    </xf>
    <xf numFmtId="0" fontId="15" fillId="0" borderId="0" xfId="63" applyFont="1" applyAlignment="1">
      <alignment horizontal="center" vertical="center" wrapText="1"/>
      <protection/>
    </xf>
    <xf numFmtId="0" fontId="18" fillId="0" borderId="0" xfId="63" applyFont="1" applyAlignment="1">
      <alignment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0" fontId="20" fillId="0" borderId="21" xfId="63" applyFont="1" applyBorder="1" applyAlignment="1">
      <alignment horizontal="center" vertical="center"/>
      <protection/>
    </xf>
    <xf numFmtId="0" fontId="20" fillId="0" borderId="0" xfId="63" applyFont="1" applyAlignment="1">
      <alignment horizontal="center" vertical="center"/>
      <protection/>
    </xf>
    <xf numFmtId="3" fontId="20" fillId="0" borderId="22" xfId="63" applyNumberFormat="1" applyFont="1" applyBorder="1" applyAlignment="1">
      <alignment horizontal="center" vertical="center" wrapText="1"/>
      <protection/>
    </xf>
    <xf numFmtId="0" fontId="20" fillId="0" borderId="22" xfId="63" applyFont="1" applyBorder="1" applyAlignment="1">
      <alignment horizontal="center" vertical="center"/>
      <protection/>
    </xf>
    <xf numFmtId="0" fontId="15" fillId="0" borderId="22" xfId="63" applyFont="1" applyBorder="1" applyAlignment="1">
      <alignment horizontal="center" vertical="center"/>
      <protection/>
    </xf>
    <xf numFmtId="3" fontId="20" fillId="0" borderId="23" xfId="63" applyNumberFormat="1" applyFont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13" fillId="0" borderId="22" xfId="62" applyFont="1" applyBorder="1">
      <alignment/>
      <protection/>
    </xf>
    <xf numFmtId="0" fontId="13" fillId="0" borderId="14" xfId="62" applyFont="1" applyBorder="1">
      <alignment/>
      <protection/>
    </xf>
    <xf numFmtId="49" fontId="21" fillId="0" borderId="22" xfId="62" applyNumberFormat="1" applyFont="1" applyBorder="1" applyAlignment="1">
      <alignment vertical="center"/>
      <protection/>
    </xf>
    <xf numFmtId="0" fontId="21" fillId="0" borderId="22" xfId="62" applyFont="1" applyBorder="1">
      <alignment/>
      <protection/>
    </xf>
    <xf numFmtId="0" fontId="21" fillId="0" borderId="14" xfId="62" applyFont="1" applyBorder="1" applyAlignment="1">
      <alignment wrapText="1"/>
      <protection/>
    </xf>
    <xf numFmtId="3" fontId="21" fillId="0" borderId="0" xfId="62" applyNumberFormat="1" applyFont="1">
      <alignment/>
      <protection/>
    </xf>
    <xf numFmtId="0" fontId="21" fillId="0" borderId="0" xfId="62" applyFont="1">
      <alignment/>
      <protection/>
    </xf>
    <xf numFmtId="0" fontId="21" fillId="0" borderId="14" xfId="62" applyFont="1" applyBorder="1">
      <alignment/>
      <protection/>
    </xf>
    <xf numFmtId="3" fontId="21" fillId="0" borderId="0" xfId="62" applyNumberFormat="1" applyFont="1" applyAlignment="1">
      <alignment vertical="center"/>
      <protection/>
    </xf>
    <xf numFmtId="0" fontId="21" fillId="0" borderId="0" xfId="62" applyFont="1" applyAlignment="1">
      <alignment vertical="center"/>
      <protection/>
    </xf>
    <xf numFmtId="49" fontId="21" fillId="0" borderId="22" xfId="62" applyNumberFormat="1" applyFont="1" applyBorder="1" applyAlignment="1">
      <alignment horizontal="center" vertical="center"/>
      <protection/>
    </xf>
    <xf numFmtId="49" fontId="21" fillId="32" borderId="22" xfId="62" applyNumberFormat="1" applyFont="1" applyFill="1" applyBorder="1" applyAlignment="1">
      <alignment horizontal="center" vertical="center"/>
      <protection/>
    </xf>
    <xf numFmtId="0" fontId="21" fillId="32" borderId="22" xfId="62" applyFont="1" applyFill="1" applyBorder="1" applyAlignment="1">
      <alignment vertical="center"/>
      <protection/>
    </xf>
    <xf numFmtId="0" fontId="21" fillId="32" borderId="14" xfId="62" applyFont="1" applyFill="1" applyBorder="1" applyAlignment="1">
      <alignment vertical="center" wrapText="1"/>
      <protection/>
    </xf>
    <xf numFmtId="3" fontId="21" fillId="32" borderId="21" xfId="62" applyNumberFormat="1" applyFont="1" applyFill="1" applyBorder="1" applyAlignment="1">
      <alignment vertical="center"/>
      <protection/>
    </xf>
    <xf numFmtId="3" fontId="21" fillId="32" borderId="22" xfId="62" applyNumberFormat="1" applyFont="1" applyFill="1" applyBorder="1" applyAlignment="1">
      <alignment vertical="center"/>
      <protection/>
    </xf>
    <xf numFmtId="3" fontId="21" fillId="32" borderId="23" xfId="62" applyNumberFormat="1" applyFont="1" applyFill="1" applyBorder="1" applyAlignment="1">
      <alignment vertical="center"/>
      <protection/>
    </xf>
    <xf numFmtId="3" fontId="21" fillId="32" borderId="17" xfId="62" applyNumberFormat="1" applyFont="1" applyFill="1" applyBorder="1" applyAlignment="1">
      <alignment vertical="center"/>
      <protection/>
    </xf>
    <xf numFmtId="0" fontId="13" fillId="32" borderId="22" xfId="62" applyFill="1" applyBorder="1">
      <alignment/>
      <protection/>
    </xf>
    <xf numFmtId="0" fontId="21" fillId="32" borderId="22" xfId="62" applyFont="1" applyFill="1" applyBorder="1">
      <alignment/>
      <protection/>
    </xf>
    <xf numFmtId="3" fontId="17" fillId="0" borderId="22" xfId="58" applyNumberFormat="1" applyFont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34" fillId="0" borderId="29" xfId="62" applyFont="1" applyBorder="1" applyAlignment="1">
      <alignment horizontal="center" vertical="center" wrapText="1"/>
      <protection/>
    </xf>
    <xf numFmtId="3" fontId="21" fillId="32" borderId="30" xfId="62" applyNumberFormat="1" applyFont="1" applyFill="1" applyBorder="1" applyAlignment="1">
      <alignment vertical="center"/>
      <protection/>
    </xf>
    <xf numFmtId="0" fontId="16" fillId="0" borderId="0" xfId="63" applyFont="1" applyAlignment="1">
      <alignment horizontal="right" vertical="center"/>
      <protection/>
    </xf>
    <xf numFmtId="3" fontId="100" fillId="0" borderId="0" xfId="62" applyNumberFormat="1" applyFont="1">
      <alignment/>
      <protection/>
    </xf>
    <xf numFmtId="3" fontId="100" fillId="0" borderId="0" xfId="62" applyNumberFormat="1" applyFont="1" applyAlignment="1">
      <alignment vertical="center"/>
      <protection/>
    </xf>
    <xf numFmtId="0" fontId="37" fillId="0" borderId="0" xfId="0" applyFont="1" applyAlignment="1">
      <alignment/>
    </xf>
    <xf numFmtId="0" fontId="13" fillId="0" borderId="14" xfId="62" applyFont="1" applyBorder="1" applyAlignment="1">
      <alignment wrapText="1"/>
      <protection/>
    </xf>
    <xf numFmtId="0" fontId="20" fillId="33" borderId="21" xfId="63" applyFont="1" applyFill="1" applyBorder="1" applyAlignment="1">
      <alignment horizontal="center" vertical="center"/>
      <protection/>
    </xf>
    <xf numFmtId="0" fontId="14" fillId="33" borderId="0" xfId="63" applyFont="1" applyFill="1" applyAlignment="1">
      <alignment vertical="center"/>
      <protection/>
    </xf>
    <xf numFmtId="0" fontId="20" fillId="0" borderId="28" xfId="63" applyFont="1" applyBorder="1" applyAlignment="1">
      <alignment horizontal="center" vertical="center"/>
      <protection/>
    </xf>
    <xf numFmtId="0" fontId="15" fillId="0" borderId="18" xfId="63" applyFont="1" applyBorder="1" applyAlignment="1">
      <alignment horizontal="center" vertical="center"/>
      <protection/>
    </xf>
    <xf numFmtId="3" fontId="13" fillId="0" borderId="0" xfId="62" applyNumberFormat="1" applyFont="1">
      <alignment/>
      <protection/>
    </xf>
    <xf numFmtId="0" fontId="13" fillId="0" borderId="0" xfId="62" applyAlignment="1">
      <alignment/>
      <protection/>
    </xf>
    <xf numFmtId="0" fontId="7" fillId="0" borderId="0" xfId="0" applyFont="1" applyFill="1" applyAlignment="1">
      <alignment horizontal="center" vertical="center"/>
    </xf>
    <xf numFmtId="0" fontId="38" fillId="0" borderId="22" xfId="59" applyFont="1" applyBorder="1">
      <alignment/>
      <protection/>
    </xf>
    <xf numFmtId="0" fontId="38" fillId="0" borderId="14" xfId="59" applyFont="1" applyBorder="1" applyAlignment="1">
      <alignment horizontal="left"/>
      <protection/>
    </xf>
    <xf numFmtId="0" fontId="38" fillId="0" borderId="17" xfId="59" applyFont="1" applyBorder="1" applyAlignment="1">
      <alignment horizontal="left"/>
      <protection/>
    </xf>
    <xf numFmtId="3" fontId="38" fillId="0" borderId="22" xfId="59" applyNumberFormat="1" applyFont="1" applyBorder="1">
      <alignment/>
      <protection/>
    </xf>
    <xf numFmtId="3" fontId="19" fillId="0" borderId="22" xfId="59" applyNumberFormat="1" applyFont="1" applyBorder="1">
      <alignment/>
      <protection/>
    </xf>
    <xf numFmtId="0" fontId="18" fillId="0" borderId="0" xfId="0" applyFont="1" applyAlignment="1">
      <alignment/>
    </xf>
    <xf numFmtId="0" fontId="39" fillId="0" borderId="22" xfId="59" applyFont="1" applyBorder="1">
      <alignment/>
      <protection/>
    </xf>
    <xf numFmtId="3" fontId="39" fillId="0" borderId="22" xfId="59" applyNumberFormat="1" applyFont="1" applyBorder="1">
      <alignment/>
      <protection/>
    </xf>
    <xf numFmtId="0" fontId="40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38" fillId="0" borderId="0" xfId="59" applyFont="1" applyFill="1" applyAlignment="1">
      <alignment horizontal="center" vertical="center"/>
      <protection/>
    </xf>
    <xf numFmtId="0" fontId="18" fillId="0" borderId="0" xfId="59" applyFont="1" applyFill="1" applyAlignment="1">
      <alignment vertical="center"/>
      <protection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59" applyFont="1" applyFill="1" applyBorder="1" applyAlignment="1">
      <alignment horizontal="center" vertical="center" wrapText="1"/>
      <protection/>
    </xf>
    <xf numFmtId="0" fontId="16" fillId="0" borderId="14" xfId="59" applyFont="1" applyFill="1" applyBorder="1" applyAlignment="1">
      <alignment horizontal="center" vertical="center" wrapText="1"/>
      <protection/>
    </xf>
    <xf numFmtId="0" fontId="16" fillId="0" borderId="22" xfId="59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9" fillId="0" borderId="22" xfId="59" applyFont="1" applyBorder="1">
      <alignment/>
      <protection/>
    </xf>
    <xf numFmtId="3" fontId="43" fillId="0" borderId="22" xfId="59" applyNumberFormat="1" applyFont="1" applyBorder="1">
      <alignment/>
      <protection/>
    </xf>
    <xf numFmtId="0" fontId="44" fillId="0" borderId="22" xfId="59" applyFont="1" applyBorder="1">
      <alignment/>
      <protection/>
    </xf>
    <xf numFmtId="0" fontId="44" fillId="0" borderId="22" xfId="59" applyFont="1" applyBorder="1" applyAlignment="1">
      <alignment horizontal="left"/>
      <protection/>
    </xf>
    <xf numFmtId="3" fontId="44" fillId="0" borderId="22" xfId="59" applyNumberFormat="1" applyFont="1" applyBorder="1">
      <alignment/>
      <protection/>
    </xf>
    <xf numFmtId="0" fontId="18" fillId="0" borderId="22" xfId="59" applyFont="1" applyBorder="1">
      <alignment/>
      <protection/>
    </xf>
    <xf numFmtId="0" fontId="44" fillId="0" borderId="22" xfId="59" applyFont="1" applyBorder="1" applyAlignment="1">
      <alignment horizontal="right"/>
      <protection/>
    </xf>
    <xf numFmtId="0" fontId="44" fillId="0" borderId="14" xfId="59" applyFont="1" applyBorder="1" applyAlignment="1">
      <alignment horizontal="left"/>
      <protection/>
    </xf>
    <xf numFmtId="0" fontId="44" fillId="0" borderId="17" xfId="59" applyFont="1" applyBorder="1" applyAlignment="1">
      <alignment horizontal="left"/>
      <protection/>
    </xf>
    <xf numFmtId="0" fontId="18" fillId="0" borderId="14" xfId="59" applyFont="1" applyBorder="1">
      <alignment/>
      <protection/>
    </xf>
    <xf numFmtId="0" fontId="18" fillId="0" borderId="0" xfId="59" applyFont="1">
      <alignment/>
      <protection/>
    </xf>
    <xf numFmtId="3" fontId="19" fillId="0" borderId="14" xfId="59" applyNumberFormat="1" applyFont="1" applyBorder="1">
      <alignment/>
      <protection/>
    </xf>
    <xf numFmtId="3" fontId="18" fillId="0" borderId="16" xfId="59" applyNumberFormat="1" applyFont="1" applyBorder="1">
      <alignment/>
      <protection/>
    </xf>
    <xf numFmtId="3" fontId="19" fillId="0" borderId="17" xfId="59" applyNumberFormat="1" applyFont="1" applyBorder="1">
      <alignment/>
      <protection/>
    </xf>
    <xf numFmtId="3" fontId="15" fillId="0" borderId="22" xfId="59" applyNumberFormat="1" applyFont="1" applyBorder="1">
      <alignment/>
      <protection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45" fillId="0" borderId="22" xfId="0" applyFont="1" applyBorder="1" applyAlignment="1">
      <alignment/>
    </xf>
    <xf numFmtId="3" fontId="45" fillId="0" borderId="22" xfId="0" applyNumberFormat="1" applyFont="1" applyBorder="1" applyAlignment="1">
      <alignment/>
    </xf>
    <xf numFmtId="0" fontId="46" fillId="0" borderId="0" xfId="0" applyFont="1" applyAlignment="1">
      <alignment/>
    </xf>
    <xf numFmtId="0" fontId="38" fillId="0" borderId="22" xfId="0" applyFont="1" applyBorder="1" applyAlignment="1">
      <alignment/>
    </xf>
    <xf numFmtId="3" fontId="38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0" fontId="39" fillId="0" borderId="22" xfId="0" applyFont="1" applyBorder="1" applyAlignment="1">
      <alignment/>
    </xf>
    <xf numFmtId="3" fontId="39" fillId="0" borderId="22" xfId="0" applyNumberFormat="1" applyFont="1" applyBorder="1" applyAlignment="1">
      <alignment/>
    </xf>
    <xf numFmtId="3" fontId="43" fillId="0" borderId="22" xfId="0" applyNumberFormat="1" applyFont="1" applyBorder="1" applyAlignment="1">
      <alignment/>
    </xf>
    <xf numFmtId="0" fontId="47" fillId="0" borderId="22" xfId="0" applyFont="1" applyBorder="1" applyAlignment="1">
      <alignment/>
    </xf>
    <xf numFmtId="0" fontId="18" fillId="0" borderId="22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2" xfId="0" applyFont="1" applyBorder="1" applyAlignment="1">
      <alignment horizontal="left"/>
    </xf>
    <xf numFmtId="3" fontId="44" fillId="0" borderId="22" xfId="0" applyNumberFormat="1" applyFont="1" applyBorder="1" applyAlignment="1">
      <alignment/>
    </xf>
    <xf numFmtId="3" fontId="48" fillId="0" borderId="22" xfId="0" applyNumberFormat="1" applyFont="1" applyBorder="1" applyAlignment="1">
      <alignment/>
    </xf>
    <xf numFmtId="0" fontId="44" fillId="0" borderId="22" xfId="0" applyFont="1" applyFill="1" applyBorder="1" applyAlignment="1">
      <alignment/>
    </xf>
    <xf numFmtId="0" fontId="44" fillId="0" borderId="22" xfId="0" applyFont="1" applyFill="1" applyBorder="1" applyAlignment="1">
      <alignment horizontal="left"/>
    </xf>
    <xf numFmtId="0" fontId="22" fillId="0" borderId="22" xfId="0" applyFont="1" applyBorder="1" applyAlignment="1">
      <alignment/>
    </xf>
    <xf numFmtId="0" fontId="44" fillId="0" borderId="22" xfId="0" applyFont="1" applyBorder="1" applyAlignment="1">
      <alignment horizontal="left" vertical="center" wrapText="1"/>
    </xf>
    <xf numFmtId="3" fontId="44" fillId="33" borderId="22" xfId="0" applyNumberFormat="1" applyFont="1" applyFill="1" applyBorder="1" applyAlignment="1">
      <alignment/>
    </xf>
    <xf numFmtId="0" fontId="44" fillId="0" borderId="22" xfId="0" applyFont="1" applyBorder="1" applyAlignment="1">
      <alignment horizontal="left" vertical="top"/>
    </xf>
    <xf numFmtId="0" fontId="44" fillId="0" borderId="22" xfId="0" applyFont="1" applyBorder="1" applyAlignment="1">
      <alignment horizontal="left" wrapText="1"/>
    </xf>
    <xf numFmtId="3" fontId="44" fillId="0" borderId="31" xfId="0" applyNumberFormat="1" applyFont="1" applyFill="1" applyBorder="1" applyAlignment="1">
      <alignment/>
    </xf>
    <xf numFmtId="0" fontId="49" fillId="0" borderId="22" xfId="0" applyFont="1" applyBorder="1" applyAlignment="1">
      <alignment/>
    </xf>
    <xf numFmtId="3" fontId="49" fillId="0" borderId="22" xfId="0" applyNumberFormat="1" applyFont="1" applyBorder="1" applyAlignment="1">
      <alignment/>
    </xf>
    <xf numFmtId="3" fontId="50" fillId="0" borderId="22" xfId="0" applyNumberFormat="1" applyFont="1" applyBorder="1" applyAlignment="1">
      <alignment/>
    </xf>
    <xf numFmtId="0" fontId="51" fillId="0" borderId="22" xfId="0" applyFont="1" applyBorder="1" applyAlignment="1">
      <alignment/>
    </xf>
    <xf numFmtId="0" fontId="51" fillId="0" borderId="22" xfId="0" applyFont="1" applyBorder="1" applyAlignment="1">
      <alignment horizontal="right"/>
    </xf>
    <xf numFmtId="3" fontId="51" fillId="0" borderId="22" xfId="0" applyNumberFormat="1" applyFont="1" applyBorder="1" applyAlignment="1">
      <alignment/>
    </xf>
    <xf numFmtId="3" fontId="52" fillId="0" borderId="22" xfId="0" applyNumberFormat="1" applyFont="1" applyBorder="1" applyAlignment="1">
      <alignment/>
    </xf>
    <xf numFmtId="0" fontId="22" fillId="0" borderId="0" xfId="0" applyFont="1" applyAlignment="1">
      <alignment/>
    </xf>
    <xf numFmtId="3" fontId="19" fillId="0" borderId="22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53" fillId="0" borderId="22" xfId="59" applyFont="1" applyBorder="1" applyAlignment="1">
      <alignment horizontal="left"/>
      <protection/>
    </xf>
    <xf numFmtId="49" fontId="38" fillId="0" borderId="0" xfId="61" applyNumberFormat="1" applyFont="1" applyFill="1" applyAlignment="1">
      <alignment horizontal="center" vertical="center"/>
      <protection/>
    </xf>
    <xf numFmtId="0" fontId="38" fillId="0" borderId="0" xfId="61" applyFont="1" applyFill="1" applyAlignment="1">
      <alignment vertical="center"/>
      <protection/>
    </xf>
    <xf numFmtId="0" fontId="54" fillId="0" borderId="0" xfId="61" applyFont="1" applyFill="1" applyAlignment="1">
      <alignment vertical="center"/>
      <protection/>
    </xf>
    <xf numFmtId="0" fontId="18" fillId="0" borderId="0" xfId="61" applyFont="1" applyFill="1" applyAlignment="1">
      <alignment vertical="center"/>
      <protection/>
    </xf>
    <xf numFmtId="0" fontId="18" fillId="0" borderId="0" xfId="61" applyFont="1" applyFill="1" applyAlignment="1">
      <alignment horizontal="left" vertical="center"/>
      <protection/>
    </xf>
    <xf numFmtId="0" fontId="18" fillId="0" borderId="0" xfId="61" applyFont="1" applyAlignment="1">
      <alignment horizontal="left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horizontal="left" vertical="center"/>
      <protection/>
    </xf>
    <xf numFmtId="0" fontId="39" fillId="0" borderId="32" xfId="61" applyFont="1" applyFill="1" applyBorder="1" applyAlignment="1">
      <alignment horizontal="center" vertical="center"/>
      <protection/>
    </xf>
    <xf numFmtId="0" fontId="20" fillId="0" borderId="28" xfId="61" applyFont="1" applyFill="1" applyBorder="1" applyAlignment="1">
      <alignment horizontal="center" vertical="center" wrapText="1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33" xfId="61" applyFont="1" applyFill="1" applyBorder="1" applyAlignment="1">
      <alignment horizontal="center" vertical="center" wrapText="1"/>
      <protection/>
    </xf>
    <xf numFmtId="0" fontId="20" fillId="0" borderId="20" xfId="61" applyFont="1" applyFill="1" applyBorder="1" applyAlignment="1">
      <alignment horizontal="center" vertical="center" wrapText="1"/>
      <protection/>
    </xf>
    <xf numFmtId="49" fontId="38" fillId="0" borderId="34" xfId="61" applyNumberFormat="1" applyFont="1" applyFill="1" applyBorder="1" applyAlignment="1">
      <alignment horizontal="center" vertical="center"/>
      <protection/>
    </xf>
    <xf numFmtId="0" fontId="20" fillId="0" borderId="35" xfId="61" applyFont="1" applyFill="1" applyBorder="1" applyAlignment="1">
      <alignment vertical="center" wrapText="1"/>
      <protection/>
    </xf>
    <xf numFmtId="3" fontId="39" fillId="0" borderId="10" xfId="61" applyNumberFormat="1" applyFont="1" applyFill="1" applyBorder="1" applyAlignment="1">
      <alignment vertical="center" wrapText="1"/>
      <protection/>
    </xf>
    <xf numFmtId="3" fontId="39" fillId="0" borderId="36" xfId="61" applyNumberFormat="1" applyFont="1" applyFill="1" applyBorder="1" applyAlignment="1">
      <alignment vertical="center" wrapText="1"/>
      <protection/>
    </xf>
    <xf numFmtId="3" fontId="39" fillId="0" borderId="37" xfId="61" applyNumberFormat="1" applyFont="1" applyFill="1" applyBorder="1" applyAlignment="1">
      <alignment vertical="center" wrapText="1"/>
      <protection/>
    </xf>
    <xf numFmtId="3" fontId="39" fillId="0" borderId="23" xfId="61" applyNumberFormat="1" applyFont="1" applyFill="1" applyBorder="1" applyAlignment="1">
      <alignment vertical="center" wrapText="1"/>
      <protection/>
    </xf>
    <xf numFmtId="3" fontId="39" fillId="0" borderId="38" xfId="61" applyNumberFormat="1" applyFont="1" applyFill="1" applyBorder="1" applyAlignment="1">
      <alignment vertical="center" wrapText="1"/>
      <protection/>
    </xf>
    <xf numFmtId="3" fontId="38" fillId="0" borderId="38" xfId="61" applyNumberFormat="1" applyFont="1" applyFill="1" applyBorder="1" applyAlignment="1">
      <alignment vertical="center"/>
      <protection/>
    </xf>
    <xf numFmtId="3" fontId="38" fillId="0" borderId="37" xfId="61" applyNumberFormat="1" applyFont="1" applyFill="1" applyBorder="1" applyAlignment="1">
      <alignment vertical="center"/>
      <protection/>
    </xf>
    <xf numFmtId="3" fontId="20" fillId="0" borderId="30" xfId="61" applyNumberFormat="1" applyFont="1" applyFill="1" applyBorder="1" applyAlignment="1">
      <alignment vertical="center"/>
      <protection/>
    </xf>
    <xf numFmtId="49" fontId="38" fillId="0" borderId="36" xfId="61" applyNumberFormat="1" applyFont="1" applyFill="1" applyBorder="1" applyAlignment="1">
      <alignment horizontal="center" vertical="center"/>
      <protection/>
    </xf>
    <xf numFmtId="3" fontId="39" fillId="0" borderId="39" xfId="61" applyNumberFormat="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3" fontId="55" fillId="0" borderId="23" xfId="61" applyNumberFormat="1" applyFont="1" applyFill="1" applyBorder="1" applyAlignment="1">
      <alignment vertical="center"/>
      <protection/>
    </xf>
    <xf numFmtId="49" fontId="38" fillId="0" borderId="21" xfId="61" applyNumberFormat="1" applyFont="1" applyFill="1" applyBorder="1" applyAlignment="1">
      <alignment horizontal="center" vertical="center"/>
      <protection/>
    </xf>
    <xf numFmtId="3" fontId="39" fillId="0" borderId="21" xfId="61" applyNumberFormat="1" applyFont="1" applyFill="1" applyBorder="1" applyAlignment="1">
      <alignment vertical="center" wrapText="1"/>
      <protection/>
    </xf>
    <xf numFmtId="3" fontId="39" fillId="0" borderId="22" xfId="61" applyNumberFormat="1" applyFont="1" applyFill="1" applyBorder="1" applyAlignment="1">
      <alignment vertical="center" wrapText="1"/>
      <protection/>
    </xf>
    <xf numFmtId="3" fontId="39" fillId="0" borderId="17" xfId="61" applyNumberFormat="1" applyFont="1" applyFill="1" applyBorder="1" applyAlignment="1">
      <alignment vertical="center" wrapText="1"/>
      <protection/>
    </xf>
    <xf numFmtId="3" fontId="38" fillId="0" borderId="17" xfId="61" applyNumberFormat="1" applyFont="1" applyFill="1" applyBorder="1" applyAlignment="1">
      <alignment vertical="center"/>
      <protection/>
    </xf>
    <xf numFmtId="3" fontId="38" fillId="0" borderId="22" xfId="61" applyNumberFormat="1" applyFont="1" applyFill="1" applyBorder="1" applyAlignment="1">
      <alignment vertical="center"/>
      <protection/>
    </xf>
    <xf numFmtId="3" fontId="39" fillId="33" borderId="17" xfId="61" applyNumberFormat="1" applyFont="1" applyFill="1" applyBorder="1" applyAlignment="1">
      <alignment horizontal="right" vertical="center" wrapText="1"/>
      <protection/>
    </xf>
    <xf numFmtId="0" fontId="20" fillId="0" borderId="15" xfId="61" applyFont="1" applyFill="1" applyBorder="1" applyAlignment="1">
      <alignment vertical="center" wrapText="1"/>
      <protection/>
    </xf>
    <xf numFmtId="3" fontId="39" fillId="0" borderId="23" xfId="61" applyNumberFormat="1" applyFont="1" applyFill="1" applyBorder="1" applyAlignment="1">
      <alignment vertical="center"/>
      <protection/>
    </xf>
    <xf numFmtId="3" fontId="39" fillId="0" borderId="17" xfId="61" applyNumberFormat="1" applyFont="1" applyFill="1" applyBorder="1" applyAlignment="1">
      <alignment horizontal="right" vertical="center" wrapText="1"/>
      <protection/>
    </xf>
    <xf numFmtId="3" fontId="39" fillId="0" borderId="23" xfId="61" applyNumberFormat="1" applyFont="1" applyFill="1" applyBorder="1" applyAlignment="1">
      <alignment horizontal="left" vertical="center" wrapText="1"/>
      <protection/>
    </xf>
    <xf numFmtId="3" fontId="39" fillId="0" borderId="21" xfId="61" applyNumberFormat="1" applyFont="1" applyFill="1" applyBorder="1" applyAlignment="1">
      <alignment vertical="center"/>
      <protection/>
    </xf>
    <xf numFmtId="3" fontId="39" fillId="0" borderId="22" xfId="61" applyNumberFormat="1" applyFont="1" applyFill="1" applyBorder="1" applyAlignment="1">
      <alignment vertical="center"/>
      <protection/>
    </xf>
    <xf numFmtId="3" fontId="39" fillId="0" borderId="17" xfId="61" applyNumberFormat="1" applyFont="1" applyFill="1" applyBorder="1" applyAlignment="1">
      <alignment vertical="center"/>
      <protection/>
    </xf>
    <xf numFmtId="3" fontId="39" fillId="33" borderId="39" xfId="61" applyNumberFormat="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3" fontId="55" fillId="0" borderId="22" xfId="61" applyNumberFormat="1" applyFont="1" applyFill="1" applyBorder="1" applyAlignment="1">
      <alignment vertical="center"/>
      <protection/>
    </xf>
    <xf numFmtId="3" fontId="44" fillId="0" borderId="17" xfId="61" applyNumberFormat="1" applyFont="1" applyFill="1" applyBorder="1" applyAlignment="1">
      <alignment vertical="center" wrapText="1"/>
      <protection/>
    </xf>
    <xf numFmtId="3" fontId="53" fillId="0" borderId="17" xfId="61" applyNumberFormat="1" applyFont="1" applyFill="1" applyBorder="1" applyAlignment="1">
      <alignment vertical="center"/>
      <protection/>
    </xf>
    <xf numFmtId="3" fontId="55" fillId="0" borderId="17" xfId="61" applyNumberFormat="1" applyFont="1" applyFill="1" applyBorder="1" applyAlignment="1">
      <alignment vertical="center"/>
      <protection/>
    </xf>
    <xf numFmtId="3" fontId="49" fillId="0" borderId="33" xfId="61" applyNumberFormat="1" applyFont="1" applyFill="1" applyBorder="1" applyAlignment="1">
      <alignment vertical="center"/>
      <protection/>
    </xf>
    <xf numFmtId="3" fontId="39" fillId="0" borderId="34" xfId="61" applyNumberFormat="1" applyFont="1" applyFill="1" applyBorder="1" applyAlignment="1">
      <alignment vertical="center" wrapText="1"/>
      <protection/>
    </xf>
    <xf numFmtId="3" fontId="39" fillId="0" borderId="35" xfId="61" applyNumberFormat="1" applyFont="1" applyFill="1" applyBorder="1" applyAlignment="1">
      <alignment vertical="center" wrapText="1"/>
      <protection/>
    </xf>
    <xf numFmtId="0" fontId="20" fillId="0" borderId="22" xfId="61" applyFont="1" applyFill="1" applyBorder="1" applyAlignment="1">
      <alignment vertical="center" wrapText="1"/>
      <protection/>
    </xf>
    <xf numFmtId="3" fontId="39" fillId="0" borderId="11" xfId="61" applyNumberFormat="1" applyFont="1" applyFill="1" applyBorder="1" applyAlignment="1">
      <alignment vertical="center" wrapText="1"/>
      <protection/>
    </xf>
    <xf numFmtId="3" fontId="23" fillId="0" borderId="40" xfId="61" applyNumberFormat="1" applyFont="1" applyFill="1" applyBorder="1" applyAlignment="1">
      <alignment vertical="center"/>
      <protection/>
    </xf>
    <xf numFmtId="3" fontId="23" fillId="0" borderId="41" xfId="61" applyNumberFormat="1" applyFont="1" applyFill="1" applyBorder="1" applyAlignment="1">
      <alignment vertical="center"/>
      <protection/>
    </xf>
    <xf numFmtId="3" fontId="39" fillId="0" borderId="42" xfId="61" applyNumberFormat="1" applyFont="1" applyFill="1" applyBorder="1" applyAlignment="1">
      <alignment vertical="center" wrapText="1"/>
      <protection/>
    </xf>
    <xf numFmtId="0" fontId="20" fillId="0" borderId="43" xfId="61" applyFont="1" applyFill="1" applyBorder="1" applyAlignment="1">
      <alignment vertical="center" wrapText="1"/>
      <protection/>
    </xf>
    <xf numFmtId="3" fontId="39" fillId="0" borderId="43" xfId="61" applyNumberFormat="1" applyFont="1" applyFill="1" applyBorder="1" applyAlignment="1">
      <alignment vertical="center" wrapText="1"/>
      <protection/>
    </xf>
    <xf numFmtId="3" fontId="56" fillId="0" borderId="26" xfId="61" applyNumberFormat="1" applyFont="1" applyFill="1" applyBorder="1" applyAlignment="1">
      <alignment vertical="center"/>
      <protection/>
    </xf>
    <xf numFmtId="3" fontId="56" fillId="0" borderId="32" xfId="61" applyNumberFormat="1" applyFont="1" applyFill="1" applyBorder="1" applyAlignment="1">
      <alignment vertical="center"/>
      <protection/>
    </xf>
    <xf numFmtId="3" fontId="56" fillId="0" borderId="41" xfId="61" applyNumberFormat="1" applyFont="1" applyFill="1" applyBorder="1" applyAlignment="1">
      <alignment vertical="center"/>
      <protection/>
    </xf>
    <xf numFmtId="164" fontId="7" fillId="0" borderId="23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6" fillId="0" borderId="39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7" fillId="0" borderId="44" xfId="0" applyNumberFormat="1" applyFont="1" applyFill="1" applyBorder="1" applyAlignment="1">
      <alignment vertical="center"/>
    </xf>
    <xf numFmtId="164" fontId="8" fillId="0" borderId="39" xfId="0" applyNumberFormat="1" applyFont="1" applyFill="1" applyBorder="1" applyAlignment="1">
      <alignment horizontal="right" vertical="center"/>
    </xf>
    <xf numFmtId="164" fontId="7" fillId="0" borderId="45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6" fillId="0" borderId="46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3" fontId="39" fillId="0" borderId="42" xfId="61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/>
    </xf>
    <xf numFmtId="0" fontId="18" fillId="0" borderId="47" xfId="0" applyFont="1" applyBorder="1" applyAlignment="1">
      <alignment/>
    </xf>
    <xf numFmtId="0" fontId="19" fillId="0" borderId="48" xfId="60" applyFont="1" applyBorder="1" applyAlignment="1">
      <alignment horizontal="center"/>
      <protection/>
    </xf>
    <xf numFmtId="0" fontId="19" fillId="0" borderId="49" xfId="61" applyFont="1" applyFill="1" applyBorder="1" applyAlignment="1">
      <alignment horizontal="center" vertical="center" wrapText="1"/>
      <protection/>
    </xf>
    <xf numFmtId="0" fontId="19" fillId="0" borderId="50" xfId="60" applyFont="1" applyBorder="1" applyAlignment="1">
      <alignment horizontal="center"/>
      <protection/>
    </xf>
    <xf numFmtId="0" fontId="19" fillId="0" borderId="32" xfId="61" applyFont="1" applyFill="1" applyBorder="1" applyAlignment="1">
      <alignment horizontal="center" vertical="center" wrapText="1"/>
      <protection/>
    </xf>
    <xf numFmtId="0" fontId="19" fillId="0" borderId="51" xfId="60" applyFont="1" applyBorder="1" applyAlignment="1">
      <alignment horizontal="center"/>
      <protection/>
    </xf>
    <xf numFmtId="0" fontId="19" fillId="0" borderId="52" xfId="61" applyFont="1" applyFill="1" applyBorder="1" applyAlignment="1">
      <alignment horizontal="center" vertical="center" wrapText="1"/>
      <protection/>
    </xf>
    <xf numFmtId="0" fontId="22" fillId="0" borderId="53" xfId="60" applyFont="1" applyBorder="1">
      <alignment/>
      <protection/>
    </xf>
    <xf numFmtId="0" fontId="22" fillId="0" borderId="0" xfId="60" applyFont="1" applyBorder="1">
      <alignment/>
      <protection/>
    </xf>
    <xf numFmtId="0" fontId="22" fillId="0" borderId="54" xfId="60" applyFont="1" applyBorder="1">
      <alignment/>
      <protection/>
    </xf>
    <xf numFmtId="0" fontId="22" fillId="0" borderId="55" xfId="60" applyFont="1" applyBorder="1">
      <alignment/>
      <protection/>
    </xf>
    <xf numFmtId="0" fontId="22" fillId="0" borderId="56" xfId="60" applyFont="1" applyBorder="1">
      <alignment/>
      <protection/>
    </xf>
    <xf numFmtId="3" fontId="22" fillId="0" borderId="0" xfId="60" applyNumberFormat="1" applyFont="1" applyBorder="1">
      <alignment/>
      <protection/>
    </xf>
    <xf numFmtId="3" fontId="22" fillId="0" borderId="57" xfId="60" applyNumberFormat="1" applyFont="1" applyBorder="1">
      <alignment/>
      <protection/>
    </xf>
    <xf numFmtId="0" fontId="22" fillId="0" borderId="58" xfId="60" applyFont="1" applyBorder="1" applyAlignment="1">
      <alignment horizontal="left"/>
      <protection/>
    </xf>
    <xf numFmtId="0" fontId="22" fillId="0" borderId="0" xfId="60" applyFont="1" applyBorder="1" applyAlignment="1">
      <alignment horizontal="left"/>
      <protection/>
    </xf>
    <xf numFmtId="3" fontId="15" fillId="0" borderId="59" xfId="60" applyNumberFormat="1" applyFont="1" applyBorder="1" applyAlignment="1">
      <alignment horizontal="right" vertical="center"/>
      <protection/>
    </xf>
    <xf numFmtId="3" fontId="15" fillId="0" borderId="31" xfId="60" applyNumberFormat="1" applyFont="1" applyBorder="1" applyAlignment="1">
      <alignment horizontal="right" vertical="center"/>
      <protection/>
    </xf>
    <xf numFmtId="3" fontId="15" fillId="0" borderId="0" xfId="60" applyNumberFormat="1" applyFont="1" applyBorder="1" applyAlignment="1">
      <alignment horizontal="right" vertical="center"/>
      <protection/>
    </xf>
    <xf numFmtId="0" fontId="15" fillId="0" borderId="59" xfId="61" applyFont="1" applyFill="1" applyBorder="1" applyAlignment="1">
      <alignment horizontal="center" vertical="center" wrapText="1"/>
      <protection/>
    </xf>
    <xf numFmtId="0" fontId="15" fillId="0" borderId="31" xfId="61" applyFont="1" applyFill="1" applyBorder="1" applyAlignment="1">
      <alignment horizontal="center" vertical="center" wrapText="1"/>
      <protection/>
    </xf>
    <xf numFmtId="0" fontId="15" fillId="0" borderId="60" xfId="61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3" fontId="15" fillId="0" borderId="53" xfId="60" applyNumberFormat="1" applyFont="1" applyBorder="1" applyAlignment="1">
      <alignment horizontal="right" vertical="center"/>
      <protection/>
    </xf>
    <xf numFmtId="3" fontId="22" fillId="0" borderId="61" xfId="60" applyNumberFormat="1" applyFont="1" applyBorder="1">
      <alignment/>
      <protection/>
    </xf>
    <xf numFmtId="0" fontId="22" fillId="0" borderId="31" xfId="60" applyFont="1" applyBorder="1">
      <alignment/>
      <protection/>
    </xf>
    <xf numFmtId="0" fontId="56" fillId="0" borderId="56" xfId="60" applyFont="1" applyBorder="1" applyAlignment="1">
      <alignment horizontal="right" vertical="center"/>
      <protection/>
    </xf>
    <xf numFmtId="0" fontId="23" fillId="0" borderId="53" xfId="60" applyFont="1" applyBorder="1" applyAlignment="1">
      <alignment horizontal="right"/>
      <protection/>
    </xf>
    <xf numFmtId="0" fontId="23" fillId="0" borderId="0" xfId="60" applyFont="1" applyBorder="1" applyAlignment="1">
      <alignment horizontal="right"/>
      <protection/>
    </xf>
    <xf numFmtId="0" fontId="23" fillId="0" borderId="55" xfId="60" applyFont="1" applyBorder="1" applyAlignment="1">
      <alignment horizontal="right"/>
      <protection/>
    </xf>
    <xf numFmtId="3" fontId="19" fillId="0" borderId="55" xfId="60" applyNumberFormat="1" applyFont="1" applyBorder="1" applyAlignment="1">
      <alignment horizontal="right"/>
      <protection/>
    </xf>
    <xf numFmtId="3" fontId="19" fillId="0" borderId="0" xfId="60" applyNumberFormat="1" applyFont="1" applyBorder="1">
      <alignment/>
      <protection/>
    </xf>
    <xf numFmtId="3" fontId="19" fillId="0" borderId="56" xfId="60" applyNumberFormat="1" applyFont="1" applyBorder="1">
      <alignment/>
      <protection/>
    </xf>
    <xf numFmtId="3" fontId="56" fillId="0" borderId="53" xfId="60" applyNumberFormat="1" applyFont="1" applyBorder="1" applyAlignment="1">
      <alignment horizontal="right" vertical="center"/>
      <protection/>
    </xf>
    <xf numFmtId="3" fontId="56" fillId="0" borderId="31" xfId="60" applyNumberFormat="1" applyFont="1" applyBorder="1" applyAlignment="1">
      <alignment horizontal="right" vertical="center"/>
      <protection/>
    </xf>
    <xf numFmtId="3" fontId="22" fillId="0" borderId="53" xfId="60" applyNumberFormat="1" applyFont="1" applyBorder="1">
      <alignment/>
      <protection/>
    </xf>
    <xf numFmtId="3" fontId="22" fillId="0" borderId="31" xfId="60" applyNumberFormat="1" applyFont="1" applyBorder="1">
      <alignment/>
      <protection/>
    </xf>
    <xf numFmtId="3" fontId="56" fillId="0" borderId="56" xfId="60" applyNumberFormat="1" applyFont="1" applyBorder="1" applyAlignment="1">
      <alignment horizontal="right" vertical="center"/>
      <protection/>
    </xf>
    <xf numFmtId="0" fontId="22" fillId="0" borderId="53" xfId="60" applyFont="1" applyBorder="1" applyAlignment="1">
      <alignment horizontal="right"/>
      <protection/>
    </xf>
    <xf numFmtId="0" fontId="22" fillId="0" borderId="0" xfId="60" applyFont="1" applyBorder="1" applyAlignment="1">
      <alignment horizontal="right"/>
      <protection/>
    </xf>
    <xf numFmtId="0" fontId="22" fillId="0" borderId="55" xfId="60" applyFont="1" applyBorder="1" applyAlignment="1">
      <alignment horizontal="right"/>
      <protection/>
    </xf>
    <xf numFmtId="3" fontId="22" fillId="0" borderId="46" xfId="60" applyNumberFormat="1" applyFont="1" applyFill="1" applyBorder="1">
      <alignment/>
      <protection/>
    </xf>
    <xf numFmtId="0" fontId="56" fillId="0" borderId="56" xfId="60" applyFont="1" applyBorder="1">
      <alignment/>
      <protection/>
    </xf>
    <xf numFmtId="3" fontId="22" fillId="0" borderId="46" xfId="60" applyNumberFormat="1" applyFont="1" applyBorder="1">
      <alignment/>
      <protection/>
    </xf>
    <xf numFmtId="3" fontId="56" fillId="0" borderId="53" xfId="60" applyNumberFormat="1" applyFont="1" applyBorder="1">
      <alignment/>
      <protection/>
    </xf>
    <xf numFmtId="3" fontId="56" fillId="0" borderId="31" xfId="60" applyNumberFormat="1" applyFont="1" applyBorder="1">
      <alignment/>
      <protection/>
    </xf>
    <xf numFmtId="3" fontId="56" fillId="0" borderId="61" xfId="60" applyNumberFormat="1" applyFont="1" applyBorder="1">
      <alignment/>
      <protection/>
    </xf>
    <xf numFmtId="3" fontId="56" fillId="0" borderId="56" xfId="60" applyNumberFormat="1" applyFont="1" applyBorder="1">
      <alignment/>
      <protection/>
    </xf>
    <xf numFmtId="0" fontId="18" fillId="0" borderId="53" xfId="60" applyFont="1" applyBorder="1" applyAlignment="1">
      <alignment horizontal="right"/>
      <protection/>
    </xf>
    <xf numFmtId="0" fontId="18" fillId="0" borderId="0" xfId="60" applyFont="1" applyBorder="1" applyAlignment="1">
      <alignment horizontal="right"/>
      <protection/>
    </xf>
    <xf numFmtId="0" fontId="18" fillId="0" borderId="55" xfId="60" applyFont="1" applyBorder="1" applyAlignment="1">
      <alignment horizontal="right"/>
      <protection/>
    </xf>
    <xf numFmtId="0" fontId="18" fillId="0" borderId="0" xfId="60" applyFont="1" applyBorder="1">
      <alignment/>
      <protection/>
    </xf>
    <xf numFmtId="0" fontId="18" fillId="0" borderId="56" xfId="60" applyFont="1" applyBorder="1">
      <alignment/>
      <protection/>
    </xf>
    <xf numFmtId="3" fontId="22" fillId="0" borderId="0" xfId="60" applyNumberFormat="1" applyFont="1" applyFill="1" applyBorder="1">
      <alignment/>
      <protection/>
    </xf>
    <xf numFmtId="3" fontId="57" fillId="0" borderId="0" xfId="60" applyNumberFormat="1" applyFont="1" applyBorder="1">
      <alignment/>
      <protection/>
    </xf>
    <xf numFmtId="0" fontId="57" fillId="0" borderId="53" xfId="60" applyFont="1" applyBorder="1" applyAlignment="1">
      <alignment horizontal="left"/>
      <protection/>
    </xf>
    <xf numFmtId="0" fontId="57" fillId="0" borderId="0" xfId="60" applyFont="1" applyBorder="1" applyAlignment="1">
      <alignment horizontal="left"/>
      <protection/>
    </xf>
    <xf numFmtId="3" fontId="22" fillId="0" borderId="62" xfId="60" applyNumberFormat="1" applyFont="1" applyBorder="1">
      <alignment/>
      <protection/>
    </xf>
    <xf numFmtId="0" fontId="57" fillId="0" borderId="0" xfId="60" applyFont="1" applyBorder="1">
      <alignment/>
      <protection/>
    </xf>
    <xf numFmtId="0" fontId="18" fillId="0" borderId="47" xfId="60" applyFont="1" applyBorder="1" applyAlignment="1">
      <alignment horizontal="right"/>
      <protection/>
    </xf>
    <xf numFmtId="0" fontId="18" fillId="0" borderId="63" xfId="60" applyFont="1" applyBorder="1" applyAlignment="1">
      <alignment horizontal="right"/>
      <protection/>
    </xf>
    <xf numFmtId="0" fontId="18" fillId="0" borderId="47" xfId="60" applyFont="1" applyBorder="1">
      <alignment/>
      <protection/>
    </xf>
    <xf numFmtId="0" fontId="18" fillId="0" borderId="64" xfId="60" applyFont="1" applyBorder="1">
      <alignment/>
      <protection/>
    </xf>
    <xf numFmtId="0" fontId="22" fillId="0" borderId="47" xfId="60" applyFont="1" applyBorder="1" applyAlignment="1">
      <alignment horizontal="left"/>
      <protection/>
    </xf>
    <xf numFmtId="3" fontId="56" fillId="0" borderId="65" xfId="60" applyNumberFormat="1" applyFont="1" applyBorder="1" applyAlignment="1">
      <alignment horizontal="right" vertical="center"/>
      <protection/>
    </xf>
    <xf numFmtId="3" fontId="56" fillId="0" borderId="66" xfId="60" applyNumberFormat="1" applyFont="1" applyBorder="1" applyAlignment="1">
      <alignment horizontal="right" vertical="center"/>
      <protection/>
    </xf>
    <xf numFmtId="3" fontId="22" fillId="0" borderId="67" xfId="60" applyNumberFormat="1" applyFont="1" applyBorder="1">
      <alignment/>
      <protection/>
    </xf>
    <xf numFmtId="3" fontId="22" fillId="0" borderId="65" xfId="60" applyNumberFormat="1" applyFont="1" applyBorder="1">
      <alignment/>
      <protection/>
    </xf>
    <xf numFmtId="3" fontId="22" fillId="0" borderId="66" xfId="60" applyNumberFormat="1" applyFont="1" applyBorder="1">
      <alignment/>
      <protection/>
    </xf>
    <xf numFmtId="3" fontId="56" fillId="0" borderId="64" xfId="60" applyNumberFormat="1" applyFont="1" applyBorder="1" applyAlignment="1">
      <alignment horizontal="right" vertical="center"/>
      <protection/>
    </xf>
    <xf numFmtId="3" fontId="19" fillId="0" borderId="68" xfId="60" applyNumberFormat="1" applyFont="1" applyBorder="1" applyAlignment="1">
      <alignment horizontal="right"/>
      <protection/>
    </xf>
    <xf numFmtId="3" fontId="19" fillId="0" borderId="69" xfId="60" applyNumberFormat="1" applyFont="1" applyBorder="1">
      <alignment/>
      <protection/>
    </xf>
    <xf numFmtId="3" fontId="19" fillId="0" borderId="70" xfId="60" applyNumberFormat="1" applyFont="1" applyBorder="1">
      <alignment/>
      <protection/>
    </xf>
    <xf numFmtId="3" fontId="23" fillId="0" borderId="69" xfId="60" applyNumberFormat="1" applyFont="1" applyFill="1" applyBorder="1">
      <alignment/>
      <protection/>
    </xf>
    <xf numFmtId="3" fontId="56" fillId="0" borderId="71" xfId="60" applyNumberFormat="1" applyFont="1" applyBorder="1">
      <alignment/>
      <protection/>
    </xf>
    <xf numFmtId="3" fontId="56" fillId="0" borderId="68" xfId="60" applyNumberFormat="1" applyFont="1" applyBorder="1">
      <alignment/>
      <protection/>
    </xf>
    <xf numFmtId="3" fontId="56" fillId="0" borderId="72" xfId="60" applyNumberFormat="1" applyFont="1" applyBorder="1">
      <alignment/>
      <protection/>
    </xf>
    <xf numFmtId="3" fontId="56" fillId="0" borderId="70" xfId="60" applyNumberFormat="1" applyFont="1" applyBorder="1" applyAlignment="1">
      <alignment horizontal="right" vertical="center"/>
      <protection/>
    </xf>
    <xf numFmtId="0" fontId="18" fillId="0" borderId="58" xfId="60" applyFont="1" applyBorder="1">
      <alignment/>
      <protection/>
    </xf>
    <xf numFmtId="0" fontId="18" fillId="0" borderId="55" xfId="60" applyFont="1" applyBorder="1">
      <alignment/>
      <protection/>
    </xf>
    <xf numFmtId="0" fontId="18" fillId="0" borderId="31" xfId="60" applyFont="1" applyBorder="1">
      <alignment/>
      <protection/>
    </xf>
    <xf numFmtId="3" fontId="57" fillId="0" borderId="46" xfId="60" applyNumberFormat="1" applyFont="1" applyBorder="1" applyAlignment="1">
      <alignment/>
      <protection/>
    </xf>
    <xf numFmtId="0" fontId="18" fillId="0" borderId="73" xfId="60" applyFont="1" applyBorder="1">
      <alignment/>
      <protection/>
    </xf>
    <xf numFmtId="0" fontId="18" fillId="0" borderId="66" xfId="60" applyFont="1" applyBorder="1">
      <alignment/>
      <protection/>
    </xf>
    <xf numFmtId="0" fontId="18" fillId="0" borderId="74" xfId="60" applyFont="1" applyBorder="1">
      <alignment/>
      <protection/>
    </xf>
    <xf numFmtId="3" fontId="19" fillId="0" borderId="31" xfId="60" applyNumberFormat="1" applyFont="1" applyBorder="1" applyAlignment="1">
      <alignment horizontal="right"/>
      <protection/>
    </xf>
    <xf numFmtId="0" fontId="22" fillId="0" borderId="53" xfId="60" applyFont="1" applyBorder="1" applyAlignment="1">
      <alignment horizontal="left"/>
      <protection/>
    </xf>
    <xf numFmtId="3" fontId="56" fillId="0" borderId="75" xfId="60" applyNumberFormat="1" applyFont="1" applyBorder="1" applyAlignment="1">
      <alignment horizontal="right"/>
      <protection/>
    </xf>
    <xf numFmtId="3" fontId="56" fillId="0" borderId="53" xfId="60" applyNumberFormat="1" applyFont="1" applyBorder="1" applyAlignment="1">
      <alignment horizontal="right"/>
      <protection/>
    </xf>
    <xf numFmtId="3" fontId="56" fillId="0" borderId="31" xfId="60" applyNumberFormat="1" applyFont="1" applyBorder="1" applyAlignment="1">
      <alignment horizontal="right"/>
      <protection/>
    </xf>
    <xf numFmtId="3" fontId="19" fillId="34" borderId="76" xfId="60" applyNumberFormat="1" applyFont="1" applyFill="1" applyBorder="1" applyAlignment="1">
      <alignment horizontal="right"/>
      <protection/>
    </xf>
    <xf numFmtId="0" fontId="18" fillId="34" borderId="77" xfId="60" applyFont="1" applyFill="1" applyBorder="1">
      <alignment/>
      <protection/>
    </xf>
    <xf numFmtId="3" fontId="56" fillId="34" borderId="78" xfId="60" applyNumberFormat="1" applyFont="1" applyFill="1" applyBorder="1" applyAlignment="1">
      <alignment horizontal="right"/>
      <protection/>
    </xf>
    <xf numFmtId="3" fontId="56" fillId="34" borderId="79" xfId="60" applyNumberFormat="1" applyFont="1" applyFill="1" applyBorder="1" applyAlignment="1">
      <alignment horizontal="right"/>
      <protection/>
    </xf>
    <xf numFmtId="3" fontId="56" fillId="34" borderId="80" xfId="60" applyNumberFormat="1" applyFont="1" applyFill="1" applyBorder="1">
      <alignment/>
      <protection/>
    </xf>
    <xf numFmtId="3" fontId="56" fillId="34" borderId="78" xfId="60" applyNumberFormat="1" applyFont="1" applyFill="1" applyBorder="1">
      <alignment/>
      <protection/>
    </xf>
    <xf numFmtId="3" fontId="56" fillId="34" borderId="79" xfId="60" applyNumberFormat="1" applyFont="1" applyFill="1" applyBorder="1">
      <alignment/>
      <protection/>
    </xf>
    <xf numFmtId="3" fontId="56" fillId="34" borderId="81" xfId="60" applyNumberFormat="1" applyFont="1" applyFill="1" applyBorder="1">
      <alignment/>
      <protection/>
    </xf>
    <xf numFmtId="0" fontId="19" fillId="0" borderId="33" xfId="61" applyFont="1" applyFill="1" applyBorder="1" applyAlignment="1">
      <alignment horizontal="center" vertical="center" wrapText="1"/>
      <protection/>
    </xf>
    <xf numFmtId="0" fontId="19" fillId="0" borderId="32" xfId="60" applyFont="1" applyBorder="1" applyAlignment="1">
      <alignment horizontal="center"/>
      <protection/>
    </xf>
    <xf numFmtId="0" fontId="18" fillId="0" borderId="82" xfId="0" applyFont="1" applyBorder="1" applyAlignment="1">
      <alignment/>
    </xf>
    <xf numFmtId="0" fontId="15" fillId="0" borderId="0" xfId="60" applyFont="1" applyBorder="1" applyAlignment="1">
      <alignment horizontal="right" vertical="center"/>
      <protection/>
    </xf>
    <xf numFmtId="0" fontId="15" fillId="0" borderId="83" xfId="60" applyFont="1" applyBorder="1" applyAlignment="1">
      <alignment horizontal="right" vertical="center"/>
      <protection/>
    </xf>
    <xf numFmtId="0" fontId="22" fillId="0" borderId="61" xfId="60" applyFont="1" applyBorder="1">
      <alignment/>
      <protection/>
    </xf>
    <xf numFmtId="0" fontId="18" fillId="0" borderId="53" xfId="60" applyFont="1" applyBorder="1">
      <alignment/>
      <protection/>
    </xf>
    <xf numFmtId="0" fontId="18" fillId="0" borderId="31" xfId="60" applyFont="1" applyBorder="1" applyAlignment="1">
      <alignment horizontal="right"/>
      <protection/>
    </xf>
    <xf numFmtId="3" fontId="56" fillId="0" borderId="0" xfId="60" applyNumberFormat="1" applyFont="1" applyBorder="1" applyAlignment="1">
      <alignment horizontal="right" vertical="center"/>
      <protection/>
    </xf>
    <xf numFmtId="3" fontId="18" fillId="0" borderId="31" xfId="60" applyNumberFormat="1" applyFont="1" applyBorder="1" applyAlignment="1">
      <alignment horizontal="right"/>
      <protection/>
    </xf>
    <xf numFmtId="3" fontId="18" fillId="0" borderId="0" xfId="60" applyNumberFormat="1" applyFont="1" applyBorder="1">
      <alignment/>
      <protection/>
    </xf>
    <xf numFmtId="3" fontId="18" fillId="0" borderId="56" xfId="60" applyNumberFormat="1" applyFont="1" applyBorder="1">
      <alignment/>
      <protection/>
    </xf>
    <xf numFmtId="0" fontId="22" fillId="0" borderId="0" xfId="0" applyFont="1" applyFill="1" applyBorder="1" applyAlignment="1">
      <alignment/>
    </xf>
    <xf numFmtId="3" fontId="56" fillId="0" borderId="84" xfId="60" applyNumberFormat="1" applyFont="1" applyBorder="1">
      <alignment/>
      <protection/>
    </xf>
    <xf numFmtId="0" fontId="18" fillId="0" borderId="71" xfId="60" applyFont="1" applyBorder="1">
      <alignment/>
      <protection/>
    </xf>
    <xf numFmtId="0" fontId="18" fillId="0" borderId="69" xfId="60" applyFont="1" applyBorder="1" applyAlignment="1">
      <alignment horizontal="right"/>
      <protection/>
    </xf>
    <xf numFmtId="0" fontId="18" fillId="0" borderId="68" xfId="60" applyFont="1" applyBorder="1" applyAlignment="1">
      <alignment horizontal="right"/>
      <protection/>
    </xf>
    <xf numFmtId="0" fontId="18" fillId="0" borderId="69" xfId="60" applyFont="1" applyBorder="1">
      <alignment/>
      <protection/>
    </xf>
    <xf numFmtId="0" fontId="18" fillId="0" borderId="70" xfId="60" applyFont="1" applyBorder="1">
      <alignment/>
      <protection/>
    </xf>
    <xf numFmtId="0" fontId="18" fillId="0" borderId="69" xfId="60" applyFont="1" applyBorder="1" applyAlignment="1">
      <alignment/>
      <protection/>
    </xf>
    <xf numFmtId="0" fontId="15" fillId="0" borderId="85" xfId="60" applyFont="1" applyBorder="1" applyAlignment="1">
      <alignment horizontal="right"/>
      <protection/>
    </xf>
    <xf numFmtId="0" fontId="18" fillId="0" borderId="86" xfId="60" applyFont="1" applyBorder="1">
      <alignment/>
      <protection/>
    </xf>
    <xf numFmtId="3" fontId="15" fillId="0" borderId="87" xfId="60" applyNumberFormat="1" applyFont="1" applyBorder="1" applyAlignment="1">
      <alignment horizontal="right"/>
      <protection/>
    </xf>
    <xf numFmtId="0" fontId="15" fillId="0" borderId="69" xfId="60" applyFont="1" applyBorder="1" applyAlignment="1">
      <alignment horizontal="right"/>
      <protection/>
    </xf>
    <xf numFmtId="0" fontId="15" fillId="0" borderId="68" xfId="60" applyFont="1" applyBorder="1" applyAlignment="1">
      <alignment horizontal="right"/>
      <protection/>
    </xf>
    <xf numFmtId="0" fontId="18" fillId="0" borderId="72" xfId="60" applyFont="1" applyBorder="1">
      <alignment/>
      <protection/>
    </xf>
    <xf numFmtId="0" fontId="18" fillId="0" borderId="68" xfId="60" applyFont="1" applyBorder="1">
      <alignment/>
      <protection/>
    </xf>
    <xf numFmtId="0" fontId="56" fillId="0" borderId="88" xfId="60" applyFont="1" applyBorder="1" applyAlignment="1">
      <alignment horizontal="right" vertical="center"/>
      <protection/>
    </xf>
    <xf numFmtId="0" fontId="18" fillId="0" borderId="0" xfId="60" applyFont="1">
      <alignment/>
      <protection/>
    </xf>
    <xf numFmtId="0" fontId="18" fillId="0" borderId="89" xfId="60" applyFont="1" applyBorder="1">
      <alignment/>
      <protection/>
    </xf>
    <xf numFmtId="0" fontId="18" fillId="0" borderId="90" xfId="60" applyFont="1" applyBorder="1">
      <alignment/>
      <protection/>
    </xf>
    <xf numFmtId="0" fontId="18" fillId="0" borderId="61" xfId="60" applyFont="1" applyBorder="1">
      <alignment/>
      <protection/>
    </xf>
    <xf numFmtId="3" fontId="22" fillId="0" borderId="0" xfId="60" applyNumberFormat="1" applyFont="1">
      <alignment/>
      <protection/>
    </xf>
    <xf numFmtId="0" fontId="18" fillId="0" borderId="0" xfId="0" applyFont="1" applyAlignment="1">
      <alignment horizontal="right"/>
    </xf>
    <xf numFmtId="0" fontId="22" fillId="0" borderId="46" xfId="60" applyFont="1" applyBorder="1">
      <alignment/>
      <protection/>
    </xf>
    <xf numFmtId="3" fontId="56" fillId="0" borderId="0" xfId="60" applyNumberFormat="1" applyFont="1" applyBorder="1">
      <alignment/>
      <protection/>
    </xf>
    <xf numFmtId="3" fontId="56" fillId="0" borderId="75" xfId="60" applyNumberFormat="1" applyFont="1" applyBorder="1">
      <alignment/>
      <protection/>
    </xf>
    <xf numFmtId="0" fontId="18" fillId="0" borderId="0" xfId="0" applyFont="1" applyBorder="1" applyAlignment="1">
      <alignment horizontal="right"/>
    </xf>
    <xf numFmtId="0" fontId="18" fillId="0" borderId="46" xfId="60" applyFont="1" applyBorder="1">
      <alignment/>
      <protection/>
    </xf>
    <xf numFmtId="3" fontId="22" fillId="0" borderId="0" xfId="60" applyNumberFormat="1" applyFont="1" applyBorder="1" applyAlignment="1">
      <alignment/>
      <protection/>
    </xf>
    <xf numFmtId="0" fontId="18" fillId="0" borderId="91" xfId="60" applyFont="1" applyBorder="1">
      <alignment/>
      <protection/>
    </xf>
    <xf numFmtId="0" fontId="18" fillId="0" borderId="32" xfId="60" applyFont="1" applyBorder="1">
      <alignment/>
      <protection/>
    </xf>
    <xf numFmtId="0" fontId="18" fillId="0" borderId="45" xfId="60" applyFont="1" applyBorder="1">
      <alignment/>
      <protection/>
    </xf>
    <xf numFmtId="0" fontId="57" fillId="0" borderId="46" xfId="60" applyFont="1" applyBorder="1">
      <alignment/>
      <protection/>
    </xf>
    <xf numFmtId="0" fontId="23" fillId="0" borderId="59" xfId="60" applyFont="1" applyBorder="1" applyAlignment="1">
      <alignment horizontal="right"/>
      <protection/>
    </xf>
    <xf numFmtId="0" fontId="18" fillId="0" borderId="57" xfId="0" applyFont="1" applyBorder="1" applyAlignment="1">
      <alignment horizontal="right"/>
    </xf>
    <xf numFmtId="3" fontId="19" fillId="0" borderId="83" xfId="60" applyNumberFormat="1" applyFont="1" applyBorder="1" applyAlignment="1">
      <alignment horizontal="right"/>
      <protection/>
    </xf>
    <xf numFmtId="3" fontId="19" fillId="0" borderId="57" xfId="60" applyNumberFormat="1" applyFont="1" applyBorder="1">
      <alignment/>
      <protection/>
    </xf>
    <xf numFmtId="3" fontId="19" fillId="0" borderId="60" xfId="60" applyNumberFormat="1" applyFont="1" applyBorder="1">
      <alignment/>
      <protection/>
    </xf>
    <xf numFmtId="3" fontId="22" fillId="0" borderId="62" xfId="60" applyNumberFormat="1" applyFont="1" applyBorder="1" applyAlignment="1">
      <alignment/>
      <protection/>
    </xf>
    <xf numFmtId="3" fontId="15" fillId="0" borderId="90" xfId="60" applyNumberFormat="1" applyFont="1" applyBorder="1" applyAlignment="1">
      <alignment vertical="center"/>
      <protection/>
    </xf>
    <xf numFmtId="3" fontId="56" fillId="0" borderId="59" xfId="60" applyNumberFormat="1" applyFont="1" applyBorder="1" applyAlignment="1">
      <alignment horizontal="right" vertical="center"/>
      <protection/>
    </xf>
    <xf numFmtId="3" fontId="56" fillId="0" borderId="83" xfId="60" applyNumberFormat="1" applyFont="1" applyBorder="1" applyAlignment="1">
      <alignment horizontal="right" vertical="center"/>
      <protection/>
    </xf>
    <xf numFmtId="3" fontId="56" fillId="0" borderId="92" xfId="60" applyNumberFormat="1" applyFont="1" applyBorder="1">
      <alignment/>
      <protection/>
    </xf>
    <xf numFmtId="3" fontId="56" fillId="0" borderId="59" xfId="60" applyNumberFormat="1" applyFont="1" applyBorder="1">
      <alignment/>
      <protection/>
    </xf>
    <xf numFmtId="3" fontId="56" fillId="0" borderId="83" xfId="60" applyNumberFormat="1" applyFont="1" applyBorder="1">
      <alignment/>
      <protection/>
    </xf>
    <xf numFmtId="3" fontId="56" fillId="0" borderId="60" xfId="60" applyNumberFormat="1" applyFont="1" applyBorder="1" applyAlignment="1">
      <alignment horizontal="right" vertical="center"/>
      <protection/>
    </xf>
    <xf numFmtId="3" fontId="57" fillId="0" borderId="0" xfId="60" applyNumberFormat="1" applyFont="1" applyBorder="1" applyAlignment="1">
      <alignment/>
      <protection/>
    </xf>
    <xf numFmtId="3" fontId="57" fillId="0" borderId="0" xfId="60" applyNumberFormat="1" applyFont="1">
      <alignment/>
      <protection/>
    </xf>
    <xf numFmtId="3" fontId="15" fillId="0" borderId="49" xfId="60" applyNumberFormat="1" applyFont="1" applyBorder="1">
      <alignment/>
      <protection/>
    </xf>
    <xf numFmtId="0" fontId="58" fillId="0" borderId="50" xfId="60" applyFont="1" applyBorder="1">
      <alignment/>
      <protection/>
    </xf>
    <xf numFmtId="0" fontId="58" fillId="0" borderId="32" xfId="60" applyFont="1" applyBorder="1">
      <alignment/>
      <protection/>
    </xf>
    <xf numFmtId="0" fontId="58" fillId="0" borderId="45" xfId="60" applyFont="1" applyBorder="1">
      <alignment/>
      <protection/>
    </xf>
    <xf numFmtId="3" fontId="15" fillId="0" borderId="93" xfId="60" applyNumberFormat="1" applyFont="1" applyBorder="1" applyAlignment="1">
      <alignment vertical="center"/>
      <protection/>
    </xf>
    <xf numFmtId="3" fontId="56" fillId="0" borderId="50" xfId="60" applyNumberFormat="1" applyFont="1" applyBorder="1" applyAlignment="1">
      <alignment horizontal="right" vertical="center"/>
      <protection/>
    </xf>
    <xf numFmtId="3" fontId="56" fillId="0" borderId="48" xfId="60" applyNumberFormat="1" applyFont="1" applyBorder="1" applyAlignment="1">
      <alignment horizontal="right" vertical="center"/>
      <protection/>
    </xf>
    <xf numFmtId="3" fontId="56" fillId="0" borderId="50" xfId="60" applyNumberFormat="1" applyFont="1" applyBorder="1">
      <alignment/>
      <protection/>
    </xf>
    <xf numFmtId="3" fontId="56" fillId="0" borderId="48" xfId="60" applyNumberFormat="1" applyFont="1" applyBorder="1">
      <alignment/>
      <protection/>
    </xf>
    <xf numFmtId="3" fontId="56" fillId="0" borderId="49" xfId="60" applyNumberFormat="1" applyFont="1" applyBorder="1" applyAlignment="1">
      <alignment horizontal="right" vertical="center"/>
      <protection/>
    </xf>
    <xf numFmtId="0" fontId="18" fillId="34" borderId="94" xfId="60" applyFont="1" applyFill="1" applyBorder="1">
      <alignment/>
      <protection/>
    </xf>
    <xf numFmtId="3" fontId="42" fillId="0" borderId="95" xfId="60" applyNumberFormat="1" applyFont="1" applyBorder="1" applyAlignment="1">
      <alignment horizontal="center"/>
      <protection/>
    </xf>
    <xf numFmtId="3" fontId="42" fillId="0" borderId="96" xfId="60" applyNumberFormat="1" applyFont="1" applyBorder="1" applyAlignment="1">
      <alignment horizontal="center"/>
      <protection/>
    </xf>
    <xf numFmtId="3" fontId="42" fillId="0" borderId="97" xfId="60" applyNumberFormat="1" applyFont="1" applyBorder="1">
      <alignment/>
      <protection/>
    </xf>
    <xf numFmtId="0" fontId="22" fillId="0" borderId="98" xfId="60" applyFont="1" applyBorder="1" applyAlignment="1">
      <alignment horizontal="left"/>
      <protection/>
    </xf>
    <xf numFmtId="3" fontId="15" fillId="0" borderId="98" xfId="60" applyNumberFormat="1" applyFont="1" applyBorder="1" applyAlignment="1">
      <alignment horizontal="right" vertical="center"/>
      <protection/>
    </xf>
    <xf numFmtId="0" fontId="18" fillId="0" borderId="98" xfId="60" applyFont="1" applyBorder="1">
      <alignment/>
      <protection/>
    </xf>
    <xf numFmtId="3" fontId="15" fillId="0" borderId="99" xfId="60" applyNumberFormat="1" applyFont="1" applyBorder="1">
      <alignment/>
      <protection/>
    </xf>
    <xf numFmtId="0" fontId="18" fillId="0" borderId="82" xfId="60" applyFont="1" applyBorder="1">
      <alignment/>
      <protection/>
    </xf>
    <xf numFmtId="3" fontId="15" fillId="0" borderId="98" xfId="60" applyNumberFormat="1" applyFont="1" applyBorder="1">
      <alignment/>
      <protection/>
    </xf>
    <xf numFmtId="3" fontId="42" fillId="0" borderId="100" xfId="60" applyNumberFormat="1" applyFont="1" applyBorder="1">
      <alignment/>
      <protection/>
    </xf>
    <xf numFmtId="3" fontId="42" fillId="0" borderId="95" xfId="60" applyNumberFormat="1" applyFont="1" applyBorder="1">
      <alignment/>
      <protection/>
    </xf>
    <xf numFmtId="3" fontId="42" fillId="0" borderId="101" xfId="60" applyNumberFormat="1" applyFont="1" applyBorder="1">
      <alignment/>
      <protection/>
    </xf>
    <xf numFmtId="3" fontId="59" fillId="0" borderId="82" xfId="60" applyNumberFormat="1" applyFont="1" applyBorder="1">
      <alignment/>
      <protection/>
    </xf>
    <xf numFmtId="3" fontId="59" fillId="0" borderId="95" xfId="60" applyNumberFormat="1" applyFont="1" applyBorder="1">
      <alignment/>
      <protection/>
    </xf>
    <xf numFmtId="3" fontId="59" fillId="0" borderId="88" xfId="60" applyNumberFormat="1" applyFont="1" applyBorder="1">
      <alignment/>
      <protection/>
    </xf>
    <xf numFmtId="0" fontId="22" fillId="0" borderId="47" xfId="60" applyFont="1" applyBorder="1">
      <alignment/>
      <protection/>
    </xf>
    <xf numFmtId="0" fontId="19" fillId="0" borderId="0" xfId="60" applyFont="1" applyAlignment="1">
      <alignment horizontal="center"/>
      <protection/>
    </xf>
    <xf numFmtId="0" fontId="19" fillId="0" borderId="0" xfId="60" applyFont="1" applyAlignment="1">
      <alignment horizontal="right"/>
      <protection/>
    </xf>
    <xf numFmtId="0" fontId="14" fillId="0" borderId="0" xfId="60" applyFont="1">
      <alignment/>
      <protection/>
    </xf>
    <xf numFmtId="0" fontId="19" fillId="0" borderId="0" xfId="60" applyFont="1" applyAlignment="1">
      <alignment horizontal="left"/>
      <protection/>
    </xf>
    <xf numFmtId="3" fontId="18" fillId="0" borderId="0" xfId="60" applyNumberFormat="1" applyFont="1">
      <alignment/>
      <protection/>
    </xf>
    <xf numFmtId="0" fontId="22" fillId="0" borderId="0" xfId="60" applyFont="1" applyFill="1" applyBorder="1">
      <alignment/>
      <protection/>
    </xf>
    <xf numFmtId="0" fontId="38" fillId="0" borderId="102" xfId="60" applyFont="1" applyBorder="1">
      <alignment/>
      <protection/>
    </xf>
    <xf numFmtId="3" fontId="18" fillId="0" borderId="102" xfId="60" applyNumberFormat="1" applyFont="1" applyBorder="1">
      <alignment/>
      <protection/>
    </xf>
    <xf numFmtId="0" fontId="18" fillId="0" borderId="102" xfId="60" applyFont="1" applyBorder="1">
      <alignment/>
      <protection/>
    </xf>
    <xf numFmtId="0" fontId="18" fillId="0" borderId="0" xfId="60" applyFont="1" applyAlignment="1">
      <alignment horizontal="right"/>
      <protection/>
    </xf>
    <xf numFmtId="0" fontId="18" fillId="0" borderId="0" xfId="60" applyFont="1" applyAlignment="1">
      <alignment/>
      <protection/>
    </xf>
    <xf numFmtId="0" fontId="18" fillId="0" borderId="0" xfId="0" applyFont="1" applyAlignment="1">
      <alignment horizontal="left"/>
    </xf>
    <xf numFmtId="0" fontId="19" fillId="0" borderId="0" xfId="60" applyFont="1">
      <alignment/>
      <protection/>
    </xf>
    <xf numFmtId="3" fontId="19" fillId="0" borderId="0" xfId="60" applyNumberFormat="1" applyFont="1">
      <alignment/>
      <protection/>
    </xf>
    <xf numFmtId="0" fontId="19" fillId="0" borderId="18" xfId="60" applyFont="1" applyBorder="1" applyAlignment="1">
      <alignment horizontal="center"/>
      <protection/>
    </xf>
    <xf numFmtId="0" fontId="19" fillId="0" borderId="103" xfId="60" applyFont="1" applyBorder="1" applyAlignment="1">
      <alignment horizontal="center"/>
      <protection/>
    </xf>
    <xf numFmtId="0" fontId="19" fillId="0" borderId="48" xfId="60" applyFont="1" applyBorder="1" applyAlignment="1">
      <alignment horizontal="center" vertical="center"/>
      <protection/>
    </xf>
    <xf numFmtId="0" fontId="19" fillId="0" borderId="32" xfId="60" applyFont="1" applyBorder="1" applyAlignment="1">
      <alignment horizontal="center" vertical="center"/>
      <protection/>
    </xf>
    <xf numFmtId="0" fontId="19" fillId="0" borderId="91" xfId="60" applyFont="1" applyBorder="1" applyAlignment="1">
      <alignment horizontal="center" vertical="center"/>
      <protection/>
    </xf>
    <xf numFmtId="0" fontId="19" fillId="0" borderId="18" xfId="60" applyFont="1" applyBorder="1" applyAlignment="1">
      <alignment vertical="center"/>
      <protection/>
    </xf>
    <xf numFmtId="0" fontId="19" fillId="0" borderId="50" xfId="60" applyFont="1" applyBorder="1" applyAlignment="1">
      <alignment horizontal="center" vertical="center"/>
      <protection/>
    </xf>
    <xf numFmtId="0" fontId="19" fillId="0" borderId="103" xfId="60" applyFont="1" applyBorder="1" applyAlignment="1">
      <alignment vertical="center"/>
      <protection/>
    </xf>
    <xf numFmtId="0" fontId="19" fillId="0" borderId="104" xfId="60" applyFont="1" applyBorder="1" applyAlignment="1">
      <alignment horizontal="center" vertical="center"/>
      <protection/>
    </xf>
    <xf numFmtId="0" fontId="19" fillId="0" borderId="103" xfId="60" applyFont="1" applyBorder="1" applyAlignment="1">
      <alignment horizontal="center" vertical="center"/>
      <protection/>
    </xf>
    <xf numFmtId="164" fontId="6" fillId="0" borderId="23" xfId="0" applyNumberFormat="1" applyFont="1" applyFill="1" applyBorder="1" applyAlignment="1">
      <alignment vertical="center"/>
    </xf>
    <xf numFmtId="164" fontId="14" fillId="33" borderId="22" xfId="63" applyNumberFormat="1" applyFont="1" applyFill="1" applyBorder="1" applyAlignment="1">
      <alignment horizontal="right" vertical="center"/>
      <protection/>
    </xf>
    <xf numFmtId="164" fontId="14" fillId="33" borderId="22" xfId="63" applyNumberFormat="1" applyFont="1" applyFill="1" applyBorder="1" applyAlignment="1">
      <alignment horizontal="right" vertical="center" wrapText="1"/>
      <protection/>
    </xf>
    <xf numFmtId="164" fontId="15" fillId="33" borderId="23" xfId="63" applyNumberFormat="1" applyFont="1" applyFill="1" applyBorder="1" applyAlignment="1">
      <alignment horizontal="right" vertical="center" wrapText="1"/>
      <protection/>
    </xf>
    <xf numFmtId="164" fontId="14" fillId="0" borderId="22" xfId="63" applyNumberFormat="1" applyFont="1" applyFill="1" applyBorder="1" applyAlignment="1">
      <alignment horizontal="right" vertical="center"/>
      <protection/>
    </xf>
    <xf numFmtId="164" fontId="14" fillId="0" borderId="22" xfId="63" applyNumberFormat="1" applyFont="1" applyFill="1" applyBorder="1" applyAlignment="1">
      <alignment horizontal="right" vertical="center" wrapText="1"/>
      <protection/>
    </xf>
    <xf numFmtId="164" fontId="15" fillId="0" borderId="23" xfId="63" applyNumberFormat="1" applyFont="1" applyBorder="1" applyAlignment="1">
      <alignment horizontal="right" vertical="center" wrapText="1"/>
      <protection/>
    </xf>
    <xf numFmtId="164" fontId="14" fillId="0" borderId="18" xfId="63" applyNumberFormat="1" applyFont="1" applyFill="1" applyBorder="1" applyAlignment="1">
      <alignment horizontal="right" vertical="center"/>
      <protection/>
    </xf>
    <xf numFmtId="164" fontId="14" fillId="0" borderId="18" xfId="63" applyNumberFormat="1" applyFont="1" applyFill="1" applyBorder="1" applyAlignment="1">
      <alignment horizontal="right" vertical="center" wrapText="1"/>
      <protection/>
    </xf>
    <xf numFmtId="164" fontId="15" fillId="0" borderId="33" xfId="63" applyNumberFormat="1" applyFont="1" applyBorder="1" applyAlignment="1">
      <alignment horizontal="right" vertical="center" wrapText="1"/>
      <protection/>
    </xf>
    <xf numFmtId="0" fontId="18" fillId="0" borderId="0" xfId="0" applyFont="1" applyAlignment="1">
      <alignment vertical="center"/>
    </xf>
    <xf numFmtId="0" fontId="22" fillId="0" borderId="58" xfId="60" applyFont="1" applyBorder="1" applyAlignment="1">
      <alignment horizontal="left" wrapText="1"/>
      <protection/>
    </xf>
    <xf numFmtId="0" fontId="57" fillId="0" borderId="58" xfId="60" applyFont="1" applyBorder="1" applyAlignment="1">
      <alignment horizontal="left" wrapText="1"/>
      <protection/>
    </xf>
    <xf numFmtId="0" fontId="57" fillId="0" borderId="0" xfId="60" applyFont="1" applyBorder="1" applyAlignment="1">
      <alignment horizontal="left" wrapText="1"/>
      <protection/>
    </xf>
    <xf numFmtId="3" fontId="19" fillId="34" borderId="79" xfId="60" applyNumberFormat="1" applyFont="1" applyFill="1" applyBorder="1" applyAlignment="1">
      <alignment horizontal="right"/>
      <protection/>
    </xf>
    <xf numFmtId="3" fontId="19" fillId="34" borderId="94" xfId="60" applyNumberFormat="1" applyFont="1" applyFill="1" applyBorder="1">
      <alignment/>
      <protection/>
    </xf>
    <xf numFmtId="3" fontId="19" fillId="34" borderId="81" xfId="60" applyNumberFormat="1" applyFont="1" applyFill="1" applyBorder="1">
      <alignment/>
      <protection/>
    </xf>
    <xf numFmtId="3" fontId="22" fillId="0" borderId="62" xfId="0" applyNumberFormat="1" applyFont="1" applyBorder="1" applyAlignment="1">
      <alignment/>
    </xf>
    <xf numFmtId="3" fontId="22" fillId="0" borderId="46" xfId="0" applyNumberFormat="1" applyFont="1" applyBorder="1" applyAlignment="1">
      <alignment/>
    </xf>
    <xf numFmtId="0" fontId="22" fillId="34" borderId="78" xfId="60" applyFont="1" applyFill="1" applyBorder="1" applyAlignment="1">
      <alignment horizontal="left"/>
      <protection/>
    </xf>
    <xf numFmtId="3" fontId="15" fillId="34" borderId="76" xfId="60" applyNumberFormat="1" applyFont="1" applyFill="1" applyBorder="1" applyAlignment="1">
      <alignment horizontal="right"/>
      <protection/>
    </xf>
    <xf numFmtId="3" fontId="15" fillId="34" borderId="105" xfId="60" applyNumberFormat="1" applyFont="1" applyFill="1" applyBorder="1" applyAlignment="1">
      <alignment horizontal="right"/>
      <protection/>
    </xf>
    <xf numFmtId="3" fontId="56" fillId="34" borderId="94" xfId="60" applyNumberFormat="1" applyFont="1" applyFill="1" applyBorder="1" applyAlignment="1">
      <alignment horizontal="right"/>
      <protection/>
    </xf>
    <xf numFmtId="3" fontId="56" fillId="34" borderId="81" xfId="60" applyNumberFormat="1" applyFont="1" applyFill="1" applyBorder="1" applyAlignment="1">
      <alignment horizontal="right" vertical="center"/>
      <protection/>
    </xf>
    <xf numFmtId="0" fontId="18" fillId="0" borderId="54" xfId="0" applyFont="1" applyBorder="1" applyAlignment="1">
      <alignment horizontal="right"/>
    </xf>
    <xf numFmtId="3" fontId="19" fillId="34" borderId="79" xfId="60" applyNumberFormat="1" applyFont="1" applyFill="1" applyBorder="1" applyAlignment="1">
      <alignment vertical="center"/>
      <protection/>
    </xf>
    <xf numFmtId="3" fontId="19" fillId="34" borderId="106" xfId="60" applyNumberFormat="1" applyFont="1" applyFill="1" applyBorder="1" applyAlignment="1">
      <alignment vertical="center"/>
      <protection/>
    </xf>
    <xf numFmtId="3" fontId="19" fillId="34" borderId="107" xfId="60" applyNumberFormat="1" applyFont="1" applyFill="1" applyBorder="1" applyAlignment="1">
      <alignment vertical="center"/>
      <protection/>
    </xf>
    <xf numFmtId="0" fontId="22" fillId="34" borderId="0" xfId="60" applyFont="1" applyFill="1" applyBorder="1" applyAlignment="1">
      <alignment horizontal="left" vertical="center" wrapText="1"/>
      <protection/>
    </xf>
    <xf numFmtId="3" fontId="15" fillId="34" borderId="89" xfId="60" applyNumberFormat="1" applyFont="1" applyFill="1" applyBorder="1" applyAlignment="1">
      <alignment vertical="center"/>
      <protection/>
    </xf>
    <xf numFmtId="0" fontId="18" fillId="34" borderId="77" xfId="60" applyFont="1" applyFill="1" applyBorder="1" applyAlignment="1">
      <alignment vertical="center"/>
      <protection/>
    </xf>
    <xf numFmtId="3" fontId="15" fillId="34" borderId="76" xfId="60" applyNumberFormat="1" applyFont="1" applyFill="1" applyBorder="1" applyAlignment="1">
      <alignment vertical="center"/>
      <protection/>
    </xf>
    <xf numFmtId="0" fontId="18" fillId="34" borderId="94" xfId="60" applyFont="1" applyFill="1" applyBorder="1" applyAlignment="1">
      <alignment vertical="center"/>
      <protection/>
    </xf>
    <xf numFmtId="3" fontId="15" fillId="34" borderId="86" xfId="60" applyNumberFormat="1" applyFont="1" applyFill="1" applyBorder="1" applyAlignment="1">
      <alignment vertical="center"/>
      <protection/>
    </xf>
    <xf numFmtId="3" fontId="56" fillId="34" borderId="108" xfId="60" applyNumberFormat="1" applyFont="1" applyFill="1" applyBorder="1" applyAlignment="1">
      <alignment vertical="center"/>
      <protection/>
    </xf>
    <xf numFmtId="3" fontId="56" fillId="34" borderId="95" xfId="60" applyNumberFormat="1" applyFont="1" applyFill="1" applyBorder="1" applyAlignment="1">
      <alignment vertical="center"/>
      <protection/>
    </xf>
    <xf numFmtId="3" fontId="56" fillId="34" borderId="88" xfId="60" applyNumberFormat="1" applyFont="1" applyFill="1" applyBorder="1" applyAlignment="1">
      <alignment vertical="center"/>
      <protection/>
    </xf>
    <xf numFmtId="3" fontId="56" fillId="34" borderId="109" xfId="60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vertical="center"/>
    </xf>
    <xf numFmtId="3" fontId="22" fillId="0" borderId="0" xfId="60" applyNumberFormat="1" applyFont="1" applyBorder="1" applyAlignment="1">
      <alignment horizontal="right" vertical="center"/>
      <protection/>
    </xf>
    <xf numFmtId="3" fontId="22" fillId="0" borderId="46" xfId="60" applyNumberFormat="1" applyFont="1" applyBorder="1" applyAlignment="1">
      <alignment/>
      <protection/>
    </xf>
    <xf numFmtId="3" fontId="22" fillId="0" borderId="46" xfId="60" applyNumberFormat="1" applyFont="1" applyBorder="1" applyAlignment="1">
      <alignment vertical="center"/>
      <protection/>
    </xf>
    <xf numFmtId="3" fontId="22" fillId="0" borderId="110" xfId="60" applyNumberFormat="1" applyFont="1" applyBorder="1">
      <alignment/>
      <protection/>
    </xf>
    <xf numFmtId="3" fontId="22" fillId="0" borderId="111" xfId="60" applyNumberFormat="1" applyFont="1" applyBorder="1">
      <alignment/>
      <protection/>
    </xf>
    <xf numFmtId="3" fontId="22" fillId="0" borderId="45" xfId="60" applyNumberFormat="1" applyFont="1" applyFill="1" applyBorder="1" applyAlignment="1">
      <alignment vertical="center"/>
      <protection/>
    </xf>
    <xf numFmtId="3" fontId="22" fillId="0" borderId="62" xfId="60" applyNumberFormat="1" applyFont="1" applyBorder="1" applyAlignment="1">
      <alignment vertical="center"/>
      <protection/>
    </xf>
    <xf numFmtId="3" fontId="22" fillId="0" borderId="46" xfId="60" applyNumberFormat="1" applyFont="1" applyFill="1" applyBorder="1" applyAlignment="1">
      <alignment vertical="center"/>
      <protection/>
    </xf>
    <xf numFmtId="3" fontId="22" fillId="0" borderId="0" xfId="60" applyNumberFormat="1" applyFont="1" applyBorder="1" applyAlignment="1">
      <alignment vertical="center"/>
      <protection/>
    </xf>
    <xf numFmtId="3" fontId="22" fillId="0" borderId="62" xfId="60" applyNumberFormat="1" applyFont="1" applyFill="1" applyBorder="1" applyAlignment="1">
      <alignment vertical="center"/>
      <protection/>
    </xf>
    <xf numFmtId="0" fontId="41" fillId="0" borderId="0" xfId="61" applyFont="1" applyFill="1" applyAlignment="1">
      <alignment vertical="center" wrapText="1"/>
      <protection/>
    </xf>
    <xf numFmtId="0" fontId="41" fillId="0" borderId="69" xfId="61" applyFont="1" applyFill="1" applyBorder="1" applyAlignment="1">
      <alignment vertical="center" wrapText="1"/>
      <protection/>
    </xf>
    <xf numFmtId="0" fontId="18" fillId="0" borderId="71" xfId="60" applyFont="1" applyBorder="1" applyAlignment="1">
      <alignment horizontal="right"/>
      <protection/>
    </xf>
    <xf numFmtId="0" fontId="18" fillId="0" borderId="65" xfId="60" applyFont="1" applyBorder="1" applyAlignment="1">
      <alignment horizontal="right"/>
      <protection/>
    </xf>
    <xf numFmtId="0" fontId="23" fillId="0" borderId="71" xfId="60" applyFont="1" applyBorder="1" applyAlignment="1">
      <alignment horizontal="right"/>
      <protection/>
    </xf>
    <xf numFmtId="3" fontId="22" fillId="0" borderId="110" xfId="0" applyNumberFormat="1" applyFont="1" applyBorder="1" applyAlignment="1">
      <alignment/>
    </xf>
    <xf numFmtId="3" fontId="23" fillId="0" borderId="112" xfId="61" applyNumberFormat="1" applyFont="1" applyFill="1" applyBorder="1" applyAlignment="1">
      <alignment horizontal="right" vertical="center"/>
      <protection/>
    </xf>
    <xf numFmtId="3" fontId="23" fillId="0" borderId="103" xfId="61" applyNumberFormat="1" applyFont="1" applyFill="1" applyBorder="1" applyAlignment="1">
      <alignment horizontal="right" vertical="center"/>
      <protection/>
    </xf>
    <xf numFmtId="3" fontId="22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38" fillId="0" borderId="0" xfId="0" applyFont="1" applyFill="1" applyAlignment="1">
      <alignment vertical="center"/>
    </xf>
    <xf numFmtId="49" fontId="38" fillId="0" borderId="0" xfId="0" applyNumberFormat="1" applyFont="1" applyFill="1" applyAlignment="1">
      <alignment vertical="center"/>
    </xf>
    <xf numFmtId="49" fontId="38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38" fillId="0" borderId="102" xfId="0" applyFont="1" applyFill="1" applyBorder="1" applyAlignment="1">
      <alignment horizontal="center" vertical="center" wrapText="1"/>
    </xf>
    <xf numFmtId="49" fontId="38" fillId="0" borderId="102" xfId="0" applyNumberFormat="1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3" fontId="39" fillId="0" borderId="37" xfId="0" applyNumberFormat="1" applyFont="1" applyFill="1" applyBorder="1" applyAlignment="1">
      <alignment horizontal="center" vertical="center"/>
    </xf>
    <xf numFmtId="0" fontId="39" fillId="0" borderId="113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49" fontId="38" fillId="0" borderId="36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vertical="center" wrapText="1"/>
    </xf>
    <xf numFmtId="3" fontId="54" fillId="0" borderId="24" xfId="0" applyNumberFormat="1" applyFont="1" applyFill="1" applyBorder="1" applyAlignment="1">
      <alignment vertical="center"/>
    </xf>
    <xf numFmtId="3" fontId="39" fillId="0" borderId="38" xfId="0" applyNumberFormat="1" applyFont="1" applyFill="1" applyBorder="1" applyAlignment="1">
      <alignment vertical="center"/>
    </xf>
    <xf numFmtId="3" fontId="39" fillId="0" borderId="37" xfId="0" applyNumberFormat="1" applyFont="1" applyFill="1" applyBorder="1" applyAlignment="1">
      <alignment vertical="center"/>
    </xf>
    <xf numFmtId="3" fontId="39" fillId="0" borderId="22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49" fontId="38" fillId="0" borderId="21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 wrapText="1"/>
    </xf>
    <xf numFmtId="3" fontId="54" fillId="0" borderId="11" xfId="0" applyNumberFormat="1" applyFont="1" applyFill="1" applyBorder="1" applyAlignment="1">
      <alignment vertical="center"/>
    </xf>
    <xf numFmtId="3" fontId="39" fillId="0" borderId="17" xfId="0" applyNumberFormat="1" applyFont="1" applyFill="1" applyBorder="1" applyAlignment="1">
      <alignment vertical="center"/>
    </xf>
    <xf numFmtId="3" fontId="54" fillId="0" borderId="16" xfId="0" applyNumberFormat="1" applyFont="1" applyFill="1" applyBorder="1" applyAlignment="1">
      <alignment vertical="center"/>
    </xf>
    <xf numFmtId="3" fontId="38" fillId="0" borderId="0" xfId="0" applyNumberFormat="1" applyFont="1" applyFill="1" applyAlignment="1">
      <alignment vertical="center"/>
    </xf>
    <xf numFmtId="3" fontId="54" fillId="0" borderId="22" xfId="0" applyNumberFormat="1" applyFont="1" applyFill="1" applyBorder="1" applyAlignment="1">
      <alignment vertical="center"/>
    </xf>
    <xf numFmtId="3" fontId="54" fillId="0" borderId="22" xfId="0" applyNumberFormat="1" applyFont="1" applyFill="1" applyBorder="1" applyAlignment="1">
      <alignment horizontal="right" vertical="center" wrapText="1"/>
    </xf>
    <xf numFmtId="0" fontId="20" fillId="0" borderId="22" xfId="0" applyFont="1" applyFill="1" applyBorder="1" applyAlignment="1">
      <alignment horizontal="left" vertical="center" wrapText="1"/>
    </xf>
    <xf numFmtId="3" fontId="39" fillId="0" borderId="22" xfId="0" applyNumberFormat="1" applyFont="1" applyFill="1" applyBorder="1" applyAlignment="1">
      <alignment horizontal="right" vertical="center"/>
    </xf>
    <xf numFmtId="49" fontId="38" fillId="0" borderId="114" xfId="0" applyNumberFormat="1" applyFont="1" applyFill="1" applyBorder="1" applyAlignment="1">
      <alignment horizontal="center" vertical="center"/>
    </xf>
    <xf numFmtId="3" fontId="39" fillId="0" borderId="43" xfId="0" applyNumberFormat="1" applyFont="1" applyFill="1" applyBorder="1" applyAlignment="1">
      <alignment vertical="center"/>
    </xf>
    <xf numFmtId="3" fontId="54" fillId="0" borderId="15" xfId="0" applyNumberFormat="1" applyFont="1" applyFill="1" applyBorder="1" applyAlignment="1">
      <alignment vertical="center"/>
    </xf>
    <xf numFmtId="3" fontId="39" fillId="0" borderId="25" xfId="0" applyNumberFormat="1" applyFont="1" applyFill="1" applyBorder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20" fillId="0" borderId="43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49" fontId="19" fillId="0" borderId="28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3" fontId="62" fillId="0" borderId="33" xfId="0" applyNumberFormat="1" applyFont="1" applyFill="1" applyBorder="1" applyAlignment="1">
      <alignment vertical="center"/>
    </xf>
    <xf numFmtId="3" fontId="19" fillId="0" borderId="2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54" fillId="0" borderId="0" xfId="0" applyNumberFormat="1" applyFont="1" applyFill="1" applyAlignment="1">
      <alignment vertical="center"/>
    </xf>
    <xf numFmtId="0" fontId="18" fillId="0" borderId="0" xfId="62" applyFont="1" applyAlignment="1">
      <alignment/>
      <protection/>
    </xf>
    <xf numFmtId="0" fontId="16" fillId="0" borderId="0" xfId="62" applyFont="1" applyAlignment="1">
      <alignment/>
      <protection/>
    </xf>
    <xf numFmtId="0" fontId="12" fillId="0" borderId="36" xfId="0" applyFont="1" applyFill="1" applyBorder="1" applyAlignment="1">
      <alignment horizontal="center" vertical="center"/>
    </xf>
    <xf numFmtId="4" fontId="21" fillId="0" borderId="21" xfId="62" applyNumberFormat="1" applyFont="1" applyBorder="1" applyAlignment="1">
      <alignment vertical="center"/>
      <protection/>
    </xf>
    <xf numFmtId="3" fontId="21" fillId="0" borderId="22" xfId="62" applyNumberFormat="1" applyFont="1" applyBorder="1" applyAlignment="1">
      <alignment vertical="center"/>
      <protection/>
    </xf>
    <xf numFmtId="3" fontId="21" fillId="0" borderId="23" xfId="62" applyNumberFormat="1" applyFont="1" applyBorder="1" applyAlignment="1">
      <alignment vertical="center"/>
      <protection/>
    </xf>
    <xf numFmtId="3" fontId="21" fillId="0" borderId="21" xfId="62" applyNumberFormat="1" applyFont="1" applyBorder="1" applyAlignment="1">
      <alignment vertical="center"/>
      <protection/>
    </xf>
    <xf numFmtId="3" fontId="21" fillId="0" borderId="17" xfId="62" applyNumberFormat="1" applyFont="1" applyBorder="1" applyAlignment="1">
      <alignment vertical="center"/>
      <protection/>
    </xf>
    <xf numFmtId="3" fontId="21" fillId="0" borderId="30" xfId="62" applyNumberFormat="1" applyFont="1" applyBorder="1" applyAlignment="1">
      <alignment vertical="center"/>
      <protection/>
    </xf>
    <xf numFmtId="3" fontId="13" fillId="0" borderId="21" xfId="62" applyNumberFormat="1" applyBorder="1" applyAlignment="1">
      <alignment vertical="center"/>
      <protection/>
    </xf>
    <xf numFmtId="3" fontId="13" fillId="0" borderId="22" xfId="62" applyNumberFormat="1" applyBorder="1" applyAlignment="1">
      <alignment vertical="center"/>
      <protection/>
    </xf>
    <xf numFmtId="3" fontId="13" fillId="0" borderId="23" xfId="62" applyNumberFormat="1" applyBorder="1" applyAlignment="1">
      <alignment vertical="center"/>
      <protection/>
    </xf>
    <xf numFmtId="3" fontId="13" fillId="0" borderId="17" xfId="62" applyNumberFormat="1" applyBorder="1" applyAlignment="1">
      <alignment vertical="center"/>
      <protection/>
    </xf>
    <xf numFmtId="3" fontId="13" fillId="0" borderId="30" xfId="62" applyNumberFormat="1" applyBorder="1" applyAlignment="1">
      <alignment vertical="center"/>
      <protection/>
    </xf>
    <xf numFmtId="3" fontId="13" fillId="32" borderId="21" xfId="62" applyNumberFormat="1" applyFill="1" applyBorder="1" applyAlignment="1">
      <alignment vertical="center"/>
      <protection/>
    </xf>
    <xf numFmtId="3" fontId="13" fillId="32" borderId="22" xfId="62" applyNumberFormat="1" applyFill="1" applyBorder="1" applyAlignment="1">
      <alignment vertical="center"/>
      <protection/>
    </xf>
    <xf numFmtId="3" fontId="13" fillId="32" borderId="17" xfId="62" applyNumberFormat="1" applyFill="1" applyBorder="1" applyAlignment="1">
      <alignment vertical="center"/>
      <protection/>
    </xf>
    <xf numFmtId="169" fontId="13" fillId="0" borderId="21" xfId="62" applyNumberFormat="1" applyBorder="1" applyAlignment="1">
      <alignment vertical="center"/>
      <protection/>
    </xf>
    <xf numFmtId="169" fontId="13" fillId="0" borderId="17" xfId="62" applyNumberFormat="1" applyBorder="1" applyAlignment="1">
      <alignment vertical="center"/>
      <protection/>
    </xf>
    <xf numFmtId="3" fontId="21" fillId="0" borderId="21" xfId="62" applyNumberFormat="1" applyFont="1" applyFill="1" applyBorder="1" applyAlignment="1">
      <alignment vertical="center"/>
      <protection/>
    </xf>
    <xf numFmtId="3" fontId="21" fillId="0" borderId="22" xfId="62" applyNumberFormat="1" applyFont="1" applyFill="1" applyBorder="1" applyAlignment="1">
      <alignment vertical="center"/>
      <protection/>
    </xf>
    <xf numFmtId="169" fontId="21" fillId="0" borderId="21" xfId="62" applyNumberFormat="1" applyFont="1" applyBorder="1" applyAlignment="1">
      <alignment vertical="center"/>
      <protection/>
    </xf>
    <xf numFmtId="169" fontId="21" fillId="0" borderId="17" xfId="62" applyNumberFormat="1" applyFont="1" applyBorder="1" applyAlignment="1">
      <alignment vertical="center"/>
      <protection/>
    </xf>
    <xf numFmtId="3" fontId="21" fillId="0" borderId="21" xfId="62" applyNumberFormat="1" applyFont="1" applyFill="1" applyBorder="1" applyAlignment="1">
      <alignment horizontal="center" vertical="center"/>
      <protection/>
    </xf>
    <xf numFmtId="3" fontId="21" fillId="0" borderId="22" xfId="62" applyNumberFormat="1" applyFont="1" applyFill="1" applyBorder="1" applyAlignment="1">
      <alignment horizontal="center" vertical="center"/>
      <protection/>
    </xf>
    <xf numFmtId="4" fontId="21" fillId="32" borderId="21" xfId="62" applyNumberFormat="1" applyFont="1" applyFill="1" applyBorder="1" applyAlignment="1">
      <alignment vertical="center"/>
      <protection/>
    </xf>
    <xf numFmtId="4" fontId="21" fillId="32" borderId="17" xfId="62" applyNumberFormat="1" applyFont="1" applyFill="1" applyBorder="1" applyAlignment="1">
      <alignment vertical="center"/>
      <protection/>
    </xf>
    <xf numFmtId="2" fontId="13" fillId="0" borderId="21" xfId="62" applyNumberFormat="1" applyBorder="1" applyAlignment="1">
      <alignment vertical="center"/>
      <protection/>
    </xf>
    <xf numFmtId="2" fontId="13" fillId="0" borderId="17" xfId="62" applyNumberFormat="1" applyBorder="1" applyAlignment="1">
      <alignment vertical="center"/>
      <protection/>
    </xf>
    <xf numFmtId="4" fontId="13" fillId="0" borderId="21" xfId="62" applyNumberFormat="1" applyBorder="1" applyAlignment="1">
      <alignment vertical="center"/>
      <protection/>
    </xf>
    <xf numFmtId="3" fontId="13" fillId="0" borderId="22" xfId="62" applyNumberFormat="1" applyFill="1" applyBorder="1" applyAlignment="1">
      <alignment vertical="center"/>
      <protection/>
    </xf>
    <xf numFmtId="3" fontId="13" fillId="0" borderId="30" xfId="62" applyNumberFormat="1" applyFont="1" applyBorder="1" applyAlignment="1">
      <alignment vertical="center"/>
      <protection/>
    </xf>
    <xf numFmtId="4" fontId="13" fillId="0" borderId="21" xfId="62" applyNumberFormat="1" applyFill="1" applyBorder="1" applyAlignment="1">
      <alignment vertical="center"/>
      <protection/>
    </xf>
    <xf numFmtId="3" fontId="13" fillId="0" borderId="17" xfId="62" applyNumberFormat="1" applyFill="1" applyBorder="1" applyAlignment="1">
      <alignment vertical="center"/>
      <protection/>
    </xf>
    <xf numFmtId="3" fontId="2" fillId="32" borderId="21" xfId="62" applyNumberFormat="1" applyFont="1" applyFill="1" applyBorder="1" applyAlignment="1">
      <alignment horizontal="center" vertical="center"/>
      <protection/>
    </xf>
    <xf numFmtId="3" fontId="2" fillId="32" borderId="22" xfId="62" applyNumberFormat="1" applyFont="1" applyFill="1" applyBorder="1" applyAlignment="1">
      <alignment horizontal="center" vertical="center"/>
      <protection/>
    </xf>
    <xf numFmtId="3" fontId="1" fillId="32" borderId="23" xfId="62" applyNumberFormat="1" applyFont="1" applyFill="1" applyBorder="1" applyAlignment="1">
      <alignment vertical="center"/>
      <protection/>
    </xf>
    <xf numFmtId="3" fontId="2" fillId="32" borderId="17" xfId="62" applyNumberFormat="1" applyFont="1" applyFill="1" applyBorder="1" applyAlignment="1">
      <alignment horizontal="center" vertical="center"/>
      <protection/>
    </xf>
    <xf numFmtId="3" fontId="21" fillId="32" borderId="30" xfId="62" applyNumberFormat="1" applyFont="1" applyFill="1" applyBorder="1" applyAlignment="1">
      <alignment vertical="center"/>
      <protection/>
    </xf>
    <xf numFmtId="0" fontId="13" fillId="0" borderId="0" xfId="62" applyAlignment="1">
      <alignment vertical="center"/>
      <protection/>
    </xf>
    <xf numFmtId="3" fontId="36" fillId="32" borderId="21" xfId="62" applyNumberFormat="1" applyFont="1" applyFill="1" applyBorder="1" applyAlignment="1">
      <alignment horizontal="center" vertical="center"/>
      <protection/>
    </xf>
    <xf numFmtId="3" fontId="36" fillId="32" borderId="22" xfId="62" applyNumberFormat="1" applyFont="1" applyFill="1" applyBorder="1" applyAlignment="1">
      <alignment horizontal="center" vertical="center"/>
      <protection/>
    </xf>
    <xf numFmtId="3" fontId="36" fillId="32" borderId="23" xfId="62" applyNumberFormat="1" applyFont="1" applyFill="1" applyBorder="1" applyAlignment="1">
      <alignment vertical="center"/>
      <protection/>
    </xf>
    <xf numFmtId="3" fontId="36" fillId="32" borderId="17" xfId="62" applyNumberFormat="1" applyFont="1" applyFill="1" applyBorder="1" applyAlignment="1">
      <alignment horizontal="center" vertical="center"/>
      <protection/>
    </xf>
    <xf numFmtId="0" fontId="43" fillId="0" borderId="19" xfId="0" applyFont="1" applyFill="1" applyBorder="1" applyAlignment="1">
      <alignment horizontal="center" vertical="center" wrapText="1"/>
    </xf>
    <xf numFmtId="0" fontId="23" fillId="0" borderId="58" xfId="60" applyFont="1" applyBorder="1" applyAlignment="1">
      <alignment horizontal="right"/>
      <protection/>
    </xf>
    <xf numFmtId="0" fontId="22" fillId="0" borderId="59" xfId="60" applyFont="1" applyBorder="1" applyAlignment="1">
      <alignment horizontal="left"/>
      <protection/>
    </xf>
    <xf numFmtId="0" fontId="22" fillId="0" borderId="57" xfId="60" applyFont="1" applyBorder="1" applyAlignment="1">
      <alignment horizontal="left"/>
      <protection/>
    </xf>
    <xf numFmtId="0" fontId="22" fillId="0" borderId="0" xfId="60" applyFont="1" applyBorder="1" applyAlignment="1">
      <alignment horizontal="left" wrapText="1"/>
      <protection/>
    </xf>
    <xf numFmtId="3" fontId="20" fillId="0" borderId="22" xfId="0" applyNumberFormat="1" applyFont="1" applyFill="1" applyBorder="1" applyAlignment="1">
      <alignment vertical="center"/>
    </xf>
    <xf numFmtId="3" fontId="39" fillId="0" borderId="114" xfId="61" applyNumberFormat="1" applyFont="1" applyFill="1" applyBorder="1" applyAlignment="1">
      <alignment vertical="center"/>
      <protection/>
    </xf>
    <xf numFmtId="3" fontId="39" fillId="0" borderId="43" xfId="61" applyNumberFormat="1" applyFont="1" applyFill="1" applyBorder="1" applyAlignment="1">
      <alignment vertical="center"/>
      <protection/>
    </xf>
    <xf numFmtId="3" fontId="39" fillId="0" borderId="25" xfId="61" applyNumberFormat="1" applyFont="1" applyFill="1" applyBorder="1" applyAlignment="1">
      <alignment vertical="center"/>
      <protection/>
    </xf>
    <xf numFmtId="3" fontId="55" fillId="0" borderId="43" xfId="61" applyNumberFormat="1" applyFont="1" applyFill="1" applyBorder="1" applyAlignment="1">
      <alignment vertical="center"/>
      <protection/>
    </xf>
    <xf numFmtId="3" fontId="38" fillId="0" borderId="25" xfId="61" applyNumberFormat="1" applyFont="1" applyFill="1" applyBorder="1" applyAlignment="1">
      <alignment vertical="center"/>
      <protection/>
    </xf>
    <xf numFmtId="3" fontId="23" fillId="0" borderId="115" xfId="61" applyNumberFormat="1" applyFont="1" applyFill="1" applyBorder="1" applyAlignment="1">
      <alignment vertical="center"/>
      <protection/>
    </xf>
    <xf numFmtId="3" fontId="23" fillId="0" borderId="116" xfId="61" applyNumberFormat="1" applyFont="1" applyFill="1" applyBorder="1" applyAlignment="1">
      <alignment vertical="center"/>
      <protection/>
    </xf>
    <xf numFmtId="3" fontId="20" fillId="0" borderId="18" xfId="0" applyNumberFormat="1" applyFont="1" applyFill="1" applyBorder="1" applyAlignment="1">
      <alignment vertical="center"/>
    </xf>
    <xf numFmtId="3" fontId="20" fillId="0" borderId="33" xfId="0" applyNumberFormat="1" applyFont="1" applyFill="1" applyBorder="1" applyAlignment="1">
      <alignment vertical="center"/>
    </xf>
    <xf numFmtId="3" fontId="18" fillId="0" borderId="22" xfId="59" applyNumberFormat="1" applyFont="1" applyBorder="1">
      <alignment/>
      <protection/>
    </xf>
    <xf numFmtId="3" fontId="57" fillId="0" borderId="45" xfId="60" applyNumberFormat="1" applyFont="1" applyBorder="1">
      <alignment/>
      <protection/>
    </xf>
    <xf numFmtId="3" fontId="22" fillId="0" borderId="45" xfId="60" applyNumberFormat="1" applyFont="1" applyBorder="1" applyAlignment="1">
      <alignment vertical="center"/>
      <protection/>
    </xf>
    <xf numFmtId="3" fontId="22" fillId="0" borderId="45" xfId="60" applyNumberFormat="1" applyFont="1" applyFill="1" applyBorder="1" applyAlignment="1">
      <alignment horizontal="right" vertical="center"/>
      <protection/>
    </xf>
    <xf numFmtId="0" fontId="6" fillId="0" borderId="17" xfId="0" applyFont="1" applyFill="1" applyBorder="1" applyAlignment="1">
      <alignment vertical="center" wrapText="1"/>
    </xf>
    <xf numFmtId="0" fontId="12" fillId="0" borderId="114" xfId="0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49" fontId="13" fillId="0" borderId="22" xfId="62" applyNumberFormat="1" applyBorder="1">
      <alignment/>
      <protection/>
    </xf>
    <xf numFmtId="0" fontId="13" fillId="0" borderId="22" xfId="62" applyBorder="1">
      <alignment/>
      <protection/>
    </xf>
    <xf numFmtId="0" fontId="13" fillId="0" borderId="22" xfId="62" applyBorder="1" applyAlignment="1">
      <alignment vertical="center"/>
      <protection/>
    </xf>
    <xf numFmtId="0" fontId="13" fillId="0" borderId="14" xfId="62" applyBorder="1">
      <alignment/>
      <protection/>
    </xf>
    <xf numFmtId="0" fontId="13" fillId="0" borderId="17" xfId="62" applyBorder="1" applyAlignment="1">
      <alignment vertical="center"/>
      <protection/>
    </xf>
    <xf numFmtId="0" fontId="13" fillId="0" borderId="21" xfId="62" applyBorder="1" applyAlignment="1">
      <alignment vertical="center"/>
      <protection/>
    </xf>
    <xf numFmtId="0" fontId="13" fillId="0" borderId="14" xfId="62" applyBorder="1" applyAlignment="1">
      <alignment vertical="center"/>
      <protection/>
    </xf>
    <xf numFmtId="3" fontId="2" fillId="32" borderId="14" xfId="62" applyNumberFormat="1" applyFont="1" applyFill="1" applyBorder="1" applyAlignment="1">
      <alignment horizontal="center" vertical="center"/>
      <protection/>
    </xf>
    <xf numFmtId="3" fontId="1" fillId="32" borderId="30" xfId="62" applyNumberFormat="1" applyFont="1" applyFill="1" applyBorder="1" applyAlignment="1">
      <alignment vertical="center"/>
      <protection/>
    </xf>
    <xf numFmtId="3" fontId="39" fillId="0" borderId="39" xfId="61" applyNumberFormat="1" applyFont="1" applyFill="1" applyBorder="1" applyAlignment="1">
      <alignment horizontal="left" vertical="center" wrapText="1"/>
      <protection/>
    </xf>
    <xf numFmtId="3" fontId="39" fillId="0" borderId="39" xfId="61" applyNumberFormat="1" applyFont="1" applyFill="1" applyBorder="1" applyAlignment="1">
      <alignment vertical="center"/>
      <protection/>
    </xf>
    <xf numFmtId="49" fontId="38" fillId="0" borderId="28" xfId="61" applyNumberFormat="1" applyFont="1" applyFill="1" applyBorder="1" applyAlignment="1">
      <alignment horizontal="center" vertical="center"/>
      <protection/>
    </xf>
    <xf numFmtId="0" fontId="18" fillId="0" borderId="75" xfId="60" applyFont="1" applyBorder="1">
      <alignment/>
      <protection/>
    </xf>
    <xf numFmtId="3" fontId="22" fillId="0" borderId="69" xfId="60" applyNumberFormat="1" applyFont="1" applyBorder="1">
      <alignment/>
      <protection/>
    </xf>
    <xf numFmtId="3" fontId="22" fillId="0" borderId="62" xfId="60" applyNumberFormat="1" applyFont="1" applyFill="1" applyBorder="1">
      <alignment/>
      <protection/>
    </xf>
    <xf numFmtId="3" fontId="22" fillId="0" borderId="62" xfId="60" applyNumberFormat="1" applyFont="1" applyFill="1" applyBorder="1" applyAlignment="1">
      <alignment horizontal="right" vertical="center"/>
      <protection/>
    </xf>
    <xf numFmtId="0" fontId="6" fillId="0" borderId="43" xfId="0" applyFont="1" applyFill="1" applyBorder="1" applyAlignment="1">
      <alignment vertical="center" wrapText="1"/>
    </xf>
    <xf numFmtId="3" fontId="15" fillId="0" borderId="89" xfId="60" applyNumberFormat="1" applyFont="1" applyBorder="1" applyAlignment="1">
      <alignment horizontal="right" vertical="center"/>
      <protection/>
    </xf>
    <xf numFmtId="0" fontId="22" fillId="0" borderId="58" xfId="60" applyFont="1" applyBorder="1" applyAlignment="1">
      <alignment horizontal="left" vertical="center" wrapText="1"/>
      <protection/>
    </xf>
    <xf numFmtId="0" fontId="22" fillId="0" borderId="0" xfId="60" applyFont="1" applyBorder="1" applyAlignment="1">
      <alignment horizontal="left" vertical="center" wrapText="1"/>
      <protection/>
    </xf>
    <xf numFmtId="3" fontId="39" fillId="0" borderId="25" xfId="61" applyNumberFormat="1" applyFont="1" applyFill="1" applyBorder="1" applyAlignment="1">
      <alignment vertical="center" wrapText="1"/>
      <protection/>
    </xf>
    <xf numFmtId="49" fontId="38" fillId="0" borderId="114" xfId="61" applyNumberFormat="1" applyFont="1" applyFill="1" applyBorder="1" applyAlignment="1">
      <alignment horizontal="center" vertical="center"/>
      <protection/>
    </xf>
    <xf numFmtId="3" fontId="22" fillId="0" borderId="46" xfId="60" applyNumberFormat="1" applyFont="1" applyFill="1" applyBorder="1" applyAlignment="1">
      <alignment horizontal="right" vertical="center"/>
      <protection/>
    </xf>
    <xf numFmtId="0" fontId="22" fillId="0" borderId="57" xfId="60" applyFont="1" applyBorder="1">
      <alignment/>
      <protection/>
    </xf>
    <xf numFmtId="3" fontId="22" fillId="0" borderId="32" xfId="60" applyNumberFormat="1" applyFont="1" applyBorder="1">
      <alignment/>
      <protection/>
    </xf>
    <xf numFmtId="0" fontId="19" fillId="33" borderId="57" xfId="0" applyFont="1" applyFill="1" applyBorder="1" applyAlignment="1">
      <alignment vertical="center"/>
    </xf>
    <xf numFmtId="49" fontId="38" fillId="33" borderId="2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2" fontId="21" fillId="0" borderId="21" xfId="62" applyNumberFormat="1" applyFont="1" applyBorder="1" applyAlignment="1">
      <alignment vertical="center"/>
      <protection/>
    </xf>
    <xf numFmtId="2" fontId="21" fillId="0" borderId="17" xfId="62" applyNumberFormat="1" applyFont="1" applyBorder="1" applyAlignment="1">
      <alignment vertical="center"/>
      <protection/>
    </xf>
    <xf numFmtId="49" fontId="21" fillId="0" borderId="22" xfId="62" applyNumberFormat="1" applyFont="1" applyBorder="1">
      <alignment/>
      <protection/>
    </xf>
    <xf numFmtId="0" fontId="4" fillId="0" borderId="0" xfId="0" applyFont="1" applyFill="1" applyAlignment="1">
      <alignment vertic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35" borderId="21" xfId="0" applyFont="1" applyFill="1" applyBorder="1" applyAlignment="1">
      <alignment vertical="center"/>
    </xf>
    <xf numFmtId="0" fontId="21" fillId="35" borderId="22" xfId="0" applyFont="1" applyFill="1" applyBorder="1" applyAlignment="1">
      <alignment/>
    </xf>
    <xf numFmtId="49" fontId="13" fillId="36" borderId="21" xfId="0" applyNumberFormat="1" applyFont="1" applyFill="1" applyBorder="1" applyAlignment="1">
      <alignment vertical="center" wrapText="1"/>
    </xf>
    <xf numFmtId="0" fontId="13" fillId="36" borderId="22" xfId="0" applyFont="1" applyFill="1" applyBorder="1" applyAlignment="1">
      <alignment/>
    </xf>
    <xf numFmtId="49" fontId="63" fillId="0" borderId="21" xfId="0" applyNumberFormat="1" applyFont="1" applyBorder="1" applyAlignment="1">
      <alignment wrapText="1"/>
    </xf>
    <xf numFmtId="0" fontId="63" fillId="0" borderId="22" xfId="0" applyFont="1" applyBorder="1" applyAlignment="1">
      <alignment/>
    </xf>
    <xf numFmtId="49" fontId="63" fillId="0" borderId="21" xfId="0" applyNumberFormat="1" applyFont="1" applyBorder="1" applyAlignment="1">
      <alignment/>
    </xf>
    <xf numFmtId="0" fontId="13" fillId="36" borderId="21" xfId="0" applyFont="1" applyFill="1" applyBorder="1" applyAlignment="1">
      <alignment wrapText="1"/>
    </xf>
    <xf numFmtId="0" fontId="21" fillId="35" borderId="21" xfId="0" applyFont="1" applyFill="1" applyBorder="1" applyAlignment="1">
      <alignment vertical="center" wrapText="1"/>
    </xf>
    <xf numFmtId="0" fontId="21" fillId="35" borderId="22" xfId="0" applyFont="1" applyFill="1" applyBorder="1" applyAlignment="1">
      <alignment vertical="center"/>
    </xf>
    <xf numFmtId="0" fontId="63" fillId="0" borderId="21" xfId="0" applyFont="1" applyBorder="1" applyAlignment="1">
      <alignment wrapText="1"/>
    </xf>
    <xf numFmtId="0" fontId="21" fillId="0" borderId="21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49" fontId="64" fillId="0" borderId="21" xfId="0" applyNumberFormat="1" applyFont="1" applyBorder="1" applyAlignment="1">
      <alignment/>
    </xf>
    <xf numFmtId="49" fontId="63" fillId="0" borderId="21" xfId="0" applyNumberFormat="1" applyFont="1" applyBorder="1" applyAlignment="1">
      <alignment/>
    </xf>
    <xf numFmtId="0" fontId="63" fillId="0" borderId="22" xfId="0" applyFont="1" applyFill="1" applyBorder="1" applyAlignment="1">
      <alignment/>
    </xf>
    <xf numFmtId="0" fontId="21" fillId="7" borderId="21" xfId="0" applyFont="1" applyFill="1" applyBorder="1" applyAlignment="1">
      <alignment wrapText="1"/>
    </xf>
    <xf numFmtId="0" fontId="21" fillId="7" borderId="22" xfId="0" applyFont="1" applyFill="1" applyBorder="1" applyAlignment="1">
      <alignment vertical="center"/>
    </xf>
    <xf numFmtId="49" fontId="63" fillId="0" borderId="21" xfId="0" applyNumberFormat="1" applyFont="1" applyBorder="1" applyAlignment="1">
      <alignment vertical="center" wrapText="1"/>
    </xf>
    <xf numFmtId="0" fontId="63" fillId="0" borderId="22" xfId="0" applyFont="1" applyBorder="1" applyAlignment="1">
      <alignment vertical="center"/>
    </xf>
    <xf numFmtId="0" fontId="6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3" fillId="0" borderId="0" xfId="0" applyFont="1" applyFill="1" applyAlignment="1">
      <alignment/>
    </xf>
    <xf numFmtId="3" fontId="39" fillId="33" borderId="114" xfId="61" applyNumberFormat="1" applyFont="1" applyFill="1" applyBorder="1" applyAlignment="1">
      <alignment vertical="center" wrapText="1"/>
      <protection/>
    </xf>
    <xf numFmtId="3" fontId="39" fillId="33" borderId="43" xfId="61" applyNumberFormat="1" applyFont="1" applyFill="1" applyBorder="1" applyAlignment="1">
      <alignment vertical="center" wrapText="1"/>
      <protection/>
    </xf>
    <xf numFmtId="3" fontId="39" fillId="33" borderId="42" xfId="61" applyNumberFormat="1" applyFont="1" applyFill="1" applyBorder="1" applyAlignment="1">
      <alignment vertical="center" wrapText="1"/>
      <protection/>
    </xf>
    <xf numFmtId="3" fontId="39" fillId="33" borderId="21" xfId="61" applyNumberFormat="1" applyFont="1" applyFill="1" applyBorder="1" applyAlignment="1">
      <alignment vertical="center"/>
      <protection/>
    </xf>
    <xf numFmtId="3" fontId="39" fillId="33" borderId="22" xfId="61" applyNumberFormat="1" applyFont="1" applyFill="1" applyBorder="1" applyAlignment="1">
      <alignment vertical="center"/>
      <protection/>
    </xf>
    <xf numFmtId="3" fontId="39" fillId="33" borderId="23" xfId="61" applyNumberFormat="1" applyFont="1" applyFill="1" applyBorder="1" applyAlignment="1">
      <alignment vertical="center" wrapText="1"/>
      <protection/>
    </xf>
    <xf numFmtId="3" fontId="55" fillId="33" borderId="17" xfId="61" applyNumberFormat="1" applyFont="1" applyFill="1" applyBorder="1" applyAlignment="1">
      <alignment vertical="center"/>
      <protection/>
    </xf>
    <xf numFmtId="3" fontId="55" fillId="33" borderId="22" xfId="61" applyNumberFormat="1" applyFont="1" applyFill="1" applyBorder="1" applyAlignment="1">
      <alignment vertical="center"/>
      <protection/>
    </xf>
    <xf numFmtId="3" fontId="38" fillId="33" borderId="17" xfId="61" applyNumberFormat="1" applyFont="1" applyFill="1" applyBorder="1" applyAlignment="1">
      <alignment vertical="center"/>
      <protection/>
    </xf>
    <xf numFmtId="3" fontId="39" fillId="33" borderId="25" xfId="61" applyNumberFormat="1" applyFont="1" applyFill="1" applyBorder="1" applyAlignment="1">
      <alignment vertical="center" wrapText="1"/>
      <protection/>
    </xf>
    <xf numFmtId="3" fontId="23" fillId="33" borderId="117" xfId="61" applyNumberFormat="1" applyFont="1" applyFill="1" applyBorder="1" applyAlignment="1">
      <alignment horizontal="right" vertical="center"/>
      <protection/>
    </xf>
    <xf numFmtId="3" fontId="23" fillId="33" borderId="103" xfId="61" applyNumberFormat="1" applyFont="1" applyFill="1" applyBorder="1" applyAlignment="1">
      <alignment horizontal="right" vertical="center"/>
      <protection/>
    </xf>
    <xf numFmtId="3" fontId="23" fillId="33" borderId="112" xfId="61" applyNumberFormat="1" applyFont="1" applyFill="1" applyBorder="1" applyAlignment="1">
      <alignment horizontal="right" vertical="center"/>
      <protection/>
    </xf>
    <xf numFmtId="3" fontId="56" fillId="33" borderId="26" xfId="61" applyNumberFormat="1" applyFont="1" applyFill="1" applyBorder="1" applyAlignment="1">
      <alignment vertical="center"/>
      <protection/>
    </xf>
    <xf numFmtId="3" fontId="56" fillId="33" borderId="32" xfId="61" applyNumberFormat="1" applyFont="1" applyFill="1" applyBorder="1" applyAlignment="1">
      <alignment vertical="center"/>
      <protection/>
    </xf>
    <xf numFmtId="3" fontId="56" fillId="33" borderId="40" xfId="61" applyNumberFormat="1" applyFont="1" applyFill="1" applyBorder="1" applyAlignment="1">
      <alignment vertical="center"/>
      <protection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38" fillId="0" borderId="22" xfId="0" applyFont="1" applyBorder="1" applyAlignment="1">
      <alignment horizontal="left"/>
    </xf>
    <xf numFmtId="0" fontId="42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8" fillId="0" borderId="22" xfId="0" applyFont="1" applyBorder="1" applyAlignment="1">
      <alignment horizontal="left" wrapText="1"/>
    </xf>
    <xf numFmtId="0" fontId="39" fillId="0" borderId="22" xfId="0" applyFont="1" applyBorder="1" applyAlignment="1">
      <alignment horizontal="left" wrapText="1"/>
    </xf>
    <xf numFmtId="0" fontId="15" fillId="0" borderId="22" xfId="0" applyFont="1" applyBorder="1" applyAlignment="1">
      <alignment horizontal="left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8" fillId="0" borderId="22" xfId="59" applyFont="1" applyBorder="1" applyAlignment="1">
      <alignment horizontal="left"/>
      <protection/>
    </xf>
    <xf numFmtId="0" fontId="19" fillId="0" borderId="14" xfId="59" applyFont="1" applyBorder="1" applyAlignment="1">
      <alignment horizontal="left"/>
      <protection/>
    </xf>
    <xf numFmtId="0" fontId="19" fillId="0" borderId="16" xfId="59" applyFont="1" applyBorder="1" applyAlignment="1">
      <alignment horizontal="left"/>
      <protection/>
    </xf>
    <xf numFmtId="0" fontId="19" fillId="0" borderId="17" xfId="59" applyFont="1" applyBorder="1" applyAlignment="1">
      <alignment horizontal="left"/>
      <protection/>
    </xf>
    <xf numFmtId="0" fontId="15" fillId="0" borderId="14" xfId="59" applyFont="1" applyBorder="1" applyAlignment="1">
      <alignment horizontal="left"/>
      <protection/>
    </xf>
    <xf numFmtId="0" fontId="15" fillId="0" borderId="16" xfId="59" applyFont="1" applyBorder="1" applyAlignment="1">
      <alignment horizontal="left"/>
      <protection/>
    </xf>
    <xf numFmtId="0" fontId="15" fillId="0" borderId="17" xfId="59" applyFont="1" applyBorder="1" applyAlignment="1">
      <alignment horizontal="left"/>
      <protection/>
    </xf>
    <xf numFmtId="0" fontId="38" fillId="0" borderId="14" xfId="59" applyFont="1" applyBorder="1" applyAlignment="1">
      <alignment horizontal="left" wrapText="1"/>
      <protection/>
    </xf>
    <xf numFmtId="0" fontId="38" fillId="0" borderId="17" xfId="59" applyFont="1" applyBorder="1" applyAlignment="1">
      <alignment horizontal="left" wrapText="1"/>
      <protection/>
    </xf>
    <xf numFmtId="0" fontId="39" fillId="0" borderId="14" xfId="59" applyFont="1" applyBorder="1" applyAlignment="1">
      <alignment horizontal="left" wrapText="1"/>
      <protection/>
    </xf>
    <xf numFmtId="0" fontId="39" fillId="0" borderId="17" xfId="59" applyFont="1" applyBorder="1" applyAlignment="1">
      <alignment horizontal="left" wrapText="1"/>
      <protection/>
    </xf>
    <xf numFmtId="0" fontId="19" fillId="0" borderId="22" xfId="59" applyFont="1" applyBorder="1" applyAlignment="1">
      <alignment horizontal="left"/>
      <protection/>
    </xf>
    <xf numFmtId="0" fontId="38" fillId="0" borderId="14" xfId="59" applyFont="1" applyBorder="1" applyAlignment="1">
      <alignment horizontal="left" vertical="center" wrapText="1"/>
      <protection/>
    </xf>
    <xf numFmtId="0" fontId="38" fillId="0" borderId="17" xfId="59" applyFont="1" applyBorder="1" applyAlignment="1">
      <alignment horizontal="left" vertical="center" wrapText="1"/>
      <protection/>
    </xf>
    <xf numFmtId="0" fontId="38" fillId="0" borderId="14" xfId="59" applyFont="1" applyBorder="1" applyAlignment="1">
      <alignment horizontal="left"/>
      <protection/>
    </xf>
    <xf numFmtId="0" fontId="38" fillId="0" borderId="17" xfId="59" applyFont="1" applyBorder="1" applyAlignment="1">
      <alignment horizontal="left"/>
      <protection/>
    </xf>
    <xf numFmtId="0" fontId="18" fillId="0" borderId="0" xfId="59" applyFont="1" applyAlignment="1">
      <alignment horizontal="right" vertical="center"/>
      <protection/>
    </xf>
    <xf numFmtId="0" fontId="41" fillId="0" borderId="0" xfId="59" applyFont="1" applyFill="1" applyAlignment="1">
      <alignment horizontal="center" vertical="center"/>
      <protection/>
    </xf>
    <xf numFmtId="0" fontId="42" fillId="0" borderId="14" xfId="59" applyFont="1" applyFill="1" applyBorder="1" applyAlignment="1">
      <alignment horizontal="center" vertical="center" wrapText="1"/>
      <protection/>
    </xf>
    <xf numFmtId="0" fontId="19" fillId="0" borderId="16" xfId="59" applyFont="1" applyFill="1" applyBorder="1" applyAlignment="1">
      <alignment horizontal="center" vertical="center" wrapText="1"/>
      <protection/>
    </xf>
    <xf numFmtId="0" fontId="19" fillId="0" borderId="17" xfId="59" applyFont="1" applyFill="1" applyBorder="1" applyAlignment="1">
      <alignment horizontal="center" vertical="center" wrapText="1"/>
      <protection/>
    </xf>
    <xf numFmtId="0" fontId="16" fillId="0" borderId="14" xfId="59" applyFont="1" applyFill="1" applyBorder="1" applyAlignment="1">
      <alignment horizontal="center" vertical="center" wrapText="1"/>
      <protection/>
    </xf>
    <xf numFmtId="0" fontId="16" fillId="0" borderId="16" xfId="59" applyFont="1" applyBorder="1" applyAlignment="1">
      <alignment horizontal="center" vertical="center" wrapText="1"/>
      <protection/>
    </xf>
    <xf numFmtId="0" fontId="16" fillId="0" borderId="17" xfId="59" applyFont="1" applyBorder="1" applyAlignment="1">
      <alignment horizontal="center" vertical="center" wrapText="1"/>
      <protection/>
    </xf>
    <xf numFmtId="0" fontId="38" fillId="0" borderId="16" xfId="59" applyFont="1" applyBorder="1" applyAlignment="1">
      <alignment horizontal="left"/>
      <protection/>
    </xf>
    <xf numFmtId="0" fontId="20" fillId="0" borderId="14" xfId="58" applyFont="1" applyBorder="1" applyAlignment="1">
      <alignment horizontal="center" vertical="center" wrapText="1"/>
      <protection/>
    </xf>
    <xf numFmtId="0" fontId="20" fillId="0" borderId="16" xfId="58" applyFont="1" applyBorder="1" applyAlignment="1">
      <alignment horizontal="center" vertical="center" wrapText="1"/>
      <protection/>
    </xf>
    <xf numFmtId="0" fontId="20" fillId="0" borderId="17" xfId="58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 vertical="center"/>
    </xf>
    <xf numFmtId="0" fontId="37" fillId="0" borderId="0" xfId="0" applyFont="1" applyAlignment="1">
      <alignment horizontal="right"/>
    </xf>
    <xf numFmtId="0" fontId="15" fillId="0" borderId="0" xfId="58" applyFont="1" applyAlignment="1">
      <alignment horizontal="center"/>
      <protection/>
    </xf>
    <xf numFmtId="0" fontId="15" fillId="0" borderId="22" xfId="58" applyFont="1" applyBorder="1" applyAlignment="1">
      <alignment horizontal="center" vertical="center"/>
      <protection/>
    </xf>
    <xf numFmtId="0" fontId="20" fillId="0" borderId="22" xfId="58" applyFont="1" applyBorder="1" applyAlignment="1">
      <alignment horizontal="center" vertical="center"/>
      <protection/>
    </xf>
    <xf numFmtId="0" fontId="20" fillId="0" borderId="14" xfId="58" applyFont="1" applyBorder="1" applyAlignment="1">
      <alignment horizontal="center"/>
      <protection/>
    </xf>
    <xf numFmtId="0" fontId="20" fillId="0" borderId="16" xfId="58" applyFont="1" applyBorder="1" applyAlignment="1">
      <alignment horizontal="center"/>
      <protection/>
    </xf>
    <xf numFmtId="0" fontId="20" fillId="0" borderId="17" xfId="58" applyFont="1" applyBorder="1" applyAlignment="1">
      <alignment horizontal="center"/>
      <protection/>
    </xf>
    <xf numFmtId="0" fontId="17" fillId="0" borderId="14" xfId="58" applyFont="1" applyBorder="1" applyAlignment="1">
      <alignment horizontal="right" vertical="center"/>
      <protection/>
    </xf>
    <xf numFmtId="0" fontId="17" fillId="0" borderId="16" xfId="58" applyFont="1" applyBorder="1" applyAlignment="1">
      <alignment horizontal="right" vertical="center"/>
      <protection/>
    </xf>
    <xf numFmtId="49" fontId="39" fillId="0" borderId="21" xfId="0" applyNumberFormat="1" applyFont="1" applyFill="1" applyBorder="1" applyAlignment="1">
      <alignment horizontal="center" textRotation="90"/>
    </xf>
    <xf numFmtId="49" fontId="38" fillId="0" borderId="114" xfId="0" applyNumberFormat="1" applyFont="1" applyFill="1" applyBorder="1" applyAlignment="1">
      <alignment horizontal="center" vertical="center" textRotation="90"/>
    </xf>
    <xf numFmtId="49" fontId="38" fillId="0" borderId="118" xfId="0" applyNumberFormat="1" applyFont="1" applyFill="1" applyBorder="1" applyAlignment="1">
      <alignment horizontal="center" vertical="center" textRotation="90"/>
    </xf>
    <xf numFmtId="49" fontId="38" fillId="0" borderId="36" xfId="0" applyNumberFormat="1" applyFont="1" applyFill="1" applyBorder="1" applyAlignment="1">
      <alignment horizontal="center" vertical="center" textRotation="90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49" fontId="39" fillId="0" borderId="114" xfId="0" applyNumberFormat="1" applyFont="1" applyFill="1" applyBorder="1" applyAlignment="1">
      <alignment horizontal="center" vertical="center" textRotation="90"/>
    </xf>
    <xf numFmtId="49" fontId="39" fillId="0" borderId="118" xfId="0" applyNumberFormat="1" applyFont="1" applyFill="1" applyBorder="1" applyAlignment="1">
      <alignment horizontal="center" vertical="center" textRotation="90"/>
    </xf>
    <xf numFmtId="49" fontId="39" fillId="0" borderId="36" xfId="0" applyNumberFormat="1" applyFont="1" applyFill="1" applyBorder="1" applyAlignment="1">
      <alignment horizontal="center" vertical="center" textRotation="90"/>
    </xf>
    <xf numFmtId="0" fontId="43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9" fillId="0" borderId="0" xfId="0" applyFont="1" applyFill="1" applyAlignment="1">
      <alignment horizontal="center" vertical="center"/>
    </xf>
    <xf numFmtId="49" fontId="20" fillId="0" borderId="119" xfId="0" applyNumberFormat="1" applyFont="1" applyFill="1" applyBorder="1" applyAlignment="1">
      <alignment horizontal="center" vertical="center"/>
    </xf>
    <xf numFmtId="49" fontId="20" fillId="0" borderId="118" xfId="0" applyNumberFormat="1" applyFont="1" applyFill="1" applyBorder="1" applyAlignment="1">
      <alignment horizontal="center" vertical="center"/>
    </xf>
    <xf numFmtId="49" fontId="20" fillId="0" borderId="36" xfId="0" applyNumberFormat="1" applyFont="1" applyFill="1" applyBorder="1" applyAlignment="1">
      <alignment horizontal="center" vertical="center"/>
    </xf>
    <xf numFmtId="0" fontId="20" fillId="0" borderId="83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61" fillId="0" borderId="120" xfId="0" applyFont="1" applyFill="1" applyBorder="1" applyAlignment="1">
      <alignment horizontal="center" vertical="center" wrapText="1"/>
    </xf>
    <xf numFmtId="0" fontId="61" fillId="0" borderId="121" xfId="0" applyFont="1" applyFill="1" applyBorder="1" applyAlignment="1">
      <alignment horizontal="center" vertical="center" wrapText="1"/>
    </xf>
    <xf numFmtId="0" fontId="61" fillId="0" borderId="113" xfId="0" applyFont="1" applyFill="1" applyBorder="1" applyAlignment="1">
      <alignment horizontal="center" vertical="center" wrapText="1"/>
    </xf>
    <xf numFmtId="0" fontId="20" fillId="0" borderId="122" xfId="0" applyFont="1" applyFill="1" applyBorder="1" applyAlignment="1">
      <alignment horizontal="center" vertical="center"/>
    </xf>
    <xf numFmtId="0" fontId="20" fillId="0" borderId="123" xfId="0" applyFont="1" applyFill="1" applyBorder="1" applyAlignment="1">
      <alignment horizontal="center" vertical="center"/>
    </xf>
    <xf numFmtId="0" fontId="20" fillId="0" borderId="124" xfId="0" applyFont="1" applyFill="1" applyBorder="1" applyAlignment="1">
      <alignment horizontal="center" vertical="center"/>
    </xf>
    <xf numFmtId="0" fontId="20" fillId="0" borderId="125" xfId="0" applyFont="1" applyFill="1" applyBorder="1" applyAlignment="1">
      <alignment horizontal="center" vertical="center" wrapText="1"/>
    </xf>
    <xf numFmtId="0" fontId="20" fillId="0" borderId="126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16" fillId="0" borderId="0" xfId="61" applyFont="1" applyFill="1" applyAlignment="1">
      <alignment horizontal="right" vertical="center"/>
      <protection/>
    </xf>
    <xf numFmtId="0" fontId="16" fillId="0" borderId="0" xfId="61" applyFont="1" applyAlignment="1">
      <alignment horizontal="right"/>
      <protection/>
    </xf>
    <xf numFmtId="0" fontId="17" fillId="0" borderId="127" xfId="61" applyFont="1" applyFill="1" applyBorder="1" applyAlignment="1">
      <alignment horizontal="center" vertical="center" wrapText="1"/>
      <protection/>
    </xf>
    <xf numFmtId="0" fontId="17" fillId="0" borderId="89" xfId="61" applyFont="1" applyFill="1" applyBorder="1" applyAlignment="1">
      <alignment horizontal="center" vertical="center" wrapText="1"/>
      <protection/>
    </xf>
    <xf numFmtId="0" fontId="17" fillId="0" borderId="128" xfId="61" applyFont="1" applyFill="1" applyBorder="1" applyAlignment="1">
      <alignment horizontal="center" vertical="center" wrapText="1"/>
      <protection/>
    </xf>
    <xf numFmtId="0" fontId="15" fillId="0" borderId="0" xfId="61" applyFont="1" applyFill="1" applyAlignment="1">
      <alignment horizontal="center" vertical="center" wrapText="1"/>
      <protection/>
    </xf>
    <xf numFmtId="0" fontId="20" fillId="0" borderId="62" xfId="61" applyFont="1" applyFill="1" applyBorder="1" applyAlignment="1">
      <alignment horizontal="center" vertical="center" wrapText="1"/>
      <protection/>
    </xf>
    <xf numFmtId="0" fontId="20" fillId="0" borderId="46" xfId="61" applyFont="1" applyFill="1" applyBorder="1" applyAlignment="1">
      <alignment horizontal="center" vertical="center" wrapText="1"/>
      <protection/>
    </xf>
    <xf numFmtId="0" fontId="20" fillId="0" borderId="45" xfId="61" applyFont="1" applyFill="1" applyBorder="1" applyAlignment="1">
      <alignment horizontal="center" vertical="center" wrapText="1"/>
      <protection/>
    </xf>
    <xf numFmtId="0" fontId="20" fillId="0" borderId="38" xfId="61" applyFont="1" applyFill="1" applyBorder="1" applyAlignment="1">
      <alignment horizontal="center" vertical="center" wrapText="1"/>
      <protection/>
    </xf>
    <xf numFmtId="0" fontId="20" fillId="0" borderId="37" xfId="61" applyFont="1" applyFill="1" applyBorder="1" applyAlignment="1">
      <alignment horizontal="center" vertical="center" wrapText="1"/>
      <protection/>
    </xf>
    <xf numFmtId="0" fontId="20" fillId="0" borderId="39" xfId="61" applyFont="1" applyFill="1" applyBorder="1" applyAlignment="1">
      <alignment horizontal="center" vertical="center" wrapText="1"/>
      <protection/>
    </xf>
    <xf numFmtId="0" fontId="20" fillId="0" borderId="17" xfId="61" applyFont="1" applyFill="1" applyBorder="1" applyAlignment="1">
      <alignment horizontal="center" vertical="center" wrapText="1"/>
      <protection/>
    </xf>
    <xf numFmtId="0" fontId="20" fillId="0" borderId="22" xfId="61" applyFont="1" applyFill="1" applyBorder="1" applyAlignment="1">
      <alignment horizontal="center" vertical="center" wrapText="1"/>
      <protection/>
    </xf>
    <xf numFmtId="0" fontId="20" fillId="0" borderId="23" xfId="61" applyFont="1" applyFill="1" applyBorder="1" applyAlignment="1">
      <alignment horizontal="center" vertical="center" wrapText="1"/>
      <protection/>
    </xf>
    <xf numFmtId="0" fontId="56" fillId="0" borderId="129" xfId="61" applyFont="1" applyFill="1" applyBorder="1" applyAlignment="1">
      <alignment horizontal="left" vertical="center"/>
      <protection/>
    </xf>
    <xf numFmtId="0" fontId="56" fillId="0" borderId="27" xfId="61" applyFont="1" applyFill="1" applyBorder="1" applyAlignment="1">
      <alignment horizontal="left" vertical="center"/>
      <protection/>
    </xf>
    <xf numFmtId="0" fontId="56" fillId="0" borderId="13" xfId="61" applyFont="1" applyFill="1" applyBorder="1" applyAlignment="1">
      <alignment horizontal="left" vertical="center"/>
      <protection/>
    </xf>
    <xf numFmtId="0" fontId="23" fillId="0" borderId="117" xfId="61" applyFont="1" applyFill="1" applyBorder="1" applyAlignment="1">
      <alignment horizontal="left" vertical="center"/>
      <protection/>
    </xf>
    <xf numFmtId="0" fontId="23" fillId="0" borderId="112" xfId="61" applyFont="1" applyFill="1" applyBorder="1" applyAlignment="1">
      <alignment horizontal="left" vertical="center"/>
      <protection/>
    </xf>
    <xf numFmtId="0" fontId="23" fillId="0" borderId="130" xfId="61" applyFont="1" applyFill="1" applyBorder="1" applyAlignment="1">
      <alignment horizontal="left" vertical="center"/>
      <protection/>
    </xf>
    <xf numFmtId="0" fontId="23" fillId="0" borderId="117" xfId="61" applyFont="1" applyFill="1" applyBorder="1" applyAlignment="1">
      <alignment horizontal="left" vertical="center" wrapText="1"/>
      <protection/>
    </xf>
    <xf numFmtId="0" fontId="23" fillId="0" borderId="112" xfId="61" applyFont="1" applyFill="1" applyBorder="1" applyAlignment="1">
      <alignment horizontal="left" vertical="center" wrapText="1"/>
      <protection/>
    </xf>
    <xf numFmtId="0" fontId="23" fillId="0" borderId="130" xfId="61" applyFont="1" applyFill="1" applyBorder="1" applyAlignment="1">
      <alignment horizontal="left" vertical="center" wrapText="1"/>
      <protection/>
    </xf>
    <xf numFmtId="0" fontId="20" fillId="0" borderId="83" xfId="61" applyFont="1" applyFill="1" applyBorder="1" applyAlignment="1">
      <alignment horizontal="center" vertical="center"/>
      <protection/>
    </xf>
    <xf numFmtId="0" fontId="20" fillId="0" borderId="31" xfId="61" applyFont="1" applyFill="1" applyBorder="1" applyAlignment="1">
      <alignment horizontal="center" vertical="center"/>
      <protection/>
    </xf>
    <xf numFmtId="0" fontId="20" fillId="0" borderId="48" xfId="61" applyFont="1" applyFill="1" applyBorder="1" applyAlignment="1">
      <alignment horizontal="center" vertical="center"/>
      <protection/>
    </xf>
    <xf numFmtId="49" fontId="20" fillId="0" borderId="119" xfId="61" applyNumberFormat="1" applyFont="1" applyFill="1" applyBorder="1" applyAlignment="1">
      <alignment horizontal="center" vertical="center"/>
      <protection/>
    </xf>
    <xf numFmtId="49" fontId="20" fillId="0" borderId="118" xfId="61" applyNumberFormat="1" applyFont="1" applyFill="1" applyBorder="1" applyAlignment="1">
      <alignment horizontal="center" vertical="center"/>
      <protection/>
    </xf>
    <xf numFmtId="49" fontId="20" fillId="0" borderId="131" xfId="61" applyNumberFormat="1" applyFont="1" applyFill="1" applyBorder="1" applyAlignment="1">
      <alignment horizontal="center" vertical="center"/>
      <protection/>
    </xf>
    <xf numFmtId="0" fontId="15" fillId="0" borderId="112" xfId="61" applyFont="1" applyFill="1" applyBorder="1" applyAlignment="1">
      <alignment horizontal="center" vertical="center"/>
      <protection/>
    </xf>
    <xf numFmtId="0" fontId="15" fillId="0" borderId="130" xfId="61" applyFont="1" applyFill="1" applyBorder="1" applyAlignment="1">
      <alignment horizontal="center" vertical="center"/>
      <protection/>
    </xf>
    <xf numFmtId="0" fontId="22" fillId="0" borderId="58" xfId="60" applyFont="1" applyBorder="1" applyAlignment="1">
      <alignment horizontal="left" wrapText="1"/>
      <protection/>
    </xf>
    <xf numFmtId="0" fontId="22" fillId="0" borderId="0" xfId="60" applyFont="1" applyBorder="1" applyAlignment="1">
      <alignment horizontal="left" wrapText="1"/>
      <protection/>
    </xf>
    <xf numFmtId="0" fontId="22" fillId="0" borderId="58" xfId="60" applyFont="1" applyBorder="1" applyAlignment="1">
      <alignment horizontal="left" vertical="center" wrapText="1"/>
      <protection/>
    </xf>
    <xf numFmtId="0" fontId="22" fillId="0" borderId="0" xfId="60" applyFont="1" applyBorder="1" applyAlignment="1">
      <alignment horizontal="left" vertical="center" wrapText="1"/>
      <protection/>
    </xf>
    <xf numFmtId="0" fontId="22" fillId="0" borderId="132" xfId="60" applyFont="1" applyBorder="1" applyAlignment="1">
      <alignment horizontal="left"/>
      <protection/>
    </xf>
    <xf numFmtId="0" fontId="22" fillId="0" borderId="57" xfId="60" applyFont="1" applyBorder="1" applyAlignment="1">
      <alignment horizontal="left"/>
      <protection/>
    </xf>
    <xf numFmtId="3" fontId="15" fillId="0" borderId="133" xfId="60" applyNumberFormat="1" applyFont="1" applyBorder="1" applyAlignment="1">
      <alignment horizontal="right" vertical="center"/>
      <protection/>
    </xf>
    <xf numFmtId="3" fontId="15" fillId="0" borderId="87" xfId="60" applyNumberFormat="1" applyFont="1" applyBorder="1" applyAlignment="1">
      <alignment horizontal="right" vertical="center"/>
      <protection/>
    </xf>
    <xf numFmtId="3" fontId="15" fillId="0" borderId="134" xfId="60" applyNumberFormat="1" applyFont="1" applyBorder="1" applyAlignment="1">
      <alignment horizontal="right" vertical="center"/>
      <protection/>
    </xf>
    <xf numFmtId="3" fontId="15" fillId="0" borderId="90" xfId="60" applyNumberFormat="1" applyFont="1" applyBorder="1" applyAlignment="1">
      <alignment horizontal="right" vertical="center"/>
      <protection/>
    </xf>
    <xf numFmtId="3" fontId="15" fillId="0" borderId="93" xfId="60" applyNumberFormat="1" applyFont="1" applyBorder="1" applyAlignment="1">
      <alignment horizontal="right" vertical="center"/>
      <protection/>
    </xf>
    <xf numFmtId="0" fontId="22" fillId="0" borderId="58" xfId="60" applyFont="1" applyBorder="1" applyAlignment="1">
      <alignment horizontal="left" vertical="center"/>
      <protection/>
    </xf>
    <xf numFmtId="0" fontId="22" fillId="0" borderId="0" xfId="60" applyFont="1" applyBorder="1" applyAlignment="1">
      <alignment horizontal="left" vertical="center"/>
      <protection/>
    </xf>
    <xf numFmtId="0" fontId="22" fillId="0" borderId="132" xfId="60" applyFont="1" applyBorder="1" applyAlignment="1">
      <alignment horizontal="left" vertical="center" wrapText="1"/>
      <protection/>
    </xf>
    <xf numFmtId="0" fontId="22" fillId="0" borderId="57" xfId="60" applyFont="1" applyBorder="1" applyAlignment="1">
      <alignment horizontal="left" vertical="center" wrapText="1"/>
      <protection/>
    </xf>
    <xf numFmtId="0" fontId="22" fillId="0" borderId="53" xfId="60" applyFont="1" applyBorder="1" applyAlignment="1">
      <alignment horizontal="left" wrapText="1"/>
      <protection/>
    </xf>
    <xf numFmtId="0" fontId="22" fillId="0" borderId="58" xfId="60" applyFont="1" applyBorder="1" applyAlignment="1">
      <alignment horizontal="left"/>
      <protection/>
    </xf>
    <xf numFmtId="0" fontId="22" fillId="0" borderId="0" xfId="60" applyFont="1" applyBorder="1" applyAlignment="1">
      <alignment horizontal="left"/>
      <protection/>
    </xf>
    <xf numFmtId="0" fontId="22" fillId="0" borderId="132" xfId="60" applyFont="1" applyBorder="1" applyAlignment="1">
      <alignment horizontal="left" wrapText="1"/>
      <protection/>
    </xf>
    <xf numFmtId="0" fontId="22" fillId="0" borderId="57" xfId="60" applyFont="1" applyBorder="1" applyAlignment="1">
      <alignment horizontal="left" wrapText="1"/>
      <protection/>
    </xf>
    <xf numFmtId="3" fontId="15" fillId="0" borderId="127" xfId="60" applyNumberFormat="1" applyFont="1" applyBorder="1" applyAlignment="1">
      <alignment horizontal="right" vertical="center"/>
      <protection/>
    </xf>
    <xf numFmtId="3" fontId="15" fillId="0" borderId="89" xfId="60" applyNumberFormat="1" applyFont="1" applyBorder="1" applyAlignment="1">
      <alignment horizontal="right" vertical="center"/>
      <protection/>
    </xf>
    <xf numFmtId="3" fontId="15" fillId="0" borderId="128" xfId="60" applyNumberFormat="1" applyFont="1" applyBorder="1" applyAlignment="1">
      <alignment horizontal="right" vertical="center"/>
      <protection/>
    </xf>
    <xf numFmtId="0" fontId="22" fillId="0" borderId="86" xfId="60" applyFont="1" applyBorder="1" applyAlignment="1">
      <alignment horizontal="left"/>
      <protection/>
    </xf>
    <xf numFmtId="0" fontId="22" fillId="0" borderId="69" xfId="60" applyFont="1" applyBorder="1" applyAlignment="1">
      <alignment horizontal="left"/>
      <protection/>
    </xf>
    <xf numFmtId="0" fontId="19" fillId="0" borderId="0" xfId="60" applyFont="1" applyAlignment="1">
      <alignment horizontal="center"/>
      <protection/>
    </xf>
    <xf numFmtId="0" fontId="18" fillId="0" borderId="0" xfId="0" applyFont="1" applyAlignment="1">
      <alignment/>
    </xf>
    <xf numFmtId="0" fontId="56" fillId="34" borderId="94" xfId="60" applyFont="1" applyFill="1" applyBorder="1" applyAlignment="1">
      <alignment/>
      <protection/>
    </xf>
    <xf numFmtId="0" fontId="56" fillId="34" borderId="135" xfId="60" applyFont="1" applyFill="1" applyBorder="1" applyAlignment="1">
      <alignment/>
      <protection/>
    </xf>
    <xf numFmtId="0" fontId="56" fillId="0" borderId="136" xfId="61" applyFont="1" applyFill="1" applyBorder="1" applyAlignment="1">
      <alignment horizontal="center" vertical="center" wrapText="1"/>
      <protection/>
    </xf>
    <xf numFmtId="0" fontId="56" fillId="0" borderId="47" xfId="61" applyFont="1" applyFill="1" applyBorder="1" applyAlignment="1">
      <alignment horizontal="center" vertical="center" wrapText="1"/>
      <protection/>
    </xf>
    <xf numFmtId="0" fontId="56" fillId="0" borderId="67" xfId="61" applyFont="1" applyFill="1" applyBorder="1" applyAlignment="1">
      <alignment horizontal="center" vertical="center" wrapText="1"/>
      <protection/>
    </xf>
    <xf numFmtId="0" fontId="56" fillId="0" borderId="91" xfId="61" applyFont="1" applyFill="1" applyBorder="1" applyAlignment="1">
      <alignment horizontal="center" vertical="center" wrapText="1"/>
      <protection/>
    </xf>
    <xf numFmtId="0" fontId="56" fillId="0" borderId="32" xfId="61" applyFont="1" applyFill="1" applyBorder="1" applyAlignment="1">
      <alignment horizontal="center" vertical="center" wrapText="1"/>
      <protection/>
    </xf>
    <xf numFmtId="0" fontId="56" fillId="0" borderId="84" xfId="61" applyFont="1" applyFill="1" applyBorder="1" applyAlignment="1">
      <alignment horizontal="center" vertical="center" wrapText="1"/>
      <protection/>
    </xf>
    <xf numFmtId="0" fontId="57" fillId="0" borderId="58" xfId="60" applyFont="1" applyBorder="1" applyAlignment="1">
      <alignment horizontal="left"/>
      <protection/>
    </xf>
    <xf numFmtId="0" fontId="57" fillId="0" borderId="0" xfId="60" applyFont="1" applyBorder="1" applyAlignment="1">
      <alignment horizontal="left"/>
      <protection/>
    </xf>
    <xf numFmtId="0" fontId="56" fillId="0" borderId="69" xfId="60" applyFont="1" applyBorder="1" applyAlignment="1">
      <alignment/>
      <protection/>
    </xf>
    <xf numFmtId="0" fontId="56" fillId="0" borderId="111" xfId="60" applyFont="1" applyBorder="1" applyAlignment="1">
      <alignment/>
      <protection/>
    </xf>
    <xf numFmtId="0" fontId="42" fillId="0" borderId="47" xfId="60" applyFont="1" applyBorder="1" applyAlignment="1">
      <alignment horizontal="center"/>
      <protection/>
    </xf>
    <xf numFmtId="0" fontId="18" fillId="0" borderId="47" xfId="0" applyFont="1" applyBorder="1" applyAlignment="1">
      <alignment horizontal="center"/>
    </xf>
    <xf numFmtId="0" fontId="15" fillId="0" borderId="69" xfId="60" applyFont="1" applyBorder="1" applyAlignment="1">
      <alignment/>
      <protection/>
    </xf>
    <xf numFmtId="0" fontId="15" fillId="0" borderId="69" xfId="0" applyFont="1" applyBorder="1" applyAlignment="1">
      <alignment/>
    </xf>
    <xf numFmtId="0" fontId="15" fillId="0" borderId="111" xfId="0" applyFont="1" applyBorder="1" applyAlignment="1">
      <alignment/>
    </xf>
    <xf numFmtId="0" fontId="15" fillId="34" borderId="69" xfId="60" applyFont="1" applyFill="1" applyBorder="1" applyAlignment="1">
      <alignment vertical="center"/>
      <protection/>
    </xf>
    <xf numFmtId="0" fontId="15" fillId="34" borderId="69" xfId="0" applyFont="1" applyFill="1" applyBorder="1" applyAlignment="1">
      <alignment vertical="center"/>
    </xf>
    <xf numFmtId="0" fontId="15" fillId="34" borderId="111" xfId="0" applyFont="1" applyFill="1" applyBorder="1" applyAlignment="1">
      <alignment vertical="center"/>
    </xf>
    <xf numFmtId="0" fontId="56" fillId="34" borderId="94" xfId="60" applyFont="1" applyFill="1" applyBorder="1" applyAlignment="1">
      <alignment vertical="center"/>
      <protection/>
    </xf>
    <xf numFmtId="0" fontId="56" fillId="34" borderId="135" xfId="60" applyFont="1" applyFill="1" applyBorder="1" applyAlignment="1">
      <alignment vertical="center"/>
      <protection/>
    </xf>
    <xf numFmtId="0" fontId="22" fillId="0" borderId="53" xfId="60" applyFont="1" applyBorder="1" applyAlignment="1">
      <alignment horizontal="left" vertical="center" wrapText="1"/>
      <protection/>
    </xf>
    <xf numFmtId="0" fontId="18" fillId="0" borderId="0" xfId="60" applyFont="1" applyAlignment="1">
      <alignment horizontal="center"/>
      <protection/>
    </xf>
    <xf numFmtId="0" fontId="22" fillId="0" borderId="91" xfId="60" applyFont="1" applyBorder="1" applyAlignment="1">
      <alignment horizontal="left"/>
      <protection/>
    </xf>
    <xf numFmtId="0" fontId="22" fillId="0" borderId="32" xfId="60" applyFont="1" applyBorder="1" applyAlignment="1">
      <alignment horizontal="left"/>
      <protection/>
    </xf>
    <xf numFmtId="0" fontId="56" fillId="0" borderId="65" xfId="60" applyFont="1" applyBorder="1" applyAlignment="1">
      <alignment horizontal="center" vertical="center" wrapText="1"/>
      <protection/>
    </xf>
    <xf numFmtId="0" fontId="56" fillId="0" borderId="47" xfId="60" applyFont="1" applyBorder="1" applyAlignment="1">
      <alignment horizontal="center" vertical="center" wrapText="1"/>
      <protection/>
    </xf>
    <xf numFmtId="0" fontId="56" fillId="0" borderId="50" xfId="60" applyFont="1" applyBorder="1" applyAlignment="1">
      <alignment horizontal="center" vertical="center" wrapText="1"/>
      <protection/>
    </xf>
    <xf numFmtId="0" fontId="56" fillId="0" borderId="32" xfId="60" applyFont="1" applyBorder="1" applyAlignment="1">
      <alignment horizontal="center" vertical="center" wrapText="1"/>
      <protection/>
    </xf>
    <xf numFmtId="0" fontId="23" fillId="0" borderId="58" xfId="60" applyFont="1" applyBorder="1" applyAlignment="1">
      <alignment horizontal="right"/>
      <protection/>
    </xf>
    <xf numFmtId="0" fontId="23" fillId="0" borderId="0" xfId="60" applyFont="1" applyBorder="1" applyAlignment="1">
      <alignment horizontal="right"/>
      <protection/>
    </xf>
    <xf numFmtId="0" fontId="23" fillId="0" borderId="55" xfId="60" applyFont="1" applyBorder="1" applyAlignment="1">
      <alignment horizontal="right"/>
      <protection/>
    </xf>
    <xf numFmtId="0" fontId="22" fillId="0" borderId="59" xfId="60" applyFont="1" applyBorder="1" applyAlignment="1">
      <alignment horizontal="left"/>
      <protection/>
    </xf>
    <xf numFmtId="0" fontId="56" fillId="0" borderId="110" xfId="61" applyFont="1" applyFill="1" applyBorder="1" applyAlignment="1">
      <alignment horizontal="center" vertical="center" wrapText="1"/>
      <protection/>
    </xf>
    <xf numFmtId="0" fontId="56" fillId="0" borderId="45" xfId="61" applyFont="1" applyFill="1" applyBorder="1" applyAlignment="1">
      <alignment horizontal="center" vertical="center" wrapText="1"/>
      <protection/>
    </xf>
    <xf numFmtId="0" fontId="56" fillId="34" borderId="100" xfId="60" applyFont="1" applyFill="1" applyBorder="1" applyAlignment="1">
      <alignment vertical="center" wrapText="1"/>
      <protection/>
    </xf>
    <xf numFmtId="0" fontId="14" fillId="34" borderId="82" xfId="0" applyFont="1" applyFill="1" applyBorder="1" applyAlignment="1">
      <alignment vertical="center" wrapText="1"/>
    </xf>
    <xf numFmtId="0" fontId="14" fillId="34" borderId="109" xfId="0" applyFont="1" applyFill="1" applyBorder="1" applyAlignment="1">
      <alignment vertical="center" wrapText="1"/>
    </xf>
    <xf numFmtId="0" fontId="42" fillId="0" borderId="100" xfId="60" applyFont="1" applyBorder="1" applyAlignment="1">
      <alignment horizontal="center"/>
      <protection/>
    </xf>
    <xf numFmtId="0" fontId="18" fillId="0" borderId="82" xfId="0" applyFont="1" applyBorder="1" applyAlignment="1">
      <alignment horizontal="center"/>
    </xf>
    <xf numFmtId="0" fontId="18" fillId="0" borderId="109" xfId="0" applyFont="1" applyBorder="1" applyAlignment="1">
      <alignment horizontal="center"/>
    </xf>
    <xf numFmtId="0" fontId="23" fillId="0" borderId="53" xfId="60" applyFont="1" applyBorder="1" applyAlignment="1">
      <alignment horizontal="right"/>
      <protection/>
    </xf>
    <xf numFmtId="0" fontId="18" fillId="0" borderId="0" xfId="0" applyFont="1" applyAlignment="1">
      <alignment horizontal="right"/>
    </xf>
    <xf numFmtId="0" fontId="18" fillId="0" borderId="55" xfId="0" applyFont="1" applyBorder="1" applyAlignment="1">
      <alignment horizontal="right"/>
    </xf>
    <xf numFmtId="0" fontId="15" fillId="0" borderId="137" xfId="61" applyFont="1" applyFill="1" applyBorder="1" applyAlignment="1">
      <alignment horizontal="center" vertical="center" wrapText="1"/>
      <protection/>
    </xf>
    <xf numFmtId="0" fontId="18" fillId="0" borderId="138" xfId="0" applyFont="1" applyBorder="1" applyAlignment="1">
      <alignment/>
    </xf>
    <xf numFmtId="0" fontId="18" fillId="0" borderId="139" xfId="0" applyFont="1" applyBorder="1" applyAlignment="1">
      <alignment/>
    </xf>
    <xf numFmtId="0" fontId="56" fillId="0" borderId="65" xfId="60" applyFont="1" applyBorder="1" applyAlignment="1">
      <alignment horizontal="center" vertical="center"/>
      <protection/>
    </xf>
    <xf numFmtId="0" fontId="56" fillId="0" borderId="47" xfId="60" applyFont="1" applyBorder="1" applyAlignment="1">
      <alignment horizontal="center" vertical="center"/>
      <protection/>
    </xf>
    <xf numFmtId="0" fontId="56" fillId="0" borderId="110" xfId="60" applyFont="1" applyBorder="1" applyAlignment="1">
      <alignment horizontal="center" vertical="center"/>
      <protection/>
    </xf>
    <xf numFmtId="0" fontId="56" fillId="0" borderId="50" xfId="60" applyFont="1" applyBorder="1" applyAlignment="1">
      <alignment horizontal="center" vertical="center"/>
      <protection/>
    </xf>
    <xf numFmtId="0" fontId="56" fillId="0" borderId="32" xfId="60" applyFont="1" applyBorder="1" applyAlignment="1">
      <alignment horizontal="center" vertical="center"/>
      <protection/>
    </xf>
    <xf numFmtId="0" fontId="56" fillId="0" borderId="45" xfId="60" applyFont="1" applyBorder="1" applyAlignment="1">
      <alignment horizontal="center" vertical="center"/>
      <protection/>
    </xf>
    <xf numFmtId="0" fontId="15" fillId="34" borderId="78" xfId="60" applyFont="1" applyFill="1" applyBorder="1" applyAlignment="1">
      <alignment horizontal="right"/>
      <protection/>
    </xf>
    <xf numFmtId="0" fontId="18" fillId="34" borderId="94" xfId="0" applyFont="1" applyFill="1" applyBorder="1" applyAlignment="1">
      <alignment horizontal="right"/>
    </xf>
    <xf numFmtId="0" fontId="18" fillId="34" borderId="106" xfId="0" applyFont="1" applyFill="1" applyBorder="1" applyAlignment="1">
      <alignment horizontal="right"/>
    </xf>
    <xf numFmtId="0" fontId="15" fillId="34" borderId="94" xfId="60" applyFont="1" applyFill="1" applyBorder="1" applyAlignment="1">
      <alignment/>
      <protection/>
    </xf>
    <xf numFmtId="0" fontId="15" fillId="34" borderId="94" xfId="0" applyFont="1" applyFill="1" applyBorder="1" applyAlignment="1">
      <alignment/>
    </xf>
    <xf numFmtId="0" fontId="15" fillId="34" borderId="135" xfId="0" applyFont="1" applyFill="1" applyBorder="1" applyAlignment="1">
      <alignment/>
    </xf>
    <xf numFmtId="0" fontId="22" fillId="0" borderId="50" xfId="60" applyFont="1" applyBorder="1" applyAlignment="1">
      <alignment horizontal="left" vertical="center" wrapText="1"/>
      <protection/>
    </xf>
    <xf numFmtId="0" fontId="22" fillId="0" borderId="32" xfId="60" applyFont="1" applyBorder="1" applyAlignment="1">
      <alignment horizontal="left" vertical="center" wrapText="1"/>
      <protection/>
    </xf>
    <xf numFmtId="0" fontId="22" fillId="0" borderId="26" xfId="60" applyFont="1" applyBorder="1" applyAlignment="1">
      <alignment horizontal="left" vertical="center" wrapText="1"/>
      <protection/>
    </xf>
    <xf numFmtId="0" fontId="15" fillId="0" borderId="140" xfId="61" applyFont="1" applyFill="1" applyBorder="1" applyAlignment="1">
      <alignment horizontal="center" vertical="center" wrapText="1"/>
      <protection/>
    </xf>
    <xf numFmtId="0" fontId="18" fillId="0" borderId="141" xfId="0" applyFont="1" applyBorder="1" applyAlignment="1">
      <alignment horizontal="center" vertical="center" wrapText="1"/>
    </xf>
    <xf numFmtId="0" fontId="18" fillId="0" borderId="142" xfId="0" applyFont="1" applyBorder="1" applyAlignment="1">
      <alignment horizontal="center" vertical="center" wrapText="1"/>
    </xf>
    <xf numFmtId="0" fontId="22" fillId="0" borderId="0" xfId="60" applyFont="1" applyAlignment="1">
      <alignment horizontal="left" wrapText="1"/>
      <protection/>
    </xf>
    <xf numFmtId="0" fontId="22" fillId="0" borderId="53" xfId="60" applyFont="1" applyBorder="1" applyAlignment="1">
      <alignment horizontal="left"/>
      <protection/>
    </xf>
    <xf numFmtId="0" fontId="15" fillId="0" borderId="143" xfId="61" applyFont="1" applyFill="1" applyBorder="1" applyAlignment="1">
      <alignment horizontal="center" vertical="center" wrapText="1"/>
      <protection/>
    </xf>
    <xf numFmtId="0" fontId="18" fillId="0" borderId="138" xfId="0" applyFont="1" applyBorder="1" applyAlignment="1">
      <alignment horizontal="center" vertical="center" wrapText="1"/>
    </xf>
    <xf numFmtId="0" fontId="18" fillId="0" borderId="47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47" xfId="0" applyFont="1" applyBorder="1" applyAlignment="1">
      <alignment/>
    </xf>
    <xf numFmtId="0" fontId="18" fillId="0" borderId="110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91" xfId="0" applyFont="1" applyBorder="1" applyAlignment="1">
      <alignment/>
    </xf>
    <xf numFmtId="3" fontId="15" fillId="0" borderId="62" xfId="60" applyNumberFormat="1" applyFont="1" applyBorder="1" applyAlignment="1">
      <alignment horizontal="right" vertical="center"/>
      <protection/>
    </xf>
    <xf numFmtId="3" fontId="22" fillId="0" borderId="62" xfId="60" applyNumberFormat="1" applyFont="1" applyBorder="1" applyAlignment="1">
      <alignment horizontal="right" vertical="center"/>
      <protection/>
    </xf>
    <xf numFmtId="3" fontId="22" fillId="0" borderId="46" xfId="60" applyNumberFormat="1" applyFont="1" applyBorder="1" applyAlignment="1">
      <alignment horizontal="right" vertical="center"/>
      <protection/>
    </xf>
    <xf numFmtId="0" fontId="23" fillId="0" borderId="69" xfId="60" applyFont="1" applyBorder="1" applyAlignment="1">
      <alignment horizontal="right"/>
      <protection/>
    </xf>
    <xf numFmtId="0" fontId="23" fillId="0" borderId="144" xfId="60" applyFont="1" applyBorder="1" applyAlignment="1">
      <alignment horizontal="right"/>
      <protection/>
    </xf>
    <xf numFmtId="0" fontId="15" fillId="34" borderId="111" xfId="0" applyFont="1" applyFill="1" applyBorder="1" applyAlignment="1">
      <alignment/>
    </xf>
    <xf numFmtId="0" fontId="22" fillId="0" borderId="91" xfId="60" applyFont="1" applyBorder="1" applyAlignment="1">
      <alignment horizontal="left" wrapText="1"/>
      <protection/>
    </xf>
    <xf numFmtId="0" fontId="22" fillId="0" borderId="32" xfId="60" applyFont="1" applyBorder="1" applyAlignment="1">
      <alignment horizontal="left" wrapText="1"/>
      <protection/>
    </xf>
    <xf numFmtId="0" fontId="22" fillId="0" borderId="136" xfId="60" applyFont="1" applyBorder="1" applyAlignment="1">
      <alignment horizontal="left"/>
      <protection/>
    </xf>
    <xf numFmtId="0" fontId="22" fillId="0" borderId="47" xfId="60" applyFont="1" applyBorder="1" applyAlignment="1">
      <alignment horizontal="left"/>
      <protection/>
    </xf>
    <xf numFmtId="0" fontId="15" fillId="0" borderId="145" xfId="61" applyFont="1" applyFill="1" applyBorder="1" applyAlignment="1">
      <alignment horizontal="center" vertical="center" wrapText="1"/>
      <protection/>
    </xf>
    <xf numFmtId="0" fontId="18" fillId="0" borderId="67" xfId="0" applyFont="1" applyBorder="1" applyAlignment="1">
      <alignment/>
    </xf>
    <xf numFmtId="0" fontId="18" fillId="0" borderId="84" xfId="0" applyFont="1" applyBorder="1" applyAlignment="1">
      <alignment/>
    </xf>
    <xf numFmtId="0" fontId="18" fillId="0" borderId="146" xfId="0" applyFont="1" applyBorder="1" applyAlignment="1">
      <alignment horizontal="center" vertical="center" wrapText="1"/>
    </xf>
    <xf numFmtId="0" fontId="41" fillId="0" borderId="0" xfId="61" applyFont="1" applyFill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5" fillId="0" borderId="147" xfId="61" applyFont="1" applyFill="1" applyBorder="1" applyAlignment="1">
      <alignment horizontal="center" vertical="center" wrapText="1"/>
      <protection/>
    </xf>
    <xf numFmtId="0" fontId="56" fillId="0" borderId="65" xfId="60" applyFont="1" applyBorder="1" applyAlignment="1">
      <alignment horizontal="center" wrapText="1"/>
      <protection/>
    </xf>
    <xf numFmtId="0" fontId="56" fillId="0" borderId="47" xfId="60" applyFont="1" applyBorder="1" applyAlignment="1">
      <alignment horizontal="center" wrapText="1"/>
      <protection/>
    </xf>
    <xf numFmtId="0" fontId="56" fillId="0" borderId="50" xfId="60" applyFont="1" applyBorder="1" applyAlignment="1">
      <alignment horizontal="center" wrapText="1"/>
      <protection/>
    </xf>
    <xf numFmtId="0" fontId="56" fillId="0" borderId="32" xfId="60" applyFont="1" applyBorder="1" applyAlignment="1">
      <alignment horizontal="center" wrapText="1"/>
      <protection/>
    </xf>
    <xf numFmtId="0" fontId="18" fillId="0" borderId="47" xfId="60" applyFont="1" applyBorder="1" applyAlignment="1">
      <alignment horizontal="center" vertical="center"/>
      <protection/>
    </xf>
    <xf numFmtId="0" fontId="18" fillId="0" borderId="110" xfId="60" applyFont="1" applyBorder="1" applyAlignment="1">
      <alignment horizontal="center" vertical="center"/>
      <protection/>
    </xf>
    <xf numFmtId="0" fontId="18" fillId="0" borderId="50" xfId="60" applyFont="1" applyBorder="1" applyAlignment="1">
      <alignment horizontal="center" vertical="center"/>
      <protection/>
    </xf>
    <xf numFmtId="0" fontId="18" fillId="0" borderId="32" xfId="60" applyFont="1" applyBorder="1" applyAlignment="1">
      <alignment horizontal="center" vertical="center"/>
      <protection/>
    </xf>
    <xf numFmtId="0" fontId="18" fillId="0" borderId="45" xfId="60" applyFont="1" applyBorder="1" applyAlignment="1">
      <alignment horizontal="center" vertical="center"/>
      <protection/>
    </xf>
    <xf numFmtId="0" fontId="22" fillId="0" borderId="59" xfId="60" applyFont="1" applyBorder="1" applyAlignment="1">
      <alignment horizontal="left" wrapText="1"/>
      <protection/>
    </xf>
    <xf numFmtId="3" fontId="15" fillId="0" borderId="127" xfId="60" applyNumberFormat="1" applyFont="1" applyBorder="1" applyAlignment="1">
      <alignment horizontal="right" vertical="center" wrapText="1"/>
      <protection/>
    </xf>
    <xf numFmtId="3" fontId="15" fillId="0" borderId="89" xfId="60" applyNumberFormat="1" applyFont="1" applyBorder="1" applyAlignment="1">
      <alignment horizontal="right" vertical="center" wrapText="1"/>
      <protection/>
    </xf>
    <xf numFmtId="3" fontId="15" fillId="0" borderId="128" xfId="60" applyNumberFormat="1" applyFont="1" applyBorder="1" applyAlignment="1">
      <alignment horizontal="right" vertical="center" wrapText="1"/>
      <protection/>
    </xf>
    <xf numFmtId="0" fontId="22" fillId="0" borderId="91" xfId="60" applyFont="1" applyBorder="1" applyAlignment="1">
      <alignment horizontal="left" vertical="center" wrapText="1"/>
      <protection/>
    </xf>
    <xf numFmtId="3" fontId="15" fillId="0" borderId="58" xfId="60" applyNumberFormat="1" applyFont="1" applyBorder="1" applyAlignment="1">
      <alignment horizontal="right" vertical="center"/>
      <protection/>
    </xf>
    <xf numFmtId="3" fontId="15" fillId="0" borderId="61" xfId="60" applyNumberFormat="1" applyFont="1" applyBorder="1" applyAlignment="1">
      <alignment horizontal="right" vertical="center"/>
      <protection/>
    </xf>
    <xf numFmtId="0" fontId="22" fillId="0" borderId="132" xfId="60" applyFont="1" applyBorder="1" applyAlignment="1">
      <alignment horizontal="left" vertical="center"/>
      <protection/>
    </xf>
    <xf numFmtId="0" fontId="22" fillId="0" borderId="57" xfId="60" applyFont="1" applyBorder="1" applyAlignment="1">
      <alignment horizontal="left" vertical="center"/>
      <protection/>
    </xf>
    <xf numFmtId="0" fontId="57" fillId="0" borderId="53" xfId="60" applyFont="1" applyBorder="1" applyAlignment="1">
      <alignment horizontal="left"/>
      <protection/>
    </xf>
    <xf numFmtId="3" fontId="15" fillId="0" borderId="136" xfId="60" applyNumberFormat="1" applyFont="1" applyBorder="1" applyAlignment="1">
      <alignment horizontal="right" vertical="center"/>
      <protection/>
    </xf>
    <xf numFmtId="3" fontId="15" fillId="0" borderId="91" xfId="60" applyNumberFormat="1" applyFont="1" applyBorder="1" applyAlignment="1">
      <alignment horizontal="right" vertical="center"/>
      <protection/>
    </xf>
    <xf numFmtId="0" fontId="22" fillId="0" borderId="65" xfId="60" applyFont="1" applyBorder="1" applyAlignment="1">
      <alignment horizontal="left"/>
      <protection/>
    </xf>
    <xf numFmtId="3" fontId="15" fillId="0" borderId="148" xfId="60" applyNumberFormat="1" applyFont="1" applyBorder="1" applyAlignment="1">
      <alignment horizontal="right" vertical="center"/>
      <protection/>
    </xf>
    <xf numFmtId="3" fontId="15" fillId="0" borderId="85" xfId="60" applyNumberFormat="1" applyFont="1" applyBorder="1" applyAlignment="1">
      <alignment horizontal="right" vertical="center"/>
      <protection/>
    </xf>
    <xf numFmtId="0" fontId="22" fillId="0" borderId="59" xfId="60" applyFont="1" applyBorder="1" applyAlignment="1">
      <alignment horizontal="left" vertical="center" wrapText="1"/>
      <protection/>
    </xf>
    <xf numFmtId="0" fontId="22" fillId="0" borderId="71" xfId="60" applyFont="1" applyBorder="1" applyAlignment="1">
      <alignment horizontal="left" wrapText="1"/>
      <protection/>
    </xf>
    <xf numFmtId="0" fontId="22" fillId="0" borderId="69" xfId="60" applyFont="1" applyBorder="1" applyAlignment="1">
      <alignment horizontal="left" wrapText="1"/>
      <protection/>
    </xf>
    <xf numFmtId="0" fontId="21" fillId="0" borderId="0" xfId="0" applyFont="1" applyAlignment="1">
      <alignment horizontal="center"/>
    </xf>
    <xf numFmtId="0" fontId="12" fillId="0" borderId="3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37" fillId="0" borderId="0" xfId="0" applyFont="1" applyAlignment="1">
      <alignment/>
    </xf>
    <xf numFmtId="0" fontId="60" fillId="0" borderId="0" xfId="0" applyFont="1" applyFill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5" fillId="0" borderId="0" xfId="63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0" fillId="0" borderId="34" xfId="63" applyFont="1" applyBorder="1" applyAlignment="1">
      <alignment horizontal="center" vertical="center"/>
      <protection/>
    </xf>
    <xf numFmtId="0" fontId="20" fillId="0" borderId="21" xfId="63" applyFont="1" applyBorder="1" applyAlignment="1">
      <alignment horizontal="center" vertical="center"/>
      <protection/>
    </xf>
    <xf numFmtId="0" fontId="15" fillId="0" borderId="35" xfId="63" applyFont="1" applyBorder="1" applyAlignment="1">
      <alignment horizontal="center" vertical="center" wrapText="1"/>
      <protection/>
    </xf>
    <xf numFmtId="0" fontId="15" fillId="0" borderId="22" xfId="63" applyFont="1" applyBorder="1" applyAlignment="1">
      <alignment horizontal="center" vertical="center" wrapText="1"/>
      <protection/>
    </xf>
    <xf numFmtId="0" fontId="15" fillId="0" borderId="10" xfId="63" applyFont="1" applyBorder="1" applyAlignment="1">
      <alignment horizontal="center" vertical="center" wrapText="1"/>
      <protection/>
    </xf>
    <xf numFmtId="0" fontId="15" fillId="0" borderId="23" xfId="63" applyFont="1" applyBorder="1" applyAlignment="1">
      <alignment horizontal="center" vertical="center" wrapText="1"/>
      <protection/>
    </xf>
    <xf numFmtId="0" fontId="2" fillId="32" borderId="22" xfId="62" applyFont="1" applyFill="1" applyBorder="1" applyAlignment="1">
      <alignment horizontal="right"/>
      <protection/>
    </xf>
    <xf numFmtId="0" fontId="2" fillId="32" borderId="14" xfId="62" applyFont="1" applyFill="1" applyBorder="1" applyAlignment="1">
      <alignment horizontal="right"/>
      <protection/>
    </xf>
    <xf numFmtId="0" fontId="36" fillId="32" borderId="22" xfId="62" applyFont="1" applyFill="1" applyBorder="1" applyAlignment="1">
      <alignment horizontal="left"/>
      <protection/>
    </xf>
    <xf numFmtId="0" fontId="36" fillId="32" borderId="14" xfId="62" applyFont="1" applyFill="1" applyBorder="1" applyAlignment="1">
      <alignment horizontal="left"/>
      <protection/>
    </xf>
    <xf numFmtId="0" fontId="1" fillId="0" borderId="127" xfId="62" applyFont="1" applyBorder="1" applyAlignment="1">
      <alignment horizontal="center" vertical="center" wrapText="1"/>
      <protection/>
    </xf>
    <xf numFmtId="0" fontId="13" fillId="0" borderId="29" xfId="62" applyBorder="1" applyAlignment="1">
      <alignment horizontal="center" vertical="center" wrapText="1"/>
      <protection/>
    </xf>
    <xf numFmtId="0" fontId="1" fillId="0" borderId="15" xfId="62" applyFont="1" applyBorder="1" applyAlignment="1">
      <alignment horizontal="center" vertical="center"/>
      <protection/>
    </xf>
    <xf numFmtId="0" fontId="1" fillId="0" borderId="25" xfId="62" applyFont="1" applyBorder="1" applyAlignment="1">
      <alignment horizontal="center" vertical="center"/>
      <protection/>
    </xf>
    <xf numFmtId="0" fontId="1" fillId="0" borderId="22" xfId="62" applyFont="1" applyBorder="1" applyAlignment="1">
      <alignment horizontal="center" vertical="center"/>
      <protection/>
    </xf>
    <xf numFmtId="0" fontId="1" fillId="0" borderId="0" xfId="62" applyFont="1" applyAlignment="1">
      <alignment horizontal="center" wrapText="1"/>
      <protection/>
    </xf>
    <xf numFmtId="0" fontId="1" fillId="0" borderId="0" xfId="62" applyFont="1" applyAlignment="1">
      <alignment horizontal="center"/>
      <protection/>
    </xf>
    <xf numFmtId="0" fontId="1" fillId="0" borderId="35" xfId="62" applyFont="1" applyBorder="1" applyAlignment="1">
      <alignment horizontal="center" vertical="center"/>
      <protection/>
    </xf>
    <xf numFmtId="0" fontId="1" fillId="0" borderId="122" xfId="62" applyFont="1" applyBorder="1" applyAlignment="1">
      <alignment horizontal="center" vertical="center"/>
      <protection/>
    </xf>
    <xf numFmtId="0" fontId="1" fillId="0" borderId="34" xfId="62" applyFont="1" applyBorder="1" applyAlignment="1">
      <alignment horizontal="center" vertical="center"/>
      <protection/>
    </xf>
    <xf numFmtId="0" fontId="1" fillId="0" borderId="10" xfId="62" applyFont="1" applyBorder="1" applyAlignment="1">
      <alignment horizontal="center" vertical="center"/>
      <protection/>
    </xf>
    <xf numFmtId="0" fontId="1" fillId="0" borderId="34" xfId="62" applyFont="1" applyBorder="1" applyAlignment="1">
      <alignment horizontal="center" vertical="center" wrapText="1"/>
      <protection/>
    </xf>
    <xf numFmtId="0" fontId="1" fillId="0" borderId="124" xfId="62" applyFont="1" applyBorder="1" applyAlignment="1">
      <alignment horizontal="center" vertical="center" wrapText="1"/>
      <protection/>
    </xf>
    <xf numFmtId="0" fontId="1" fillId="0" borderId="35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_Kötelező, önként vállalt, állami feladatok szerinti bontás" xfId="60"/>
    <cellStyle name="Normál_Munka1" xfId="61"/>
    <cellStyle name="Normál_NORM09" xfId="62"/>
    <cellStyle name="Normál_TABLAK_táblák2012előterj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01"/>
  <sheetViews>
    <sheetView tabSelected="1" zoomScalePageLayoutView="0" workbookViewId="0" topLeftCell="A171">
      <selection activeCell="E10" sqref="E10"/>
    </sheetView>
  </sheetViews>
  <sheetFormatPr defaultColWidth="9.00390625" defaultRowHeight="12.75"/>
  <cols>
    <col min="1" max="1" width="5.125" style="156" customWidth="1"/>
    <col min="2" max="3" width="9.125" style="156" customWidth="1"/>
    <col min="4" max="4" width="5.875" style="156" customWidth="1"/>
    <col min="5" max="5" width="49.875" style="156" customWidth="1"/>
    <col min="6" max="6" width="16.125" style="156" bestFit="1" customWidth="1"/>
    <col min="7" max="7" width="13.625" style="156" customWidth="1"/>
    <col min="8" max="8" width="15.125" style="156" customWidth="1"/>
    <col min="9" max="9" width="15.875" style="156" bestFit="1" customWidth="1"/>
    <col min="10" max="16384" width="9.125" style="156" customWidth="1"/>
  </cols>
  <sheetData>
    <row r="1" spans="1:9" ht="15">
      <c r="A1" s="82"/>
      <c r="B1" s="183"/>
      <c r="C1" s="183"/>
      <c r="D1" s="183"/>
      <c r="E1" s="184"/>
      <c r="F1" s="777" t="s">
        <v>1062</v>
      </c>
      <c r="G1" s="778"/>
      <c r="H1" s="778"/>
      <c r="I1" s="778"/>
    </row>
    <row r="2" spans="1:9" ht="15">
      <c r="A2" s="82"/>
      <c r="B2" s="183"/>
      <c r="C2" s="183"/>
      <c r="D2" s="183"/>
      <c r="E2" s="184"/>
      <c r="F2" s="762"/>
      <c r="G2" s="763"/>
      <c r="H2" s="763"/>
      <c r="I2" s="763"/>
    </row>
    <row r="3" spans="1:9" ht="15.75">
      <c r="A3" s="782" t="s">
        <v>678</v>
      </c>
      <c r="B3" s="782"/>
      <c r="C3" s="782"/>
      <c r="D3" s="782"/>
      <c r="E3" s="782"/>
      <c r="F3" s="782"/>
      <c r="G3" s="782"/>
      <c r="H3" s="782"/>
      <c r="I3" s="782"/>
    </row>
    <row r="4" spans="1:9" ht="12.75">
      <c r="A4" s="82"/>
      <c r="B4" s="82"/>
      <c r="C4" s="82"/>
      <c r="D4" s="82"/>
      <c r="E4" s="82"/>
      <c r="F4" s="183"/>
      <c r="G4" s="183"/>
      <c r="H4" s="183"/>
      <c r="I4" s="183"/>
    </row>
    <row r="5" spans="1:9" ht="12.75">
      <c r="A5" s="82"/>
      <c r="B5" s="183"/>
      <c r="C5" s="183"/>
      <c r="D5" s="183"/>
      <c r="E5" s="183"/>
      <c r="F5" s="183"/>
      <c r="G5" s="183"/>
      <c r="H5" s="183"/>
      <c r="I5" s="184" t="s">
        <v>679</v>
      </c>
    </row>
    <row r="6" spans="1:9" ht="60">
      <c r="A6" s="765" t="s">
        <v>0</v>
      </c>
      <c r="B6" s="766"/>
      <c r="C6" s="766"/>
      <c r="D6" s="766"/>
      <c r="E6" s="767"/>
      <c r="F6" s="163" t="s">
        <v>103</v>
      </c>
      <c r="G6" s="163" t="s">
        <v>385</v>
      </c>
      <c r="H6" s="163" t="s">
        <v>917</v>
      </c>
      <c r="I6" s="163" t="s">
        <v>379</v>
      </c>
    </row>
    <row r="7" spans="1:9" s="167" customFormat="1" ht="15">
      <c r="A7" s="185" t="s">
        <v>446</v>
      </c>
      <c r="B7" s="779" t="s">
        <v>447</v>
      </c>
      <c r="C7" s="780"/>
      <c r="D7" s="780"/>
      <c r="E7" s="781"/>
      <c r="F7" s="186" t="s">
        <v>448</v>
      </c>
      <c r="G7" s="186" t="s">
        <v>449</v>
      </c>
      <c r="H7" s="186" t="s">
        <v>450</v>
      </c>
      <c r="I7" s="186" t="s">
        <v>451</v>
      </c>
    </row>
    <row r="8" spans="1:9" s="189" customFormat="1" ht="12.75">
      <c r="A8" s="187" t="s">
        <v>237</v>
      </c>
      <c r="B8" s="768" t="s">
        <v>238</v>
      </c>
      <c r="C8" s="768"/>
      <c r="D8" s="768"/>
      <c r="E8" s="768"/>
      <c r="F8" s="188">
        <f>SUM(F9+F16+F17+F18+F29+F30)</f>
        <v>842514671</v>
      </c>
      <c r="G8" s="188">
        <f>SUM(G9+G16+G17+G18+G29+G30)</f>
        <v>589260</v>
      </c>
      <c r="H8" s="188">
        <f>SUM(H9+H16+H17+H18+H29+H30)</f>
        <v>36764693</v>
      </c>
      <c r="I8" s="188">
        <f>SUM(F8:H8)</f>
        <v>879868624</v>
      </c>
    </row>
    <row r="9" spans="1:9" ht="12.75">
      <c r="A9" s="190"/>
      <c r="B9" s="190" t="s">
        <v>239</v>
      </c>
      <c r="C9" s="764" t="s">
        <v>240</v>
      </c>
      <c r="D9" s="764"/>
      <c r="E9" s="764"/>
      <c r="F9" s="191">
        <f>SUM(F10:F15)</f>
        <v>582080994</v>
      </c>
      <c r="G9" s="191">
        <f>SUM(G10:G15)</f>
        <v>0</v>
      </c>
      <c r="H9" s="191">
        <f>SUM(H10:H15)</f>
        <v>0</v>
      </c>
      <c r="I9" s="192">
        <f aca="true" t="shared" si="0" ref="I9:I75">SUM(F9:H9)</f>
        <v>582080994</v>
      </c>
    </row>
    <row r="10" spans="1:9" ht="12.75">
      <c r="A10" s="193"/>
      <c r="B10" s="193"/>
      <c r="C10" s="193" t="s">
        <v>241</v>
      </c>
      <c r="D10" s="193"/>
      <c r="E10" s="193" t="s">
        <v>709</v>
      </c>
      <c r="F10" s="194">
        <f>199631709+1000000</f>
        <v>200631709</v>
      </c>
      <c r="G10" s="194">
        <v>0</v>
      </c>
      <c r="H10" s="194">
        <v>0</v>
      </c>
      <c r="I10" s="195">
        <f t="shared" si="0"/>
        <v>200631709</v>
      </c>
    </row>
    <row r="11" spans="1:9" ht="12.75">
      <c r="A11" s="193"/>
      <c r="B11" s="196"/>
      <c r="C11" s="193" t="s">
        <v>242</v>
      </c>
      <c r="D11" s="193"/>
      <c r="E11" s="193" t="s">
        <v>715</v>
      </c>
      <c r="F11" s="194">
        <f>126843602+5138000+767984+639001-100091</f>
        <v>133288496</v>
      </c>
      <c r="G11" s="194">
        <v>0</v>
      </c>
      <c r="H11" s="194">
        <v>0</v>
      </c>
      <c r="I11" s="195">
        <f t="shared" si="0"/>
        <v>133288496</v>
      </c>
    </row>
    <row r="12" spans="1:9" ht="12.75">
      <c r="A12" s="193"/>
      <c r="B12" s="193"/>
      <c r="C12" s="193" t="s">
        <v>243</v>
      </c>
      <c r="D12" s="193"/>
      <c r="E12" s="193" t="s">
        <v>680</v>
      </c>
      <c r="F12" s="194">
        <f>150128804+9413647-38760+2957076-272982+2764334</f>
        <v>164952119</v>
      </c>
      <c r="G12" s="194">
        <v>0</v>
      </c>
      <c r="H12" s="194">
        <v>0</v>
      </c>
      <c r="I12" s="195">
        <f t="shared" si="0"/>
        <v>164952119</v>
      </c>
    </row>
    <row r="13" spans="1:9" ht="12.75">
      <c r="A13" s="193"/>
      <c r="B13" s="193"/>
      <c r="C13" s="193" t="s">
        <v>244</v>
      </c>
      <c r="D13" s="193"/>
      <c r="E13" s="193" t="s">
        <v>716</v>
      </c>
      <c r="F13" s="194">
        <v>10164240</v>
      </c>
      <c r="G13" s="194">
        <v>0</v>
      </c>
      <c r="H13" s="194">
        <v>0</v>
      </c>
      <c r="I13" s="195">
        <f t="shared" si="0"/>
        <v>10164240</v>
      </c>
    </row>
    <row r="14" spans="1:9" ht="12.75">
      <c r="A14" s="193"/>
      <c r="B14" s="193"/>
      <c r="C14" s="193" t="s">
        <v>245</v>
      </c>
      <c r="D14" s="193"/>
      <c r="E14" s="193" t="s">
        <v>710</v>
      </c>
      <c r="F14" s="194">
        <f>1835612+6949788+1614100+4556666+18133038+40000000-44774</f>
        <v>73044430</v>
      </c>
      <c r="G14" s="194">
        <v>0</v>
      </c>
      <c r="H14" s="194">
        <v>0</v>
      </c>
      <c r="I14" s="195">
        <f t="shared" si="0"/>
        <v>73044430</v>
      </c>
    </row>
    <row r="15" spans="1:9" ht="12.75">
      <c r="A15" s="197"/>
      <c r="B15" s="197"/>
      <c r="C15" s="193" t="s">
        <v>246</v>
      </c>
      <c r="D15" s="197"/>
      <c r="E15" s="193" t="s">
        <v>587</v>
      </c>
      <c r="F15" s="194">
        <v>0</v>
      </c>
      <c r="G15" s="194">
        <v>0</v>
      </c>
      <c r="H15" s="194">
        <v>0</v>
      </c>
      <c r="I15" s="195">
        <f t="shared" si="0"/>
        <v>0</v>
      </c>
    </row>
    <row r="16" spans="1:9" ht="12.75">
      <c r="A16" s="190"/>
      <c r="B16" s="190" t="s">
        <v>247</v>
      </c>
      <c r="C16" s="764" t="s">
        <v>248</v>
      </c>
      <c r="D16" s="764"/>
      <c r="E16" s="764"/>
      <c r="F16" s="191">
        <f>1486017+67767</f>
        <v>1553784</v>
      </c>
      <c r="G16" s="191">
        <v>0</v>
      </c>
      <c r="H16" s="191">
        <v>0</v>
      </c>
      <c r="I16" s="192">
        <f t="shared" si="0"/>
        <v>1553784</v>
      </c>
    </row>
    <row r="17" spans="1:9" ht="12.75">
      <c r="A17" s="190"/>
      <c r="B17" s="190" t="s">
        <v>249</v>
      </c>
      <c r="C17" s="764" t="s">
        <v>711</v>
      </c>
      <c r="D17" s="764"/>
      <c r="E17" s="764"/>
      <c r="F17" s="191">
        <v>0</v>
      </c>
      <c r="G17" s="191">
        <v>0</v>
      </c>
      <c r="H17" s="191">
        <v>0</v>
      </c>
      <c r="I17" s="192">
        <f>SUM(F17:H17)</f>
        <v>0</v>
      </c>
    </row>
    <row r="18" spans="1:9" ht="12.75">
      <c r="A18" s="190"/>
      <c r="B18" s="190" t="s">
        <v>250</v>
      </c>
      <c r="C18" s="764" t="s">
        <v>712</v>
      </c>
      <c r="D18" s="764"/>
      <c r="E18" s="764"/>
      <c r="F18" s="191">
        <f>SUM(F19:F28)</f>
        <v>0</v>
      </c>
      <c r="G18" s="191">
        <f>SUM(G19:G28)</f>
        <v>0</v>
      </c>
      <c r="H18" s="191">
        <f>SUM(H19:H28)</f>
        <v>0</v>
      </c>
      <c r="I18" s="192">
        <f t="shared" si="0"/>
        <v>0</v>
      </c>
    </row>
    <row r="19" spans="1:9" ht="12.75" hidden="1">
      <c r="A19" s="198"/>
      <c r="B19" s="198"/>
      <c r="C19" s="199" t="s">
        <v>2</v>
      </c>
      <c r="D19" s="199" t="s">
        <v>175</v>
      </c>
      <c r="E19" s="199" t="s">
        <v>176</v>
      </c>
      <c r="F19" s="200">
        <v>0</v>
      </c>
      <c r="G19" s="200">
        <v>0</v>
      </c>
      <c r="H19" s="200">
        <v>0</v>
      </c>
      <c r="I19" s="201">
        <f t="shared" si="0"/>
        <v>0</v>
      </c>
    </row>
    <row r="20" spans="1:9" ht="12.75" hidden="1">
      <c r="A20" s="198"/>
      <c r="B20" s="198"/>
      <c r="C20" s="199"/>
      <c r="D20" s="199" t="s">
        <v>177</v>
      </c>
      <c r="E20" s="199" t="s">
        <v>178</v>
      </c>
      <c r="F20" s="200">
        <v>0</v>
      </c>
      <c r="G20" s="200">
        <v>0</v>
      </c>
      <c r="H20" s="200">
        <v>0</v>
      </c>
      <c r="I20" s="201">
        <f t="shared" si="0"/>
        <v>0</v>
      </c>
    </row>
    <row r="21" spans="1:9" ht="12.75" hidden="1">
      <c r="A21" s="198"/>
      <c r="B21" s="198"/>
      <c r="C21" s="199"/>
      <c r="D21" s="199" t="s">
        <v>179</v>
      </c>
      <c r="E21" s="199" t="s">
        <v>251</v>
      </c>
      <c r="F21" s="200">
        <v>0</v>
      </c>
      <c r="G21" s="200">
        <v>0</v>
      </c>
      <c r="H21" s="200">
        <v>0</v>
      </c>
      <c r="I21" s="201">
        <f t="shared" si="0"/>
        <v>0</v>
      </c>
    </row>
    <row r="22" spans="1:9" ht="12.75" hidden="1">
      <c r="A22" s="198"/>
      <c r="B22" s="198"/>
      <c r="C22" s="199"/>
      <c r="D22" s="199" t="s">
        <v>181</v>
      </c>
      <c r="E22" s="199" t="s">
        <v>182</v>
      </c>
      <c r="F22" s="200">
        <v>0</v>
      </c>
      <c r="G22" s="200">
        <v>0</v>
      </c>
      <c r="H22" s="200">
        <v>0</v>
      </c>
      <c r="I22" s="201">
        <f t="shared" si="0"/>
        <v>0</v>
      </c>
    </row>
    <row r="23" spans="1:9" ht="12.75" hidden="1">
      <c r="A23" s="198"/>
      <c r="B23" s="198"/>
      <c r="C23" s="199"/>
      <c r="D23" s="199" t="s">
        <v>183</v>
      </c>
      <c r="E23" s="199" t="s">
        <v>184</v>
      </c>
      <c r="F23" s="200">
        <v>0</v>
      </c>
      <c r="G23" s="200">
        <v>0</v>
      </c>
      <c r="H23" s="200">
        <v>0</v>
      </c>
      <c r="I23" s="201">
        <f t="shared" si="0"/>
        <v>0</v>
      </c>
    </row>
    <row r="24" spans="1:9" ht="12.75" hidden="1">
      <c r="A24" s="198"/>
      <c r="B24" s="198"/>
      <c r="C24" s="199"/>
      <c r="D24" s="199" t="s">
        <v>185</v>
      </c>
      <c r="E24" s="199" t="s">
        <v>186</v>
      </c>
      <c r="F24" s="200">
        <v>0</v>
      </c>
      <c r="G24" s="200">
        <v>0</v>
      </c>
      <c r="H24" s="200">
        <v>0</v>
      </c>
      <c r="I24" s="201">
        <f t="shared" si="0"/>
        <v>0</v>
      </c>
    </row>
    <row r="25" spans="1:9" ht="12.75" hidden="1">
      <c r="A25" s="198"/>
      <c r="B25" s="198"/>
      <c r="C25" s="199"/>
      <c r="D25" s="199" t="s">
        <v>187</v>
      </c>
      <c r="E25" s="199" t="s">
        <v>188</v>
      </c>
      <c r="F25" s="200">
        <v>0</v>
      </c>
      <c r="G25" s="200">
        <v>0</v>
      </c>
      <c r="H25" s="200">
        <v>0</v>
      </c>
      <c r="I25" s="201">
        <f t="shared" si="0"/>
        <v>0</v>
      </c>
    </row>
    <row r="26" spans="1:9" ht="12.75" hidden="1">
      <c r="A26" s="198"/>
      <c r="B26" s="198"/>
      <c r="C26" s="199"/>
      <c r="D26" s="199" t="s">
        <v>189</v>
      </c>
      <c r="E26" s="199" t="s">
        <v>190</v>
      </c>
      <c r="F26" s="200"/>
      <c r="G26" s="200">
        <v>0</v>
      </c>
      <c r="H26" s="200">
        <v>0</v>
      </c>
      <c r="I26" s="201">
        <f t="shared" si="0"/>
        <v>0</v>
      </c>
    </row>
    <row r="27" spans="1:9" ht="12.75" hidden="1">
      <c r="A27" s="198"/>
      <c r="B27" s="198"/>
      <c r="C27" s="199"/>
      <c r="D27" s="199" t="s">
        <v>191</v>
      </c>
      <c r="E27" s="199" t="s">
        <v>192</v>
      </c>
      <c r="F27" s="200">
        <v>0</v>
      </c>
      <c r="G27" s="200">
        <v>0</v>
      </c>
      <c r="H27" s="200">
        <v>0</v>
      </c>
      <c r="I27" s="201">
        <f t="shared" si="0"/>
        <v>0</v>
      </c>
    </row>
    <row r="28" spans="1:9" ht="12.75" hidden="1">
      <c r="A28" s="198"/>
      <c r="B28" s="198"/>
      <c r="C28" s="199"/>
      <c r="D28" s="199" t="s">
        <v>193</v>
      </c>
      <c r="E28" s="199" t="s">
        <v>194</v>
      </c>
      <c r="F28" s="200">
        <v>0</v>
      </c>
      <c r="G28" s="200">
        <v>0</v>
      </c>
      <c r="H28" s="200">
        <v>0</v>
      </c>
      <c r="I28" s="201">
        <f t="shared" si="0"/>
        <v>0</v>
      </c>
    </row>
    <row r="29" spans="1:9" ht="12.75">
      <c r="A29" s="190"/>
      <c r="B29" s="190" t="s">
        <v>252</v>
      </c>
      <c r="C29" s="764" t="s">
        <v>713</v>
      </c>
      <c r="D29" s="764"/>
      <c r="E29" s="764"/>
      <c r="F29" s="191">
        <v>0</v>
      </c>
      <c r="G29" s="191">
        <v>0</v>
      </c>
      <c r="H29" s="191">
        <v>0</v>
      </c>
      <c r="I29" s="192">
        <f t="shared" si="0"/>
        <v>0</v>
      </c>
    </row>
    <row r="30" spans="1:9" ht="12.75">
      <c r="A30" s="190"/>
      <c r="B30" s="190" t="s">
        <v>253</v>
      </c>
      <c r="C30" s="764" t="s">
        <v>714</v>
      </c>
      <c r="D30" s="764"/>
      <c r="E30" s="764"/>
      <c r="F30" s="191">
        <f>SUM(F31:F41)</f>
        <v>258879893</v>
      </c>
      <c r="G30" s="191">
        <f>SUM(G31:G41)</f>
        <v>589260</v>
      </c>
      <c r="H30" s="191">
        <f>SUM(H31:H41)</f>
        <v>36764693</v>
      </c>
      <c r="I30" s="192">
        <f t="shared" si="0"/>
        <v>296233846</v>
      </c>
    </row>
    <row r="31" spans="1:9" ht="12.75">
      <c r="A31" s="198"/>
      <c r="B31" s="198"/>
      <c r="C31" s="199" t="s">
        <v>2</v>
      </c>
      <c r="D31" s="199" t="s">
        <v>175</v>
      </c>
      <c r="E31" s="199" t="s">
        <v>176</v>
      </c>
      <c r="F31" s="200">
        <v>0</v>
      </c>
      <c r="G31" s="200">
        <v>0</v>
      </c>
      <c r="H31" s="200">
        <v>0</v>
      </c>
      <c r="I31" s="201">
        <f t="shared" si="0"/>
        <v>0</v>
      </c>
    </row>
    <row r="32" spans="1:9" ht="12.75">
      <c r="A32" s="198"/>
      <c r="B32" s="198"/>
      <c r="C32" s="199"/>
      <c r="D32" s="199" t="s">
        <v>177</v>
      </c>
      <c r="E32" s="199" t="s">
        <v>178</v>
      </c>
      <c r="F32" s="200">
        <v>0</v>
      </c>
      <c r="G32" s="200">
        <v>0</v>
      </c>
      <c r="H32" s="200">
        <v>0</v>
      </c>
      <c r="I32" s="201">
        <f t="shared" si="0"/>
        <v>0</v>
      </c>
    </row>
    <row r="33" spans="1:9" ht="12.75">
      <c r="A33" s="202"/>
      <c r="B33" s="202"/>
      <c r="C33" s="203"/>
      <c r="D33" s="203" t="s">
        <v>179</v>
      </c>
      <c r="E33" s="203" t="s">
        <v>717</v>
      </c>
      <c r="F33" s="200">
        <f>3850000+16135642+2000000</f>
        <v>21985642</v>
      </c>
      <c r="G33" s="200">
        <v>0</v>
      </c>
      <c r="H33" s="200">
        <v>36146378</v>
      </c>
      <c r="I33" s="201">
        <f t="shared" si="0"/>
        <v>58132020</v>
      </c>
    </row>
    <row r="34" spans="1:9" ht="12.75">
      <c r="A34" s="198"/>
      <c r="B34" s="198"/>
      <c r="C34" s="199"/>
      <c r="D34" s="199" t="s">
        <v>181</v>
      </c>
      <c r="E34" s="199" t="s">
        <v>182</v>
      </c>
      <c r="F34" s="200">
        <f>50236259-4379345-2000000</f>
        <v>43856914</v>
      </c>
      <c r="G34" s="200">
        <v>0</v>
      </c>
      <c r="H34" s="200">
        <v>0</v>
      </c>
      <c r="I34" s="201">
        <f t="shared" si="0"/>
        <v>43856914</v>
      </c>
    </row>
    <row r="35" spans="1:9" ht="12.75">
      <c r="A35" s="198"/>
      <c r="B35" s="198"/>
      <c r="C35" s="199"/>
      <c r="D35" s="199" t="s">
        <v>183</v>
      </c>
      <c r="E35" s="199" t="s">
        <v>184</v>
      </c>
      <c r="F35" s="200">
        <f>31968000+165000</f>
        <v>32133000</v>
      </c>
      <c r="G35" s="200">
        <v>0</v>
      </c>
      <c r="H35" s="200">
        <v>0</v>
      </c>
      <c r="I35" s="201">
        <f t="shared" si="0"/>
        <v>32133000</v>
      </c>
    </row>
    <row r="36" spans="1:9" ht="12.75">
      <c r="A36" s="198"/>
      <c r="B36" s="198"/>
      <c r="C36" s="199"/>
      <c r="D36" s="199" t="s">
        <v>185</v>
      </c>
      <c r="E36" s="199" t="s">
        <v>186</v>
      </c>
      <c r="F36" s="200">
        <f>108223380+40591438+978201+1900000</f>
        <v>151693019</v>
      </c>
      <c r="G36" s="200">
        <v>589260</v>
      </c>
      <c r="H36" s="200">
        <v>583315</v>
      </c>
      <c r="I36" s="201">
        <f t="shared" si="0"/>
        <v>152865594</v>
      </c>
    </row>
    <row r="37" spans="1:9" ht="12.75">
      <c r="A37" s="198"/>
      <c r="B37" s="198"/>
      <c r="C37" s="199"/>
      <c r="D37" s="199" t="s">
        <v>187</v>
      </c>
      <c r="E37" s="199" t="s">
        <v>188</v>
      </c>
      <c r="F37" s="200">
        <f>11290847+4438250+750000-7951337+683558</f>
        <v>9211318</v>
      </c>
      <c r="G37" s="200">
        <v>0</v>
      </c>
      <c r="H37" s="200">
        <v>0</v>
      </c>
      <c r="I37" s="201">
        <f t="shared" si="0"/>
        <v>9211318</v>
      </c>
    </row>
    <row r="38" spans="1:9" ht="12.75" hidden="1">
      <c r="A38" s="198"/>
      <c r="B38" s="198"/>
      <c r="C38" s="199"/>
      <c r="D38" s="199" t="s">
        <v>189</v>
      </c>
      <c r="E38" s="199" t="s">
        <v>190</v>
      </c>
      <c r="F38" s="200">
        <v>0</v>
      </c>
      <c r="G38" s="200">
        <v>0</v>
      </c>
      <c r="H38" s="200">
        <v>0</v>
      </c>
      <c r="I38" s="201">
        <f t="shared" si="0"/>
        <v>0</v>
      </c>
    </row>
    <row r="39" spans="1:9" ht="12.75" hidden="1">
      <c r="A39" s="198"/>
      <c r="B39" s="198"/>
      <c r="C39" s="199"/>
      <c r="D39" s="199" t="s">
        <v>191</v>
      </c>
      <c r="E39" s="199" t="s">
        <v>718</v>
      </c>
      <c r="F39" s="200">
        <v>0</v>
      </c>
      <c r="G39" s="200">
        <v>0</v>
      </c>
      <c r="H39" s="200">
        <v>0</v>
      </c>
      <c r="I39" s="201">
        <f t="shared" si="0"/>
        <v>0</v>
      </c>
    </row>
    <row r="40" spans="1:9" ht="12.75" hidden="1">
      <c r="A40" s="198"/>
      <c r="B40" s="198"/>
      <c r="C40" s="199"/>
      <c r="D40" s="199" t="s">
        <v>193</v>
      </c>
      <c r="E40" s="199" t="s">
        <v>719</v>
      </c>
      <c r="F40" s="200">
        <v>0</v>
      </c>
      <c r="G40" s="200">
        <v>0</v>
      </c>
      <c r="H40" s="200">
        <v>0</v>
      </c>
      <c r="I40" s="201">
        <f t="shared" si="0"/>
        <v>0</v>
      </c>
    </row>
    <row r="41" spans="1:9" ht="12.75">
      <c r="A41" s="198"/>
      <c r="B41" s="198"/>
      <c r="C41" s="199"/>
      <c r="D41" s="199" t="s">
        <v>189</v>
      </c>
      <c r="E41" s="199" t="s">
        <v>718</v>
      </c>
      <c r="F41" s="200">
        <v>0</v>
      </c>
      <c r="G41" s="200">
        <v>0</v>
      </c>
      <c r="H41" s="200">
        <v>35000</v>
      </c>
      <c r="I41" s="201">
        <f t="shared" si="0"/>
        <v>35000</v>
      </c>
    </row>
    <row r="42" spans="1:9" s="189" customFormat="1" ht="12.75">
      <c r="A42" s="187" t="s">
        <v>254</v>
      </c>
      <c r="B42" s="768" t="s">
        <v>725</v>
      </c>
      <c r="C42" s="768"/>
      <c r="D42" s="768"/>
      <c r="E42" s="768"/>
      <c r="F42" s="188">
        <f>SUM(F43:F48)</f>
        <v>327797908</v>
      </c>
      <c r="G42" s="188">
        <f>SUM(G43:G48)</f>
        <v>0</v>
      </c>
      <c r="H42" s="188">
        <f>SUM(H43:H48)</f>
        <v>3853622</v>
      </c>
      <c r="I42" s="188">
        <f t="shared" si="0"/>
        <v>331651530</v>
      </c>
    </row>
    <row r="43" spans="1:9" ht="12.75" hidden="1">
      <c r="A43" s="190"/>
      <c r="B43" s="190" t="s">
        <v>255</v>
      </c>
      <c r="C43" s="764" t="s">
        <v>720</v>
      </c>
      <c r="D43" s="764"/>
      <c r="E43" s="764"/>
      <c r="F43" s="191">
        <v>0</v>
      </c>
      <c r="G43" s="191">
        <v>0</v>
      </c>
      <c r="H43" s="191">
        <v>0</v>
      </c>
      <c r="I43" s="192">
        <f t="shared" si="0"/>
        <v>0</v>
      </c>
    </row>
    <row r="44" spans="1:9" ht="12.75" hidden="1">
      <c r="A44" s="190"/>
      <c r="B44" s="190" t="s">
        <v>256</v>
      </c>
      <c r="C44" s="764" t="s">
        <v>721</v>
      </c>
      <c r="D44" s="764"/>
      <c r="E44" s="764"/>
      <c r="F44" s="191">
        <v>0</v>
      </c>
      <c r="G44" s="191">
        <v>0</v>
      </c>
      <c r="H44" s="191">
        <v>0</v>
      </c>
      <c r="I44" s="192">
        <f t="shared" si="0"/>
        <v>0</v>
      </c>
    </row>
    <row r="45" spans="1:9" ht="12.75" hidden="1">
      <c r="A45" s="190"/>
      <c r="B45" s="190" t="s">
        <v>257</v>
      </c>
      <c r="C45" s="764" t="s">
        <v>722</v>
      </c>
      <c r="D45" s="764"/>
      <c r="E45" s="764"/>
      <c r="F45" s="191">
        <v>0</v>
      </c>
      <c r="G45" s="191">
        <v>0</v>
      </c>
      <c r="H45" s="191">
        <v>0</v>
      </c>
      <c r="I45" s="192">
        <f t="shared" si="0"/>
        <v>0</v>
      </c>
    </row>
    <row r="46" spans="1:9" ht="12.75" hidden="1">
      <c r="A46" s="190"/>
      <c r="B46" s="190" t="s">
        <v>258</v>
      </c>
      <c r="C46" s="764" t="s">
        <v>723</v>
      </c>
      <c r="D46" s="764"/>
      <c r="E46" s="764"/>
      <c r="F46" s="191">
        <v>0</v>
      </c>
      <c r="G46" s="191">
        <v>0</v>
      </c>
      <c r="H46" s="191">
        <v>0</v>
      </c>
      <c r="I46" s="192">
        <f t="shared" si="0"/>
        <v>0</v>
      </c>
    </row>
    <row r="47" spans="1:9" ht="12.75">
      <c r="A47" s="190"/>
      <c r="B47" s="190" t="s">
        <v>948</v>
      </c>
      <c r="C47" s="769" t="s">
        <v>720</v>
      </c>
      <c r="D47" s="770"/>
      <c r="E47" s="771"/>
      <c r="F47" s="191">
        <v>14989072</v>
      </c>
      <c r="G47" s="191"/>
      <c r="H47" s="191"/>
      <c r="I47" s="192">
        <f t="shared" si="0"/>
        <v>14989072</v>
      </c>
    </row>
    <row r="48" spans="1:9" ht="12.75">
      <c r="A48" s="190"/>
      <c r="B48" s="190" t="s">
        <v>259</v>
      </c>
      <c r="C48" s="764" t="s">
        <v>724</v>
      </c>
      <c r="D48" s="764"/>
      <c r="E48" s="764"/>
      <c r="F48" s="191">
        <f>SUM(F49:F58)</f>
        <v>312808836</v>
      </c>
      <c r="G48" s="191">
        <f>SUM(G49:G58)</f>
        <v>0</v>
      </c>
      <c r="H48" s="191">
        <f>SUM(H49:H58)</f>
        <v>3853622</v>
      </c>
      <c r="I48" s="192">
        <f t="shared" si="0"/>
        <v>316662458</v>
      </c>
    </row>
    <row r="49" spans="1:9" ht="12.75">
      <c r="A49" s="198"/>
      <c r="B49" s="198"/>
      <c r="C49" s="199" t="s">
        <v>2</v>
      </c>
      <c r="D49" s="199" t="s">
        <v>175</v>
      </c>
      <c r="E49" s="199" t="s">
        <v>176</v>
      </c>
      <c r="F49" s="200">
        <v>0</v>
      </c>
      <c r="G49" s="200">
        <v>0</v>
      </c>
      <c r="H49" s="200">
        <v>0</v>
      </c>
      <c r="I49" s="201">
        <f t="shared" si="0"/>
        <v>0</v>
      </c>
    </row>
    <row r="50" spans="1:9" ht="12.75">
      <c r="A50" s="198"/>
      <c r="B50" s="198"/>
      <c r="C50" s="199"/>
      <c r="D50" s="199" t="s">
        <v>177</v>
      </c>
      <c r="E50" s="199" t="s">
        <v>178</v>
      </c>
      <c r="F50" s="200">
        <v>0</v>
      </c>
      <c r="G50" s="200">
        <v>0</v>
      </c>
      <c r="H50" s="200">
        <v>0</v>
      </c>
      <c r="I50" s="201">
        <f t="shared" si="0"/>
        <v>0</v>
      </c>
    </row>
    <row r="51" spans="1:9" ht="12.75">
      <c r="A51" s="202"/>
      <c r="B51" s="202"/>
      <c r="C51" s="203"/>
      <c r="D51" s="203" t="s">
        <v>179</v>
      </c>
      <c r="E51" s="203" t="s">
        <v>251</v>
      </c>
      <c r="F51" s="200">
        <f>3150000+242560000+19779919+2500000+3832400+17861888+5000000+6019000</f>
        <v>300703207</v>
      </c>
      <c r="G51" s="200">
        <v>0</v>
      </c>
      <c r="H51" s="200">
        <v>3853622</v>
      </c>
      <c r="I51" s="201">
        <f t="shared" si="0"/>
        <v>304556829</v>
      </c>
    </row>
    <row r="52" spans="1:9" ht="12.75">
      <c r="A52" s="198"/>
      <c r="B52" s="198"/>
      <c r="C52" s="199"/>
      <c r="D52" s="199" t="s">
        <v>181</v>
      </c>
      <c r="E52" s="199" t="s">
        <v>182</v>
      </c>
      <c r="F52" s="200">
        <v>0</v>
      </c>
      <c r="G52" s="200">
        <v>0</v>
      </c>
      <c r="H52" s="200">
        <v>0</v>
      </c>
      <c r="I52" s="201">
        <f t="shared" si="0"/>
        <v>0</v>
      </c>
    </row>
    <row r="53" spans="1:9" ht="12.75">
      <c r="A53" s="198"/>
      <c r="B53" s="198"/>
      <c r="C53" s="199"/>
      <c r="D53" s="199" t="s">
        <v>183</v>
      </c>
      <c r="E53" s="199" t="s">
        <v>184</v>
      </c>
      <c r="F53" s="200">
        <v>0</v>
      </c>
      <c r="G53" s="200">
        <v>0</v>
      </c>
      <c r="H53" s="200">
        <v>0</v>
      </c>
      <c r="I53" s="201">
        <f t="shared" si="0"/>
        <v>0</v>
      </c>
    </row>
    <row r="54" spans="1:9" ht="12.75">
      <c r="A54" s="198"/>
      <c r="B54" s="198"/>
      <c r="C54" s="199"/>
      <c r="D54" s="199" t="s">
        <v>185</v>
      </c>
      <c r="E54" s="199" t="s">
        <v>186</v>
      </c>
      <c r="F54" s="200">
        <f>1707563+1398066+9000000</f>
        <v>12105629</v>
      </c>
      <c r="G54" s="200">
        <v>0</v>
      </c>
      <c r="H54" s="200">
        <v>0</v>
      </c>
      <c r="I54" s="201">
        <f t="shared" si="0"/>
        <v>12105629</v>
      </c>
    </row>
    <row r="55" spans="1:9" ht="12.75" hidden="1">
      <c r="A55" s="198"/>
      <c r="B55" s="198"/>
      <c r="C55" s="199"/>
      <c r="D55" s="199" t="s">
        <v>187</v>
      </c>
      <c r="E55" s="199" t="s">
        <v>188</v>
      </c>
      <c r="F55" s="200">
        <v>0</v>
      </c>
      <c r="G55" s="200">
        <v>0</v>
      </c>
      <c r="H55" s="200">
        <v>0</v>
      </c>
      <c r="I55" s="201">
        <f t="shared" si="0"/>
        <v>0</v>
      </c>
    </row>
    <row r="56" spans="1:9" ht="12.75" hidden="1">
      <c r="A56" s="198"/>
      <c r="B56" s="198"/>
      <c r="C56" s="199"/>
      <c r="D56" s="199" t="s">
        <v>189</v>
      </c>
      <c r="E56" s="199" t="s">
        <v>190</v>
      </c>
      <c r="F56" s="200">
        <v>0</v>
      </c>
      <c r="G56" s="200">
        <v>0</v>
      </c>
      <c r="H56" s="200">
        <v>0</v>
      </c>
      <c r="I56" s="201">
        <f t="shared" si="0"/>
        <v>0</v>
      </c>
    </row>
    <row r="57" spans="1:9" ht="12.75" hidden="1">
      <c r="A57" s="198"/>
      <c r="B57" s="198"/>
      <c r="C57" s="199"/>
      <c r="D57" s="199" t="s">
        <v>191</v>
      </c>
      <c r="E57" s="199" t="s">
        <v>192</v>
      </c>
      <c r="F57" s="200">
        <v>0</v>
      </c>
      <c r="G57" s="200">
        <v>0</v>
      </c>
      <c r="H57" s="200">
        <v>0</v>
      </c>
      <c r="I57" s="201">
        <f t="shared" si="0"/>
        <v>0</v>
      </c>
    </row>
    <row r="58" spans="1:9" ht="12.75" hidden="1">
      <c r="A58" s="198"/>
      <c r="B58" s="198"/>
      <c r="C58" s="199"/>
      <c r="D58" s="199" t="s">
        <v>193</v>
      </c>
      <c r="E58" s="199" t="s">
        <v>194</v>
      </c>
      <c r="F58" s="200">
        <v>0</v>
      </c>
      <c r="G58" s="200">
        <v>0</v>
      </c>
      <c r="H58" s="200">
        <v>0</v>
      </c>
      <c r="I58" s="201">
        <f t="shared" si="0"/>
        <v>0</v>
      </c>
    </row>
    <row r="59" spans="1:9" s="189" customFormat="1" ht="12.75">
      <c r="A59" s="187" t="s">
        <v>260</v>
      </c>
      <c r="B59" s="768" t="s">
        <v>261</v>
      </c>
      <c r="C59" s="768"/>
      <c r="D59" s="768"/>
      <c r="E59" s="768"/>
      <c r="F59" s="188">
        <f>SUM(F60+F61+F62+F63+F66+F77)</f>
        <v>182000000</v>
      </c>
      <c r="G59" s="188">
        <f>SUM(G60+G61+G62+G63+G66+G77)</f>
        <v>10000</v>
      </c>
      <c r="H59" s="188">
        <f>SUM(H60+H61+H62+H63+H66+H77)</f>
        <v>0</v>
      </c>
      <c r="I59" s="188">
        <f t="shared" si="0"/>
        <v>182010000</v>
      </c>
    </row>
    <row r="60" spans="1:9" ht="12.75">
      <c r="A60" s="190"/>
      <c r="B60" s="190" t="s">
        <v>262</v>
      </c>
      <c r="C60" s="764" t="s">
        <v>263</v>
      </c>
      <c r="D60" s="764"/>
      <c r="E60" s="764"/>
      <c r="F60" s="191">
        <v>50000</v>
      </c>
      <c r="G60" s="191">
        <v>0</v>
      </c>
      <c r="H60" s="191">
        <v>0</v>
      </c>
      <c r="I60" s="192">
        <f t="shared" si="0"/>
        <v>50000</v>
      </c>
    </row>
    <row r="61" spans="1:9" ht="12.75">
      <c r="A61" s="190"/>
      <c r="B61" s="190" t="s">
        <v>264</v>
      </c>
      <c r="C61" s="764" t="s">
        <v>265</v>
      </c>
      <c r="D61" s="764"/>
      <c r="E61" s="764"/>
      <c r="F61" s="191">
        <v>0</v>
      </c>
      <c r="G61" s="191">
        <v>0</v>
      </c>
      <c r="H61" s="191">
        <v>0</v>
      </c>
      <c r="I61" s="192">
        <f t="shared" si="0"/>
        <v>0</v>
      </c>
    </row>
    <row r="62" spans="1:9" ht="12.75">
      <c r="A62" s="190"/>
      <c r="B62" s="190" t="s">
        <v>266</v>
      </c>
      <c r="C62" s="764" t="s">
        <v>267</v>
      </c>
      <c r="D62" s="764"/>
      <c r="E62" s="764"/>
      <c r="F62" s="191">
        <v>0</v>
      </c>
      <c r="G62" s="191">
        <v>0</v>
      </c>
      <c r="H62" s="191">
        <v>0</v>
      </c>
      <c r="I62" s="192">
        <f t="shared" si="0"/>
        <v>0</v>
      </c>
    </row>
    <row r="63" spans="1:9" ht="12.75">
      <c r="A63" s="190"/>
      <c r="B63" s="190" t="s">
        <v>268</v>
      </c>
      <c r="C63" s="764" t="s">
        <v>269</v>
      </c>
      <c r="D63" s="764"/>
      <c r="E63" s="764"/>
      <c r="F63" s="191">
        <f>SUM(F64:F65)</f>
        <v>26700000</v>
      </c>
      <c r="G63" s="191">
        <f>SUM(G64:G65)</f>
        <v>0</v>
      </c>
      <c r="H63" s="191">
        <v>0</v>
      </c>
      <c r="I63" s="192">
        <f t="shared" si="0"/>
        <v>26700000</v>
      </c>
    </row>
    <row r="64" spans="1:9" ht="12.75">
      <c r="A64" s="198"/>
      <c r="B64" s="198"/>
      <c r="C64" s="199"/>
      <c r="D64" s="199"/>
      <c r="E64" s="199" t="s">
        <v>270</v>
      </c>
      <c r="F64" s="200">
        <v>25800000</v>
      </c>
      <c r="G64" s="200">
        <v>0</v>
      </c>
      <c r="H64" s="200">
        <v>0</v>
      </c>
      <c r="I64" s="201">
        <f t="shared" si="0"/>
        <v>25800000</v>
      </c>
    </row>
    <row r="65" spans="1:9" ht="12.75">
      <c r="A65" s="198"/>
      <c r="B65" s="198"/>
      <c r="C65" s="199"/>
      <c r="D65" s="199"/>
      <c r="E65" s="199" t="s">
        <v>271</v>
      </c>
      <c r="F65" s="200">
        <v>900000</v>
      </c>
      <c r="G65" s="200">
        <v>0</v>
      </c>
      <c r="H65" s="200">
        <v>0</v>
      </c>
      <c r="I65" s="201">
        <f t="shared" si="0"/>
        <v>900000</v>
      </c>
    </row>
    <row r="66" spans="1:9" ht="12.75">
      <c r="A66" s="190"/>
      <c r="B66" s="190" t="s">
        <v>272</v>
      </c>
      <c r="C66" s="764" t="s">
        <v>273</v>
      </c>
      <c r="D66" s="764"/>
      <c r="E66" s="764"/>
      <c r="F66" s="191">
        <f>SUM(F67+F70+F72+F73+F75)</f>
        <v>154700000</v>
      </c>
      <c r="G66" s="191">
        <f>SUM(G67+G70+G72+G73+G75)</f>
        <v>0</v>
      </c>
      <c r="H66" s="191">
        <v>0</v>
      </c>
      <c r="I66" s="192">
        <f t="shared" si="0"/>
        <v>154700000</v>
      </c>
    </row>
    <row r="67" spans="1:9" ht="12.75">
      <c r="A67" s="193"/>
      <c r="B67" s="193"/>
      <c r="C67" s="193" t="s">
        <v>274</v>
      </c>
      <c r="D67" s="193" t="s">
        <v>275</v>
      </c>
      <c r="E67" s="193"/>
      <c r="F67" s="194">
        <f>SUM(F68:F69)</f>
        <v>135500000</v>
      </c>
      <c r="G67" s="194">
        <f>SUM(G68:G69)</f>
        <v>0</v>
      </c>
      <c r="H67" s="194">
        <v>0</v>
      </c>
      <c r="I67" s="195">
        <f t="shared" si="0"/>
        <v>135500000</v>
      </c>
    </row>
    <row r="68" spans="1:9" ht="12.75">
      <c r="A68" s="198"/>
      <c r="B68" s="198"/>
      <c r="C68" s="199"/>
      <c r="D68" s="199"/>
      <c r="E68" s="199" t="s">
        <v>726</v>
      </c>
      <c r="F68" s="200">
        <v>135000000</v>
      </c>
      <c r="G68" s="200">
        <v>0</v>
      </c>
      <c r="H68" s="200">
        <v>0</v>
      </c>
      <c r="I68" s="201">
        <f t="shared" si="0"/>
        <v>135000000</v>
      </c>
    </row>
    <row r="69" spans="1:9" ht="12.75">
      <c r="A69" s="198"/>
      <c r="B69" s="198"/>
      <c r="C69" s="199"/>
      <c r="D69" s="199"/>
      <c r="E69" s="199" t="s">
        <v>727</v>
      </c>
      <c r="F69" s="200">
        <v>500000</v>
      </c>
      <c r="G69" s="200">
        <v>0</v>
      </c>
      <c r="H69" s="200">
        <v>0</v>
      </c>
      <c r="I69" s="201">
        <f t="shared" si="0"/>
        <v>500000</v>
      </c>
    </row>
    <row r="70" spans="1:9" ht="12.75">
      <c r="A70" s="193"/>
      <c r="B70" s="193"/>
      <c r="C70" s="193" t="s">
        <v>276</v>
      </c>
      <c r="D70" s="193" t="s">
        <v>636</v>
      </c>
      <c r="E70" s="193"/>
      <c r="F70" s="194">
        <f>SUM(F71)</f>
        <v>0</v>
      </c>
      <c r="G70" s="194">
        <f>SUM(G71)</f>
        <v>0</v>
      </c>
      <c r="H70" s="194">
        <f>SUM(H71)</f>
        <v>0</v>
      </c>
      <c r="I70" s="195">
        <f t="shared" si="0"/>
        <v>0</v>
      </c>
    </row>
    <row r="71" spans="1:9" ht="12.75" hidden="1">
      <c r="A71" s="193"/>
      <c r="B71" s="193"/>
      <c r="C71" s="193"/>
      <c r="D71" s="193"/>
      <c r="E71" s="199" t="s">
        <v>637</v>
      </c>
      <c r="F71" s="194">
        <v>0</v>
      </c>
      <c r="G71" s="194">
        <v>0</v>
      </c>
      <c r="H71" s="194">
        <v>0</v>
      </c>
      <c r="I71" s="195">
        <f t="shared" si="0"/>
        <v>0</v>
      </c>
    </row>
    <row r="72" spans="1:9" ht="12.75">
      <c r="A72" s="193"/>
      <c r="B72" s="193"/>
      <c r="C72" s="193" t="s">
        <v>277</v>
      </c>
      <c r="D72" s="193" t="s">
        <v>278</v>
      </c>
      <c r="E72" s="193"/>
      <c r="F72" s="194">
        <v>0</v>
      </c>
      <c r="G72" s="194">
        <v>0</v>
      </c>
      <c r="H72" s="194">
        <v>0</v>
      </c>
      <c r="I72" s="195">
        <f t="shared" si="0"/>
        <v>0</v>
      </c>
    </row>
    <row r="73" spans="1:9" ht="12.75">
      <c r="A73" s="193"/>
      <c r="B73" s="193"/>
      <c r="C73" s="193" t="s">
        <v>279</v>
      </c>
      <c r="D73" s="193" t="s">
        <v>280</v>
      </c>
      <c r="E73" s="193"/>
      <c r="F73" s="194">
        <f>SUM(F74)</f>
        <v>19200000</v>
      </c>
      <c r="G73" s="194">
        <f>SUM(G74:G74)</f>
        <v>0</v>
      </c>
      <c r="H73" s="194">
        <v>0</v>
      </c>
      <c r="I73" s="195">
        <f t="shared" si="0"/>
        <v>19200000</v>
      </c>
    </row>
    <row r="74" spans="1:9" ht="12.75">
      <c r="A74" s="198"/>
      <c r="B74" s="198"/>
      <c r="C74" s="198"/>
      <c r="D74" s="199"/>
      <c r="E74" s="199" t="s">
        <v>728</v>
      </c>
      <c r="F74" s="200">
        <v>19200000</v>
      </c>
      <c r="G74" s="200">
        <v>0</v>
      </c>
      <c r="H74" s="200">
        <v>0</v>
      </c>
      <c r="I74" s="201">
        <f t="shared" si="0"/>
        <v>19200000</v>
      </c>
    </row>
    <row r="75" spans="1:9" ht="12.75" hidden="1">
      <c r="A75" s="193"/>
      <c r="B75" s="193"/>
      <c r="C75" s="193" t="s">
        <v>281</v>
      </c>
      <c r="D75" s="193" t="s">
        <v>282</v>
      </c>
      <c r="E75" s="193"/>
      <c r="F75" s="194">
        <f>SUM(F76:F76)</f>
        <v>0</v>
      </c>
      <c r="G75" s="194">
        <v>0</v>
      </c>
      <c r="H75" s="194">
        <v>0</v>
      </c>
      <c r="I75" s="195">
        <f t="shared" si="0"/>
        <v>0</v>
      </c>
    </row>
    <row r="76" spans="1:9" ht="12.75" hidden="1">
      <c r="A76" s="198"/>
      <c r="B76" s="198"/>
      <c r="C76" s="198"/>
      <c r="D76" s="199"/>
      <c r="E76" s="199" t="s">
        <v>284</v>
      </c>
      <c r="F76" s="200">
        <v>0</v>
      </c>
      <c r="G76" s="200">
        <v>0</v>
      </c>
      <c r="H76" s="200">
        <v>0</v>
      </c>
      <c r="I76" s="201">
        <f aca="true" t="shared" si="1" ref="I76:I183">SUM(F76:H76)</f>
        <v>0</v>
      </c>
    </row>
    <row r="77" spans="1:9" ht="12.75">
      <c r="A77" s="190"/>
      <c r="B77" s="190" t="s">
        <v>285</v>
      </c>
      <c r="C77" s="764" t="s">
        <v>286</v>
      </c>
      <c r="D77" s="764"/>
      <c r="E77" s="764"/>
      <c r="F77" s="191">
        <f>SUM(F78:F87)</f>
        <v>550000</v>
      </c>
      <c r="G77" s="191">
        <f>SUM(G78:G87)</f>
        <v>10000</v>
      </c>
      <c r="H77" s="191">
        <f>SUM(H78:H87)</f>
        <v>0</v>
      </c>
      <c r="I77" s="192">
        <f t="shared" si="1"/>
        <v>560000</v>
      </c>
    </row>
    <row r="78" spans="1:9" ht="12.75" hidden="1">
      <c r="A78" s="204"/>
      <c r="B78" s="204"/>
      <c r="C78" s="204"/>
      <c r="D78" s="199"/>
      <c r="E78" s="199" t="s">
        <v>287</v>
      </c>
      <c r="F78" s="200">
        <v>0</v>
      </c>
      <c r="G78" s="200">
        <v>0</v>
      </c>
      <c r="H78" s="200">
        <v>0</v>
      </c>
      <c r="I78" s="201">
        <f t="shared" si="1"/>
        <v>0</v>
      </c>
    </row>
    <row r="79" spans="1:9" ht="12.75">
      <c r="A79" s="198"/>
      <c r="B79" s="198"/>
      <c r="C79" s="198"/>
      <c r="D79" s="199"/>
      <c r="E79" s="199" t="s">
        <v>288</v>
      </c>
      <c r="F79" s="200">
        <v>0</v>
      </c>
      <c r="G79" s="200">
        <v>10000</v>
      </c>
      <c r="H79" s="200">
        <v>0</v>
      </c>
      <c r="I79" s="201">
        <f t="shared" si="1"/>
        <v>10000</v>
      </c>
    </row>
    <row r="80" spans="1:9" ht="12.75" hidden="1">
      <c r="A80" s="204"/>
      <c r="B80" s="204"/>
      <c r="C80" s="204"/>
      <c r="D80" s="199"/>
      <c r="E80" s="199" t="s">
        <v>289</v>
      </c>
      <c r="F80" s="200">
        <v>0</v>
      </c>
      <c r="G80" s="200">
        <v>0</v>
      </c>
      <c r="H80" s="200">
        <v>0</v>
      </c>
      <c r="I80" s="201">
        <f t="shared" si="1"/>
        <v>0</v>
      </c>
    </row>
    <row r="81" spans="1:9" ht="12.75">
      <c r="A81" s="204"/>
      <c r="B81" s="204"/>
      <c r="C81" s="204"/>
      <c r="D81" s="199"/>
      <c r="E81" s="199" t="s">
        <v>283</v>
      </c>
      <c r="F81" s="200">
        <v>300000</v>
      </c>
      <c r="G81" s="200">
        <v>0</v>
      </c>
      <c r="H81" s="200">
        <v>0</v>
      </c>
      <c r="I81" s="201">
        <f t="shared" si="1"/>
        <v>300000</v>
      </c>
    </row>
    <row r="82" spans="1:9" ht="12.75" hidden="1">
      <c r="A82" s="204"/>
      <c r="B82" s="204"/>
      <c r="C82" s="204"/>
      <c r="D82" s="199"/>
      <c r="E82" s="199" t="s">
        <v>290</v>
      </c>
      <c r="F82" s="200">
        <v>0</v>
      </c>
      <c r="G82" s="200">
        <v>0</v>
      </c>
      <c r="H82" s="200">
        <v>0</v>
      </c>
      <c r="I82" s="201">
        <f t="shared" si="1"/>
        <v>0</v>
      </c>
    </row>
    <row r="83" spans="1:9" ht="12.75" hidden="1">
      <c r="A83" s="204"/>
      <c r="B83" s="204"/>
      <c r="C83" s="204"/>
      <c r="D83" s="199"/>
      <c r="E83" s="199" t="s">
        <v>291</v>
      </c>
      <c r="F83" s="200">
        <v>0</v>
      </c>
      <c r="G83" s="200">
        <v>0</v>
      </c>
      <c r="H83" s="200">
        <v>0</v>
      </c>
      <c r="I83" s="201">
        <f t="shared" si="1"/>
        <v>0</v>
      </c>
    </row>
    <row r="84" spans="1:9" ht="12.75" hidden="1">
      <c r="A84" s="204"/>
      <c r="B84" s="204"/>
      <c r="C84" s="204"/>
      <c r="D84" s="199"/>
      <c r="E84" s="199" t="s">
        <v>681</v>
      </c>
      <c r="F84" s="200">
        <f>50000-50000</f>
        <v>0</v>
      </c>
      <c r="G84" s="200">
        <v>0</v>
      </c>
      <c r="H84" s="200">
        <v>0</v>
      </c>
      <c r="I84" s="201">
        <f t="shared" si="1"/>
        <v>0</v>
      </c>
    </row>
    <row r="85" spans="1:9" ht="30" customHeight="1" hidden="1">
      <c r="A85" s="198"/>
      <c r="B85" s="198"/>
      <c r="C85" s="198"/>
      <c r="D85" s="198"/>
      <c r="E85" s="205" t="s">
        <v>729</v>
      </c>
      <c r="F85" s="200">
        <v>0</v>
      </c>
      <c r="G85" s="200">
        <v>0</v>
      </c>
      <c r="H85" s="200">
        <v>0</v>
      </c>
      <c r="I85" s="201">
        <f t="shared" si="1"/>
        <v>0</v>
      </c>
    </row>
    <row r="86" spans="1:9" ht="12.75" hidden="1">
      <c r="A86" s="204"/>
      <c r="B86" s="204"/>
      <c r="C86" s="204"/>
      <c r="D86" s="204"/>
      <c r="E86" s="199" t="s">
        <v>292</v>
      </c>
      <c r="F86" s="200">
        <v>0</v>
      </c>
      <c r="G86" s="200">
        <v>0</v>
      </c>
      <c r="H86" s="200">
        <v>0</v>
      </c>
      <c r="I86" s="201">
        <f t="shared" si="1"/>
        <v>0</v>
      </c>
    </row>
    <row r="87" spans="1:9" ht="12.75">
      <c r="A87" s="198"/>
      <c r="B87" s="198"/>
      <c r="C87" s="198"/>
      <c r="D87" s="198"/>
      <c r="E87" s="203" t="s">
        <v>293</v>
      </c>
      <c r="F87" s="200">
        <v>250000</v>
      </c>
      <c r="G87" s="200">
        <v>0</v>
      </c>
      <c r="H87" s="200">
        <v>0</v>
      </c>
      <c r="I87" s="201">
        <f t="shared" si="1"/>
        <v>250000</v>
      </c>
    </row>
    <row r="88" spans="1:9" s="189" customFormat="1" ht="12.75">
      <c r="A88" s="187" t="s">
        <v>294</v>
      </c>
      <c r="B88" s="768" t="s">
        <v>295</v>
      </c>
      <c r="C88" s="768"/>
      <c r="D88" s="768"/>
      <c r="E88" s="768"/>
      <c r="F88" s="188">
        <f>SUM(F89+F90+F93+F95+F100+F101+F102+F103+F110+F118+F119)</f>
        <v>51300361</v>
      </c>
      <c r="G88" s="188">
        <f>SUM(G89+G90+G93+G95+G100+G101+G102+G103+G110+G118+G119)</f>
        <v>5408422</v>
      </c>
      <c r="H88" s="188">
        <f>SUM(H89+H90+H93+H95+H100+H101+H102+H103+H110+H118+H119)</f>
        <v>2816562</v>
      </c>
      <c r="I88" s="188">
        <f t="shared" si="1"/>
        <v>59525345</v>
      </c>
    </row>
    <row r="89" spans="1:9" ht="12.75">
      <c r="A89" s="193"/>
      <c r="B89" s="193"/>
      <c r="C89" s="193" t="s">
        <v>296</v>
      </c>
      <c r="D89" s="193" t="s">
        <v>588</v>
      </c>
      <c r="E89" s="193"/>
      <c r="F89" s="194">
        <f>7900000+1850953+222286+360093</f>
        <v>10333332</v>
      </c>
      <c r="G89" s="194">
        <v>0</v>
      </c>
      <c r="H89" s="194">
        <v>0</v>
      </c>
      <c r="I89" s="195">
        <f t="shared" si="1"/>
        <v>10333332</v>
      </c>
    </row>
    <row r="90" spans="1:9" ht="12.75">
      <c r="A90" s="193"/>
      <c r="B90" s="193"/>
      <c r="C90" s="193" t="s">
        <v>297</v>
      </c>
      <c r="D90" s="193" t="s">
        <v>368</v>
      </c>
      <c r="E90" s="193"/>
      <c r="F90" s="194">
        <f>18596705+4800000+67100+90000+77805</f>
        <v>23631610</v>
      </c>
      <c r="G90" s="194">
        <f>200000+311500</f>
        <v>511500</v>
      </c>
      <c r="H90" s="194">
        <v>70000</v>
      </c>
      <c r="I90" s="195">
        <f t="shared" si="1"/>
        <v>24213110</v>
      </c>
    </row>
    <row r="91" spans="1:9" ht="12.75">
      <c r="A91" s="198"/>
      <c r="B91" s="198"/>
      <c r="C91" s="199" t="s">
        <v>2</v>
      </c>
      <c r="D91" s="199"/>
      <c r="E91" s="199" t="s">
        <v>298</v>
      </c>
      <c r="F91" s="206">
        <f>9016325+4800000+67100+77805</f>
        <v>13961230</v>
      </c>
      <c r="G91" s="206">
        <v>0</v>
      </c>
      <c r="H91" s="200">
        <v>0</v>
      </c>
      <c r="I91" s="201">
        <f t="shared" si="1"/>
        <v>13961230</v>
      </c>
    </row>
    <row r="92" spans="1:9" ht="12.75" hidden="1">
      <c r="A92" s="198"/>
      <c r="B92" s="198"/>
      <c r="C92" s="199"/>
      <c r="D92" s="199"/>
      <c r="E92" s="199" t="s">
        <v>730</v>
      </c>
      <c r="F92" s="200">
        <v>0</v>
      </c>
      <c r="G92" s="200">
        <v>0</v>
      </c>
      <c r="H92" s="200">
        <v>0</v>
      </c>
      <c r="I92" s="201">
        <f>SUM(F92:H92)</f>
        <v>0</v>
      </c>
    </row>
    <row r="93" spans="1:9" ht="12.75">
      <c r="A93" s="193"/>
      <c r="B93" s="193"/>
      <c r="C93" s="193" t="s">
        <v>299</v>
      </c>
      <c r="D93" s="193" t="s">
        <v>300</v>
      </c>
      <c r="E93" s="193"/>
      <c r="F93" s="194">
        <f>3145064+32122+20948+80928</f>
        <v>3279062</v>
      </c>
      <c r="G93" s="194">
        <v>3870258</v>
      </c>
      <c r="H93" s="194">
        <v>0</v>
      </c>
      <c r="I93" s="195">
        <f t="shared" si="1"/>
        <v>7149320</v>
      </c>
    </row>
    <row r="94" spans="1:9" ht="12.75">
      <c r="A94" s="198"/>
      <c r="B94" s="198"/>
      <c r="C94" s="199" t="s">
        <v>2</v>
      </c>
      <c r="D94" s="199"/>
      <c r="E94" s="199" t="s">
        <v>7</v>
      </c>
      <c r="F94" s="200">
        <f>250000+1713708+80928</f>
        <v>2044636</v>
      </c>
      <c r="G94" s="200">
        <f>1962068+107000</f>
        <v>2069068</v>
      </c>
      <c r="H94" s="200">
        <v>0</v>
      </c>
      <c r="I94" s="201">
        <f t="shared" si="1"/>
        <v>4113704</v>
      </c>
    </row>
    <row r="95" spans="1:9" ht="12.75">
      <c r="A95" s="193"/>
      <c r="B95" s="193"/>
      <c r="C95" s="193" t="s">
        <v>301</v>
      </c>
      <c r="D95" s="193" t="s">
        <v>302</v>
      </c>
      <c r="E95" s="193"/>
      <c r="F95" s="194">
        <v>639000</v>
      </c>
      <c r="G95" s="194">
        <v>0</v>
      </c>
      <c r="H95" s="194">
        <v>0</v>
      </c>
      <c r="I95" s="195">
        <f t="shared" si="1"/>
        <v>639000</v>
      </c>
    </row>
    <row r="96" spans="1:9" ht="12.75">
      <c r="A96" s="198"/>
      <c r="B96" s="198"/>
      <c r="C96" s="199" t="s">
        <v>2</v>
      </c>
      <c r="D96" s="199"/>
      <c r="E96" s="199" t="s">
        <v>731</v>
      </c>
      <c r="F96" s="200">
        <v>639000</v>
      </c>
      <c r="G96" s="200">
        <v>0</v>
      </c>
      <c r="H96" s="200">
        <v>0</v>
      </c>
      <c r="I96" s="201">
        <f>SUM(F96:H96)</f>
        <v>639000</v>
      </c>
    </row>
    <row r="97" spans="1:9" ht="12.75" hidden="1">
      <c r="A97" s="198"/>
      <c r="B97" s="198"/>
      <c r="C97" s="199"/>
      <c r="D97" s="199"/>
      <c r="E97" s="199" t="s">
        <v>732</v>
      </c>
      <c r="F97" s="200">
        <v>0</v>
      </c>
      <c r="G97" s="200">
        <v>0</v>
      </c>
      <c r="H97" s="200">
        <v>0</v>
      </c>
      <c r="I97" s="201">
        <f>SUM(F97:H97)</f>
        <v>0</v>
      </c>
    </row>
    <row r="98" spans="1:9" ht="12.75" hidden="1">
      <c r="A98" s="198"/>
      <c r="B98" s="198"/>
      <c r="C98" s="199"/>
      <c r="D98" s="199"/>
      <c r="E98" s="199" t="s">
        <v>733</v>
      </c>
      <c r="F98" s="200">
        <v>0</v>
      </c>
      <c r="G98" s="200">
        <v>0</v>
      </c>
      <c r="H98" s="200">
        <v>0</v>
      </c>
      <c r="I98" s="201">
        <f>SUM(F98:H98)</f>
        <v>0</v>
      </c>
    </row>
    <row r="99" spans="1:9" ht="12.75" hidden="1">
      <c r="A99" s="198"/>
      <c r="B99" s="198"/>
      <c r="C99" s="199"/>
      <c r="D99" s="199"/>
      <c r="E99" s="199" t="s">
        <v>589</v>
      </c>
      <c r="F99" s="200">
        <v>0</v>
      </c>
      <c r="G99" s="200">
        <v>0</v>
      </c>
      <c r="H99" s="200">
        <v>0</v>
      </c>
      <c r="I99" s="201">
        <f t="shared" si="1"/>
        <v>0</v>
      </c>
    </row>
    <row r="100" spans="1:9" ht="12.75">
      <c r="A100" s="193"/>
      <c r="B100" s="193"/>
      <c r="C100" s="193" t="s">
        <v>303</v>
      </c>
      <c r="D100" s="193" t="s">
        <v>304</v>
      </c>
      <c r="E100" s="193"/>
      <c r="F100" s="194">
        <v>4247600</v>
      </c>
      <c r="G100" s="194">
        <v>0</v>
      </c>
      <c r="H100" s="194">
        <f>1042200+97455</f>
        <v>1139655</v>
      </c>
      <c r="I100" s="195">
        <f t="shared" si="1"/>
        <v>5387255</v>
      </c>
    </row>
    <row r="101" spans="1:9" ht="12.75">
      <c r="A101" s="193"/>
      <c r="B101" s="193"/>
      <c r="C101" s="193" t="s">
        <v>305</v>
      </c>
      <c r="D101" s="193" t="s">
        <v>306</v>
      </c>
      <c r="E101" s="193"/>
      <c r="F101" s="194">
        <f>4580520+1296000+451243+19072+24300+1594595</f>
        <v>7965730</v>
      </c>
      <c r="G101" s="194">
        <v>1026664</v>
      </c>
      <c r="H101" s="194">
        <f>281394+26313</f>
        <v>307707</v>
      </c>
      <c r="I101" s="195">
        <f t="shared" si="1"/>
        <v>9300101</v>
      </c>
    </row>
    <row r="102" spans="1:9" ht="12.75">
      <c r="A102" s="193"/>
      <c r="B102" s="193"/>
      <c r="C102" s="193" t="s">
        <v>307</v>
      </c>
      <c r="D102" s="193" t="s">
        <v>308</v>
      </c>
      <c r="E102" s="193"/>
      <c r="F102" s="194">
        <v>222996</v>
      </c>
      <c r="G102" s="194">
        <v>0</v>
      </c>
      <c r="H102" s="194">
        <v>1299200</v>
      </c>
      <c r="I102" s="195">
        <f t="shared" si="1"/>
        <v>1522196</v>
      </c>
    </row>
    <row r="103" spans="1:9" ht="12.75">
      <c r="A103" s="193"/>
      <c r="B103" s="193"/>
      <c r="C103" s="193" t="s">
        <v>309</v>
      </c>
      <c r="D103" s="193" t="s">
        <v>638</v>
      </c>
      <c r="E103" s="193"/>
      <c r="F103" s="194">
        <f>SUM(F104,F107)</f>
        <v>6000</v>
      </c>
      <c r="G103" s="194">
        <f>SUM(G104+G107)</f>
        <v>0</v>
      </c>
      <c r="H103" s="194">
        <f>SUM(H104+H107)</f>
        <v>0</v>
      </c>
      <c r="I103" s="195">
        <f t="shared" si="1"/>
        <v>6000</v>
      </c>
    </row>
    <row r="104" spans="1:9" ht="12.75" hidden="1">
      <c r="A104" s="193"/>
      <c r="B104" s="193"/>
      <c r="C104" s="199"/>
      <c r="D104" s="772" t="s">
        <v>734</v>
      </c>
      <c r="E104" s="773"/>
      <c r="F104" s="200">
        <v>0</v>
      </c>
      <c r="G104" s="200">
        <v>0</v>
      </c>
      <c r="H104" s="200">
        <v>0</v>
      </c>
      <c r="I104" s="201">
        <f t="shared" si="1"/>
        <v>0</v>
      </c>
    </row>
    <row r="105" spans="1:9" ht="12.75" hidden="1">
      <c r="A105" s="193"/>
      <c r="B105" s="193"/>
      <c r="C105" s="193" t="s">
        <v>2</v>
      </c>
      <c r="D105" s="193"/>
      <c r="E105" s="199" t="s">
        <v>7</v>
      </c>
      <c r="F105" s="200">
        <v>0</v>
      </c>
      <c r="G105" s="200">
        <v>0</v>
      </c>
      <c r="H105" s="200">
        <v>0</v>
      </c>
      <c r="I105" s="201">
        <f>SUM(F105:H105)</f>
        <v>0</v>
      </c>
    </row>
    <row r="106" spans="1:9" ht="12.75" hidden="1">
      <c r="A106" s="193"/>
      <c r="B106" s="193"/>
      <c r="C106" s="193"/>
      <c r="D106" s="193"/>
      <c r="E106" s="199" t="s">
        <v>735</v>
      </c>
      <c r="F106" s="200">
        <v>0</v>
      </c>
      <c r="G106" s="200">
        <v>0</v>
      </c>
      <c r="H106" s="200">
        <v>0</v>
      </c>
      <c r="I106" s="201">
        <f>SUM(F106:H106)</f>
        <v>0</v>
      </c>
    </row>
    <row r="107" spans="1:9" ht="12.75" hidden="1">
      <c r="A107" s="193"/>
      <c r="B107" s="193"/>
      <c r="C107" s="193"/>
      <c r="D107" s="772" t="s">
        <v>640</v>
      </c>
      <c r="E107" s="773"/>
      <c r="F107" s="200">
        <f>6000</f>
        <v>6000</v>
      </c>
      <c r="G107" s="200">
        <v>0</v>
      </c>
      <c r="H107" s="200">
        <v>0</v>
      </c>
      <c r="I107" s="201">
        <f>SUM(F107:H107)</f>
        <v>6000</v>
      </c>
    </row>
    <row r="108" spans="1:9" ht="12.75" hidden="1">
      <c r="A108" s="193"/>
      <c r="B108" s="193"/>
      <c r="C108" s="193" t="s">
        <v>2</v>
      </c>
      <c r="D108" s="193"/>
      <c r="E108" s="199" t="s">
        <v>7</v>
      </c>
      <c r="F108" s="200">
        <v>0</v>
      </c>
      <c r="G108" s="200">
        <v>0</v>
      </c>
      <c r="H108" s="200">
        <v>0</v>
      </c>
      <c r="I108" s="201">
        <f>SUM(F108:H108)</f>
        <v>0</v>
      </c>
    </row>
    <row r="109" spans="1:9" ht="12.75" hidden="1">
      <c r="A109" s="193"/>
      <c r="B109" s="193"/>
      <c r="C109" s="193"/>
      <c r="D109" s="193"/>
      <c r="E109" s="199" t="s">
        <v>590</v>
      </c>
      <c r="F109" s="200">
        <v>0</v>
      </c>
      <c r="G109" s="200">
        <v>0</v>
      </c>
      <c r="H109" s="200">
        <v>0</v>
      </c>
      <c r="I109" s="201">
        <f>SUM(F109:H109)</f>
        <v>0</v>
      </c>
    </row>
    <row r="110" spans="1:9" ht="12.75">
      <c r="A110" s="193"/>
      <c r="B110" s="193"/>
      <c r="C110" s="193" t="s">
        <v>310</v>
      </c>
      <c r="D110" s="193" t="s">
        <v>643</v>
      </c>
      <c r="E110" s="193"/>
      <c r="F110" s="194">
        <f>SUM(F111:F112)</f>
        <v>0</v>
      </c>
      <c r="G110" s="194">
        <f>SUM(G111:G112)</f>
        <v>0</v>
      </c>
      <c r="H110" s="194">
        <f>SUM(H111:H112)</f>
        <v>0</v>
      </c>
      <c r="I110" s="195">
        <f t="shared" si="1"/>
        <v>0</v>
      </c>
    </row>
    <row r="111" spans="1:9" ht="12.75" hidden="1">
      <c r="A111" s="193"/>
      <c r="B111" s="193"/>
      <c r="C111" s="193"/>
      <c r="D111" s="772" t="s">
        <v>641</v>
      </c>
      <c r="E111" s="773"/>
      <c r="F111" s="194">
        <v>0</v>
      </c>
      <c r="G111" s="194">
        <v>0</v>
      </c>
      <c r="H111" s="194">
        <v>0</v>
      </c>
      <c r="I111" s="195">
        <f t="shared" si="1"/>
        <v>0</v>
      </c>
    </row>
    <row r="112" spans="1:9" ht="12.75" hidden="1">
      <c r="A112" s="193"/>
      <c r="B112" s="193"/>
      <c r="C112" s="193"/>
      <c r="D112" s="772" t="s">
        <v>642</v>
      </c>
      <c r="E112" s="773"/>
      <c r="F112" s="194">
        <v>0</v>
      </c>
      <c r="G112" s="194">
        <v>0</v>
      </c>
      <c r="H112" s="194">
        <v>0</v>
      </c>
      <c r="I112" s="195">
        <f t="shared" si="1"/>
        <v>0</v>
      </c>
    </row>
    <row r="113" spans="1:9" ht="12.75" hidden="1">
      <c r="A113" s="193"/>
      <c r="B113" s="193"/>
      <c r="C113" s="193" t="s">
        <v>2</v>
      </c>
      <c r="D113" s="193"/>
      <c r="E113" s="199" t="s">
        <v>644</v>
      </c>
      <c r="F113" s="194">
        <v>0</v>
      </c>
      <c r="G113" s="194">
        <v>0</v>
      </c>
      <c r="H113" s="194">
        <v>0</v>
      </c>
      <c r="I113" s="195">
        <f t="shared" si="1"/>
        <v>0</v>
      </c>
    </row>
    <row r="114" spans="1:9" ht="12.75" hidden="1">
      <c r="A114" s="193"/>
      <c r="B114" s="193"/>
      <c r="C114" s="193"/>
      <c r="D114" s="193"/>
      <c r="E114" s="199" t="s">
        <v>639</v>
      </c>
      <c r="F114" s="194">
        <v>0</v>
      </c>
      <c r="G114" s="194">
        <v>0</v>
      </c>
      <c r="H114" s="194">
        <v>0</v>
      </c>
      <c r="I114" s="195">
        <f t="shared" si="1"/>
        <v>0</v>
      </c>
    </row>
    <row r="115" spans="1:9" ht="12.75" hidden="1">
      <c r="A115" s="193"/>
      <c r="B115" s="193"/>
      <c r="C115" s="193"/>
      <c r="D115" s="193"/>
      <c r="E115" s="199" t="s">
        <v>645</v>
      </c>
      <c r="F115" s="194">
        <v>0</v>
      </c>
      <c r="G115" s="194">
        <v>0</v>
      </c>
      <c r="H115" s="194">
        <v>0</v>
      </c>
      <c r="I115" s="195">
        <f t="shared" si="1"/>
        <v>0</v>
      </c>
    </row>
    <row r="116" spans="1:9" ht="12.75" hidden="1">
      <c r="A116" s="193"/>
      <c r="B116" s="193"/>
      <c r="C116" s="193"/>
      <c r="D116" s="193"/>
      <c r="E116" s="199" t="s">
        <v>646</v>
      </c>
      <c r="F116" s="194">
        <v>0</v>
      </c>
      <c r="G116" s="194">
        <v>0</v>
      </c>
      <c r="H116" s="194">
        <v>0</v>
      </c>
      <c r="I116" s="195">
        <f t="shared" si="1"/>
        <v>0</v>
      </c>
    </row>
    <row r="117" spans="1:9" ht="12.75" hidden="1">
      <c r="A117" s="193"/>
      <c r="B117" s="193"/>
      <c r="C117" s="193"/>
      <c r="D117" s="193"/>
      <c r="E117" s="199" t="s">
        <v>647</v>
      </c>
      <c r="F117" s="194">
        <v>0</v>
      </c>
      <c r="G117" s="194">
        <v>0</v>
      </c>
      <c r="H117" s="194">
        <v>0</v>
      </c>
      <c r="I117" s="195">
        <f t="shared" si="1"/>
        <v>0</v>
      </c>
    </row>
    <row r="118" spans="1:9" ht="12.75">
      <c r="A118" s="193"/>
      <c r="B118" s="193"/>
      <c r="C118" s="193" t="s">
        <v>311</v>
      </c>
      <c r="D118" s="193" t="s">
        <v>591</v>
      </c>
      <c r="E118" s="193"/>
      <c r="F118" s="194">
        <v>42000</v>
      </c>
      <c r="G118" s="194">
        <v>0</v>
      </c>
      <c r="H118" s="194">
        <v>0</v>
      </c>
      <c r="I118" s="195">
        <f t="shared" si="1"/>
        <v>42000</v>
      </c>
    </row>
    <row r="119" spans="1:9" ht="22.5" customHeight="1">
      <c r="A119" s="193"/>
      <c r="B119" s="193"/>
      <c r="C119" s="193" t="s">
        <v>592</v>
      </c>
      <c r="D119" s="775" t="s">
        <v>593</v>
      </c>
      <c r="E119" s="775"/>
      <c r="F119" s="194">
        <f>918587+14444</f>
        <v>933031</v>
      </c>
      <c r="G119" s="194">
        <v>0</v>
      </c>
      <c r="H119" s="194">
        <v>0</v>
      </c>
      <c r="I119" s="195">
        <f t="shared" si="1"/>
        <v>933031</v>
      </c>
    </row>
    <row r="120" spans="1:9" ht="45.75" customHeight="1" hidden="1">
      <c r="A120" s="197"/>
      <c r="B120" s="197"/>
      <c r="C120" s="207" t="s">
        <v>2</v>
      </c>
      <c r="D120" s="205" t="s">
        <v>460</v>
      </c>
      <c r="E120" s="205" t="s">
        <v>615</v>
      </c>
      <c r="F120" s="200">
        <v>0</v>
      </c>
      <c r="G120" s="200">
        <v>0</v>
      </c>
      <c r="H120" s="200">
        <v>0</v>
      </c>
      <c r="I120" s="201">
        <f t="shared" si="1"/>
        <v>0</v>
      </c>
    </row>
    <row r="121" spans="1:9" ht="13.5" customHeight="1" hidden="1">
      <c r="A121" s="198"/>
      <c r="B121" s="198"/>
      <c r="C121" s="198"/>
      <c r="D121" s="199" t="s">
        <v>460</v>
      </c>
      <c r="E121" s="208" t="s">
        <v>648</v>
      </c>
      <c r="F121" s="200"/>
      <c r="G121" s="200">
        <v>0</v>
      </c>
      <c r="H121" s="200">
        <v>0</v>
      </c>
      <c r="I121" s="201">
        <f t="shared" si="1"/>
        <v>0</v>
      </c>
    </row>
    <row r="122" spans="1:9" s="189" customFormat="1" ht="12.75">
      <c r="A122" s="187" t="s">
        <v>312</v>
      </c>
      <c r="B122" s="768" t="s">
        <v>313</v>
      </c>
      <c r="C122" s="768"/>
      <c r="D122" s="768"/>
      <c r="E122" s="768"/>
      <c r="F122" s="188">
        <f>SUM(F123+F125+F127+F128+F129)</f>
        <v>136434676</v>
      </c>
      <c r="G122" s="188">
        <f>SUM(G123+G125+G127+G128+G129)</f>
        <v>0</v>
      </c>
      <c r="H122" s="188">
        <f>SUM(H123+H125+H127+H128+H129)</f>
        <v>0</v>
      </c>
      <c r="I122" s="188">
        <f t="shared" si="1"/>
        <v>136434676</v>
      </c>
    </row>
    <row r="123" spans="1:9" ht="12.75" hidden="1">
      <c r="A123" s="190"/>
      <c r="B123" s="190" t="s">
        <v>314</v>
      </c>
      <c r="C123" s="764" t="s">
        <v>369</v>
      </c>
      <c r="D123" s="764"/>
      <c r="E123" s="764"/>
      <c r="F123" s="191">
        <v>0</v>
      </c>
      <c r="G123" s="191">
        <v>0</v>
      </c>
      <c r="H123" s="191">
        <v>0</v>
      </c>
      <c r="I123" s="192">
        <f t="shared" si="1"/>
        <v>0</v>
      </c>
    </row>
    <row r="124" spans="1:9" ht="12.75" hidden="1">
      <c r="A124" s="198"/>
      <c r="B124" s="198"/>
      <c r="C124" s="199" t="s">
        <v>2</v>
      </c>
      <c r="D124" s="199" t="s">
        <v>460</v>
      </c>
      <c r="E124" s="199" t="s">
        <v>707</v>
      </c>
      <c r="F124" s="200">
        <v>0</v>
      </c>
      <c r="G124" s="200">
        <v>0</v>
      </c>
      <c r="H124" s="200">
        <v>0</v>
      </c>
      <c r="I124" s="201">
        <f>SUM(F124:H124)</f>
        <v>0</v>
      </c>
    </row>
    <row r="125" spans="1:9" ht="12.75">
      <c r="A125" s="190"/>
      <c r="B125" s="190" t="s">
        <v>315</v>
      </c>
      <c r="C125" s="764" t="s">
        <v>316</v>
      </c>
      <c r="D125" s="764"/>
      <c r="E125" s="764"/>
      <c r="F125" s="191">
        <f>1311000+286688375-51336602-4438250-34083494-5630516+9314000+500000+7102216-1172953-1614100-500000-4556666-5138000-10181701-767984+33742913-9374887+3948655-40000000-1900000-366019-2764334-6447948-25899029</f>
        <v>136434676</v>
      </c>
      <c r="G125" s="191">
        <v>0</v>
      </c>
      <c r="H125" s="191">
        <v>0</v>
      </c>
      <c r="I125" s="192">
        <f t="shared" si="1"/>
        <v>136434676</v>
      </c>
    </row>
    <row r="126" spans="1:9" ht="12.75" hidden="1">
      <c r="A126" s="198"/>
      <c r="B126" s="198"/>
      <c r="C126" s="199" t="s">
        <v>2</v>
      </c>
      <c r="D126" s="199" t="s">
        <v>460</v>
      </c>
      <c r="E126" s="199" t="s">
        <v>317</v>
      </c>
      <c r="F126" s="200">
        <v>0</v>
      </c>
      <c r="G126" s="200">
        <v>0</v>
      </c>
      <c r="H126" s="200">
        <v>0</v>
      </c>
      <c r="I126" s="201">
        <f t="shared" si="1"/>
        <v>0</v>
      </c>
    </row>
    <row r="127" spans="1:9" ht="12.75" hidden="1">
      <c r="A127" s="190"/>
      <c r="B127" s="190" t="s">
        <v>318</v>
      </c>
      <c r="C127" s="764" t="s">
        <v>319</v>
      </c>
      <c r="D127" s="764"/>
      <c r="E127" s="764"/>
      <c r="F127" s="191">
        <v>0</v>
      </c>
      <c r="G127" s="191">
        <v>0</v>
      </c>
      <c r="H127" s="191">
        <v>0</v>
      </c>
      <c r="I127" s="192">
        <f t="shared" si="1"/>
        <v>0</v>
      </c>
    </row>
    <row r="128" spans="1:9" ht="12.75" hidden="1">
      <c r="A128" s="190"/>
      <c r="B128" s="190" t="s">
        <v>320</v>
      </c>
      <c r="C128" s="764" t="s">
        <v>321</v>
      </c>
      <c r="D128" s="764"/>
      <c r="E128" s="764"/>
      <c r="F128" s="191">
        <v>0</v>
      </c>
      <c r="G128" s="191">
        <v>0</v>
      </c>
      <c r="H128" s="191">
        <v>0</v>
      </c>
      <c r="I128" s="192">
        <f t="shared" si="1"/>
        <v>0</v>
      </c>
    </row>
    <row r="129" spans="1:9" ht="12.75" hidden="1">
      <c r="A129" s="190"/>
      <c r="B129" s="190" t="s">
        <v>322</v>
      </c>
      <c r="C129" s="764" t="s">
        <v>323</v>
      </c>
      <c r="D129" s="764"/>
      <c r="E129" s="764"/>
      <c r="F129" s="191">
        <v>0</v>
      </c>
      <c r="G129" s="191">
        <v>0</v>
      </c>
      <c r="H129" s="191">
        <v>0</v>
      </c>
      <c r="I129" s="192">
        <f t="shared" si="1"/>
        <v>0</v>
      </c>
    </row>
    <row r="130" spans="1:9" s="189" customFormat="1" ht="12.75">
      <c r="A130" s="187" t="s">
        <v>324</v>
      </c>
      <c r="B130" s="768" t="s">
        <v>325</v>
      </c>
      <c r="C130" s="768"/>
      <c r="D130" s="768"/>
      <c r="E130" s="768"/>
      <c r="F130" s="188">
        <f>SUM(F131+F132+F133+F134+F144)</f>
        <v>0</v>
      </c>
      <c r="G130" s="188">
        <f>SUM(G131+G132+G133+G134+G144)</f>
        <v>0</v>
      </c>
      <c r="H130" s="188">
        <f>SUM(H131+H132+H133+H134+H144)</f>
        <v>0</v>
      </c>
      <c r="I130" s="188">
        <f t="shared" si="1"/>
        <v>0</v>
      </c>
    </row>
    <row r="131" spans="1:9" ht="12.75" hidden="1">
      <c r="A131" s="190"/>
      <c r="B131" s="190" t="s">
        <v>326</v>
      </c>
      <c r="C131" s="764" t="s">
        <v>736</v>
      </c>
      <c r="D131" s="764"/>
      <c r="E131" s="764"/>
      <c r="F131" s="191">
        <v>0</v>
      </c>
      <c r="G131" s="191">
        <v>0</v>
      </c>
      <c r="H131" s="191">
        <v>0</v>
      </c>
      <c r="I131" s="192">
        <f t="shared" si="1"/>
        <v>0</v>
      </c>
    </row>
    <row r="132" spans="1:9" ht="12.75" hidden="1">
      <c r="A132" s="190"/>
      <c r="B132" s="190" t="s">
        <v>327</v>
      </c>
      <c r="C132" s="764" t="s">
        <v>737</v>
      </c>
      <c r="D132" s="764"/>
      <c r="E132" s="764"/>
      <c r="F132" s="191">
        <v>0</v>
      </c>
      <c r="G132" s="191">
        <v>0</v>
      </c>
      <c r="H132" s="191">
        <v>0</v>
      </c>
      <c r="I132" s="192">
        <f t="shared" si="1"/>
        <v>0</v>
      </c>
    </row>
    <row r="133" spans="1:9" ht="26.25" customHeight="1" hidden="1">
      <c r="A133" s="190"/>
      <c r="B133" s="190" t="s">
        <v>329</v>
      </c>
      <c r="C133" s="774" t="s">
        <v>738</v>
      </c>
      <c r="D133" s="774"/>
      <c r="E133" s="774"/>
      <c r="F133" s="191">
        <v>0</v>
      </c>
      <c r="G133" s="191">
        <v>0</v>
      </c>
      <c r="H133" s="191">
        <v>0</v>
      </c>
      <c r="I133" s="192">
        <f t="shared" si="1"/>
        <v>0</v>
      </c>
    </row>
    <row r="134" spans="1:9" ht="12.75" hidden="1">
      <c r="A134" s="190"/>
      <c r="B134" s="190" t="s">
        <v>594</v>
      </c>
      <c r="C134" s="764" t="s">
        <v>739</v>
      </c>
      <c r="D134" s="764"/>
      <c r="E134" s="764"/>
      <c r="F134" s="191">
        <f>SUM(F135:F143)</f>
        <v>0</v>
      </c>
      <c r="G134" s="191">
        <v>0</v>
      </c>
      <c r="H134" s="191">
        <v>0</v>
      </c>
      <c r="I134" s="192">
        <f t="shared" si="1"/>
        <v>0</v>
      </c>
    </row>
    <row r="135" spans="1:9" ht="12.75" hidden="1">
      <c r="A135" s="197"/>
      <c r="B135" s="197"/>
      <c r="C135" s="199" t="s">
        <v>2</v>
      </c>
      <c r="D135" s="199" t="s">
        <v>175</v>
      </c>
      <c r="E135" s="199" t="s">
        <v>202</v>
      </c>
      <c r="F135" s="200">
        <v>0</v>
      </c>
      <c r="G135" s="200">
        <v>0</v>
      </c>
      <c r="H135" s="200">
        <v>0</v>
      </c>
      <c r="I135" s="201">
        <f t="shared" si="1"/>
        <v>0</v>
      </c>
    </row>
    <row r="136" spans="1:9" ht="12.75" hidden="1">
      <c r="A136" s="197"/>
      <c r="B136" s="197"/>
      <c r="C136" s="199"/>
      <c r="D136" s="199" t="s">
        <v>177</v>
      </c>
      <c r="E136" s="199" t="s">
        <v>616</v>
      </c>
      <c r="F136" s="200">
        <v>0</v>
      </c>
      <c r="G136" s="200">
        <v>0</v>
      </c>
      <c r="H136" s="200">
        <v>0</v>
      </c>
      <c r="I136" s="201">
        <f t="shared" si="1"/>
        <v>0</v>
      </c>
    </row>
    <row r="137" spans="1:9" ht="12.75" hidden="1">
      <c r="A137" s="197"/>
      <c r="B137" s="197"/>
      <c r="C137" s="199"/>
      <c r="D137" s="199" t="s">
        <v>179</v>
      </c>
      <c r="E137" s="199" t="s">
        <v>203</v>
      </c>
      <c r="F137" s="200">
        <v>0</v>
      </c>
      <c r="G137" s="200">
        <v>0</v>
      </c>
      <c r="H137" s="200">
        <v>0</v>
      </c>
      <c r="I137" s="201">
        <f t="shared" si="1"/>
        <v>0</v>
      </c>
    </row>
    <row r="138" spans="1:9" ht="12.75" hidden="1">
      <c r="A138" s="197"/>
      <c r="B138" s="197"/>
      <c r="C138" s="199"/>
      <c r="D138" s="199" t="s">
        <v>181</v>
      </c>
      <c r="E138" s="199" t="s">
        <v>204</v>
      </c>
      <c r="F138" s="200">
        <v>0</v>
      </c>
      <c r="G138" s="200">
        <v>0</v>
      </c>
      <c r="H138" s="200">
        <v>0</v>
      </c>
      <c r="I138" s="201">
        <f t="shared" si="1"/>
        <v>0</v>
      </c>
    </row>
    <row r="139" spans="1:9" ht="12.75" hidden="1">
      <c r="A139" s="197"/>
      <c r="B139" s="197"/>
      <c r="C139" s="199"/>
      <c r="D139" s="199" t="s">
        <v>183</v>
      </c>
      <c r="E139" s="199" t="s">
        <v>205</v>
      </c>
      <c r="F139" s="200">
        <v>0</v>
      </c>
      <c r="G139" s="200">
        <v>0</v>
      </c>
      <c r="H139" s="200">
        <v>0</v>
      </c>
      <c r="I139" s="201">
        <f t="shared" si="1"/>
        <v>0</v>
      </c>
    </row>
    <row r="140" spans="1:9" ht="12.75" hidden="1">
      <c r="A140" s="197"/>
      <c r="B140" s="197"/>
      <c r="C140" s="199"/>
      <c r="D140" s="199" t="s">
        <v>185</v>
      </c>
      <c r="E140" s="199" t="s">
        <v>573</v>
      </c>
      <c r="F140" s="200">
        <v>0</v>
      </c>
      <c r="G140" s="200">
        <v>0</v>
      </c>
      <c r="H140" s="200">
        <v>0</v>
      </c>
      <c r="I140" s="201">
        <f t="shared" si="1"/>
        <v>0</v>
      </c>
    </row>
    <row r="141" spans="1:9" ht="12.75" hidden="1">
      <c r="A141" s="197"/>
      <c r="B141" s="197"/>
      <c r="C141" s="199"/>
      <c r="D141" s="199" t="s">
        <v>187</v>
      </c>
      <c r="E141" s="199" t="s">
        <v>572</v>
      </c>
      <c r="F141" s="209">
        <v>0</v>
      </c>
      <c r="G141" s="200">
        <v>0</v>
      </c>
      <c r="H141" s="200">
        <v>0</v>
      </c>
      <c r="I141" s="201">
        <f t="shared" si="1"/>
        <v>0</v>
      </c>
    </row>
    <row r="142" spans="1:9" ht="12.75" hidden="1">
      <c r="A142" s="197"/>
      <c r="B142" s="197"/>
      <c r="C142" s="199"/>
      <c r="D142" s="199" t="s">
        <v>189</v>
      </c>
      <c r="E142" s="199" t="s">
        <v>208</v>
      </c>
      <c r="F142" s="200"/>
      <c r="G142" s="200">
        <v>0</v>
      </c>
      <c r="H142" s="200">
        <v>0</v>
      </c>
      <c r="I142" s="201">
        <f>SUM(F142:H142)</f>
        <v>0</v>
      </c>
    </row>
    <row r="143" spans="1:9" ht="12.75" hidden="1">
      <c r="A143" s="197"/>
      <c r="B143" s="197"/>
      <c r="C143" s="199"/>
      <c r="D143" s="199" t="s">
        <v>191</v>
      </c>
      <c r="E143" s="199" t="s">
        <v>617</v>
      </c>
      <c r="F143" s="200">
        <v>0</v>
      </c>
      <c r="G143" s="200">
        <v>0</v>
      </c>
      <c r="H143" s="200">
        <v>0</v>
      </c>
      <c r="I143" s="201">
        <f t="shared" si="1"/>
        <v>0</v>
      </c>
    </row>
    <row r="144" spans="1:9" ht="12.75" hidden="1">
      <c r="A144" s="190"/>
      <c r="B144" s="190" t="s">
        <v>595</v>
      </c>
      <c r="C144" s="764" t="s">
        <v>708</v>
      </c>
      <c r="D144" s="764"/>
      <c r="E144" s="764"/>
      <c r="F144" s="191">
        <v>0</v>
      </c>
      <c r="G144" s="191">
        <v>0</v>
      </c>
      <c r="H144" s="191">
        <v>0</v>
      </c>
      <c r="I144" s="192">
        <f t="shared" si="1"/>
        <v>0</v>
      </c>
    </row>
    <row r="145" spans="1:9" s="189" customFormat="1" ht="12.75">
      <c r="A145" s="187" t="s">
        <v>330</v>
      </c>
      <c r="B145" s="768" t="s">
        <v>331</v>
      </c>
      <c r="C145" s="768"/>
      <c r="D145" s="768"/>
      <c r="E145" s="768"/>
      <c r="F145" s="188">
        <f>SUM(F146+F147+F148+F149+F159)</f>
        <v>3740000</v>
      </c>
      <c r="G145" s="188">
        <f>SUM(G146+G147+G148+G149+G159)</f>
        <v>0</v>
      </c>
      <c r="H145" s="188">
        <f>SUM(H146+H147+H148+H149+H159)</f>
        <v>0</v>
      </c>
      <c r="I145" s="188">
        <f t="shared" si="1"/>
        <v>3740000</v>
      </c>
    </row>
    <row r="146" spans="1:9" ht="12.75" hidden="1">
      <c r="A146" s="190"/>
      <c r="B146" s="190" t="s">
        <v>332</v>
      </c>
      <c r="C146" s="764" t="s">
        <v>740</v>
      </c>
      <c r="D146" s="764"/>
      <c r="E146" s="764"/>
      <c r="F146" s="191">
        <v>0</v>
      </c>
      <c r="G146" s="191">
        <v>0</v>
      </c>
      <c r="H146" s="191">
        <v>0</v>
      </c>
      <c r="I146" s="192">
        <f t="shared" si="1"/>
        <v>0</v>
      </c>
    </row>
    <row r="147" spans="1:9" ht="12.75" hidden="1">
      <c r="A147" s="190"/>
      <c r="B147" s="190" t="s">
        <v>333</v>
      </c>
      <c r="C147" s="764" t="s">
        <v>741</v>
      </c>
      <c r="D147" s="764"/>
      <c r="E147" s="764"/>
      <c r="F147" s="191">
        <v>0</v>
      </c>
      <c r="G147" s="191">
        <v>0</v>
      </c>
      <c r="H147" s="191">
        <v>0</v>
      </c>
      <c r="I147" s="192">
        <f t="shared" si="1"/>
        <v>0</v>
      </c>
    </row>
    <row r="148" spans="1:9" ht="25.5" customHeight="1" hidden="1">
      <c r="A148" s="190"/>
      <c r="B148" s="190" t="s">
        <v>334</v>
      </c>
      <c r="C148" s="774" t="s">
        <v>742</v>
      </c>
      <c r="D148" s="774"/>
      <c r="E148" s="774"/>
      <c r="F148" s="191">
        <v>0</v>
      </c>
      <c r="G148" s="191">
        <v>0</v>
      </c>
      <c r="H148" s="191">
        <v>0</v>
      </c>
      <c r="I148" s="192">
        <f t="shared" si="1"/>
        <v>0</v>
      </c>
    </row>
    <row r="149" spans="1:9" ht="12.75" hidden="1">
      <c r="A149" s="197"/>
      <c r="B149" s="190" t="s">
        <v>596</v>
      </c>
      <c r="C149" s="764" t="s">
        <v>743</v>
      </c>
      <c r="D149" s="764"/>
      <c r="E149" s="764"/>
      <c r="F149" s="191">
        <f>SUM(F150:F158)</f>
        <v>0</v>
      </c>
      <c r="G149" s="191">
        <f>SUM(G150:G158)</f>
        <v>0</v>
      </c>
      <c r="H149" s="191">
        <f>SUM(H150:H158)</f>
        <v>0</v>
      </c>
      <c r="I149" s="192">
        <f t="shared" si="1"/>
        <v>0</v>
      </c>
    </row>
    <row r="150" spans="1:9" ht="12.75" hidden="1">
      <c r="A150" s="197"/>
      <c r="B150" s="197"/>
      <c r="C150" s="199" t="s">
        <v>2</v>
      </c>
      <c r="D150" s="199" t="s">
        <v>175</v>
      </c>
      <c r="E150" s="199" t="s">
        <v>202</v>
      </c>
      <c r="F150" s="200">
        <v>0</v>
      </c>
      <c r="G150" s="200">
        <v>0</v>
      </c>
      <c r="H150" s="200">
        <v>0</v>
      </c>
      <c r="I150" s="201">
        <f aca="true" t="shared" si="2" ref="I150:I156">SUM(F150:H150)</f>
        <v>0</v>
      </c>
    </row>
    <row r="151" spans="1:9" ht="12.75" hidden="1">
      <c r="A151" s="197"/>
      <c r="B151" s="197"/>
      <c r="C151" s="199"/>
      <c r="D151" s="199" t="s">
        <v>177</v>
      </c>
      <c r="E151" s="199" t="s">
        <v>616</v>
      </c>
      <c r="F151" s="200">
        <v>0</v>
      </c>
      <c r="G151" s="200">
        <v>0</v>
      </c>
      <c r="H151" s="200">
        <v>0</v>
      </c>
      <c r="I151" s="201">
        <f t="shared" si="2"/>
        <v>0</v>
      </c>
    </row>
    <row r="152" spans="1:9" ht="12.75" hidden="1">
      <c r="A152" s="197"/>
      <c r="B152" s="197"/>
      <c r="C152" s="199"/>
      <c r="D152" s="199" t="s">
        <v>179</v>
      </c>
      <c r="E152" s="199" t="s">
        <v>203</v>
      </c>
      <c r="F152" s="200">
        <v>0</v>
      </c>
      <c r="G152" s="200">
        <v>0</v>
      </c>
      <c r="H152" s="200">
        <v>0</v>
      </c>
      <c r="I152" s="201">
        <f t="shared" si="2"/>
        <v>0</v>
      </c>
    </row>
    <row r="153" spans="1:9" ht="12.75" hidden="1">
      <c r="A153" s="197"/>
      <c r="B153" s="197"/>
      <c r="C153" s="199"/>
      <c r="D153" s="199" t="s">
        <v>181</v>
      </c>
      <c r="E153" s="199" t="s">
        <v>204</v>
      </c>
      <c r="F153" s="200">
        <v>0</v>
      </c>
      <c r="G153" s="200">
        <v>0</v>
      </c>
      <c r="H153" s="200">
        <v>0</v>
      </c>
      <c r="I153" s="201">
        <f t="shared" si="2"/>
        <v>0</v>
      </c>
    </row>
    <row r="154" spans="1:9" ht="12.75" hidden="1">
      <c r="A154" s="197"/>
      <c r="B154" s="197"/>
      <c r="C154" s="199"/>
      <c r="D154" s="199" t="s">
        <v>183</v>
      </c>
      <c r="E154" s="199" t="s">
        <v>205</v>
      </c>
      <c r="F154" s="200">
        <v>0</v>
      </c>
      <c r="G154" s="200">
        <v>0</v>
      </c>
      <c r="H154" s="200">
        <v>0</v>
      </c>
      <c r="I154" s="201">
        <f t="shared" si="2"/>
        <v>0</v>
      </c>
    </row>
    <row r="155" spans="1:9" ht="12.75" hidden="1">
      <c r="A155" s="197"/>
      <c r="B155" s="197"/>
      <c r="C155" s="199"/>
      <c r="D155" s="199" t="s">
        <v>185</v>
      </c>
      <c r="E155" s="199" t="s">
        <v>573</v>
      </c>
      <c r="F155" s="200">
        <v>0</v>
      </c>
      <c r="G155" s="200">
        <v>0</v>
      </c>
      <c r="H155" s="200">
        <v>0</v>
      </c>
      <c r="I155" s="201">
        <f t="shared" si="2"/>
        <v>0</v>
      </c>
    </row>
    <row r="156" spans="1:9" ht="12.75" hidden="1">
      <c r="A156" s="197"/>
      <c r="B156" s="197"/>
      <c r="C156" s="199"/>
      <c r="D156" s="199" t="s">
        <v>187</v>
      </c>
      <c r="E156" s="199" t="s">
        <v>572</v>
      </c>
      <c r="F156" s="209">
        <v>0</v>
      </c>
      <c r="G156" s="200">
        <v>0</v>
      </c>
      <c r="H156" s="200">
        <v>0</v>
      </c>
      <c r="I156" s="201">
        <f t="shared" si="2"/>
        <v>0</v>
      </c>
    </row>
    <row r="157" spans="1:9" ht="12.75" hidden="1">
      <c r="A157" s="197"/>
      <c r="B157" s="197"/>
      <c r="C157" s="199"/>
      <c r="D157" s="199" t="s">
        <v>189</v>
      </c>
      <c r="E157" s="199" t="s">
        <v>208</v>
      </c>
      <c r="F157" s="200">
        <v>0</v>
      </c>
      <c r="G157" s="200">
        <v>0</v>
      </c>
      <c r="H157" s="200">
        <v>0</v>
      </c>
      <c r="I157" s="201">
        <f>SUM(F157:H157)</f>
        <v>0</v>
      </c>
    </row>
    <row r="158" spans="1:9" ht="12.75" hidden="1">
      <c r="A158" s="197"/>
      <c r="B158" s="197"/>
      <c r="C158" s="199"/>
      <c r="D158" s="199" t="s">
        <v>191</v>
      </c>
      <c r="E158" s="199" t="s">
        <v>617</v>
      </c>
      <c r="F158" s="200">
        <v>0</v>
      </c>
      <c r="G158" s="200">
        <v>0</v>
      </c>
      <c r="H158" s="200">
        <v>0</v>
      </c>
      <c r="I158" s="201">
        <f>SUM(F158:H158)</f>
        <v>0</v>
      </c>
    </row>
    <row r="159" spans="1:9" ht="12.75">
      <c r="A159" s="197"/>
      <c r="B159" s="190" t="s">
        <v>597</v>
      </c>
      <c r="C159" s="764" t="s">
        <v>682</v>
      </c>
      <c r="D159" s="764"/>
      <c r="E159" s="764"/>
      <c r="F159" s="191">
        <f>SUM(F160:F171)</f>
        <v>3740000</v>
      </c>
      <c r="G159" s="191">
        <f>SUM(G160:G170)</f>
        <v>0</v>
      </c>
      <c r="H159" s="191">
        <f>SUM(H160:H170)</f>
        <v>0</v>
      </c>
      <c r="I159" s="192">
        <f t="shared" si="1"/>
        <v>3740000</v>
      </c>
    </row>
    <row r="160" spans="1:9" ht="12.75">
      <c r="A160" s="197"/>
      <c r="B160" s="197"/>
      <c r="C160" s="199" t="s">
        <v>2</v>
      </c>
      <c r="D160" s="199"/>
      <c r="E160" s="199" t="s">
        <v>202</v>
      </c>
      <c r="F160" s="200">
        <v>3000000</v>
      </c>
      <c r="G160" s="200">
        <v>0</v>
      </c>
      <c r="H160" s="200">
        <v>0</v>
      </c>
      <c r="I160" s="201">
        <f t="shared" si="1"/>
        <v>3000000</v>
      </c>
    </row>
    <row r="161" spans="1:9" ht="12.75" hidden="1">
      <c r="A161" s="197"/>
      <c r="B161" s="197"/>
      <c r="C161" s="199"/>
      <c r="D161" s="199" t="s">
        <v>177</v>
      </c>
      <c r="E161" s="199" t="s">
        <v>616</v>
      </c>
      <c r="F161" s="200">
        <v>0</v>
      </c>
      <c r="G161" s="200">
        <v>0</v>
      </c>
      <c r="H161" s="200">
        <v>0</v>
      </c>
      <c r="I161" s="201">
        <f t="shared" si="1"/>
        <v>0</v>
      </c>
    </row>
    <row r="162" spans="1:9" ht="12.75" hidden="1">
      <c r="A162" s="197"/>
      <c r="B162" s="197"/>
      <c r="C162" s="199"/>
      <c r="D162" s="199" t="s">
        <v>179</v>
      </c>
      <c r="E162" s="199" t="s">
        <v>203</v>
      </c>
      <c r="F162" s="200">
        <v>0</v>
      </c>
      <c r="G162" s="200">
        <v>0</v>
      </c>
      <c r="H162" s="200">
        <v>0</v>
      </c>
      <c r="I162" s="201">
        <f t="shared" si="1"/>
        <v>0</v>
      </c>
    </row>
    <row r="163" spans="1:9" ht="12.75" hidden="1">
      <c r="A163" s="197"/>
      <c r="B163" s="197"/>
      <c r="C163" s="199"/>
      <c r="D163" s="199" t="s">
        <v>181</v>
      </c>
      <c r="E163" s="199" t="s">
        <v>204</v>
      </c>
      <c r="F163" s="200">
        <v>0</v>
      </c>
      <c r="G163" s="200">
        <v>0</v>
      </c>
      <c r="H163" s="200">
        <v>0</v>
      </c>
      <c r="I163" s="201">
        <f t="shared" si="1"/>
        <v>0</v>
      </c>
    </row>
    <row r="164" spans="1:9" ht="12.75" hidden="1">
      <c r="A164" s="197"/>
      <c r="B164" s="197"/>
      <c r="C164" s="199"/>
      <c r="D164" s="199" t="s">
        <v>183</v>
      </c>
      <c r="E164" s="199" t="s">
        <v>205</v>
      </c>
      <c r="F164" s="200">
        <v>0</v>
      </c>
      <c r="G164" s="200">
        <v>0</v>
      </c>
      <c r="H164" s="200">
        <v>0</v>
      </c>
      <c r="I164" s="201">
        <f t="shared" si="1"/>
        <v>0</v>
      </c>
    </row>
    <row r="165" spans="1:9" ht="12.75" hidden="1">
      <c r="A165" s="197"/>
      <c r="B165" s="197"/>
      <c r="C165" s="199"/>
      <c r="D165" s="199" t="s">
        <v>185</v>
      </c>
      <c r="E165" s="199" t="s">
        <v>573</v>
      </c>
      <c r="F165" s="200">
        <v>0</v>
      </c>
      <c r="G165" s="200">
        <v>0</v>
      </c>
      <c r="H165" s="200">
        <v>0</v>
      </c>
      <c r="I165" s="201">
        <f t="shared" si="1"/>
        <v>0</v>
      </c>
    </row>
    <row r="166" spans="1:9" ht="12.75" hidden="1">
      <c r="A166" s="197"/>
      <c r="B166" s="197"/>
      <c r="C166" s="199"/>
      <c r="D166" s="199" t="s">
        <v>187</v>
      </c>
      <c r="E166" s="199" t="s">
        <v>572</v>
      </c>
      <c r="F166" s="209">
        <v>0</v>
      </c>
      <c r="G166" s="200">
        <v>0</v>
      </c>
      <c r="H166" s="200">
        <v>0</v>
      </c>
      <c r="I166" s="201">
        <f t="shared" si="1"/>
        <v>0</v>
      </c>
    </row>
    <row r="167" spans="1:9" ht="12.75" hidden="1">
      <c r="A167" s="197"/>
      <c r="B167" s="197"/>
      <c r="C167" s="199"/>
      <c r="D167" s="199" t="s">
        <v>189</v>
      </c>
      <c r="E167" s="199" t="s">
        <v>208</v>
      </c>
      <c r="F167" s="200">
        <v>0</v>
      </c>
      <c r="G167" s="200">
        <v>0</v>
      </c>
      <c r="H167" s="200">
        <v>0</v>
      </c>
      <c r="I167" s="201">
        <f>SUM(F167:H167)</f>
        <v>0</v>
      </c>
    </row>
    <row r="168" spans="1:9" ht="12.75" hidden="1">
      <c r="A168" s="197"/>
      <c r="B168" s="197"/>
      <c r="C168" s="199"/>
      <c r="D168" s="199" t="s">
        <v>191</v>
      </c>
      <c r="E168" s="199" t="s">
        <v>209</v>
      </c>
      <c r="F168" s="200">
        <v>0</v>
      </c>
      <c r="G168" s="200">
        <v>0</v>
      </c>
      <c r="H168" s="200">
        <v>0</v>
      </c>
      <c r="I168" s="201">
        <f>SUM(F168:H168)</f>
        <v>0</v>
      </c>
    </row>
    <row r="169" spans="1:9" ht="12.75" hidden="1">
      <c r="A169" s="197"/>
      <c r="B169" s="197"/>
      <c r="C169" s="199"/>
      <c r="D169" s="199" t="s">
        <v>193</v>
      </c>
      <c r="E169" s="199" t="s">
        <v>210</v>
      </c>
      <c r="F169" s="200">
        <v>0</v>
      </c>
      <c r="G169" s="200">
        <v>0</v>
      </c>
      <c r="H169" s="200">
        <v>0</v>
      </c>
      <c r="I169" s="201">
        <f>SUM(F169:H169)</f>
        <v>0</v>
      </c>
    </row>
    <row r="170" spans="1:9" ht="12.75" hidden="1">
      <c r="A170" s="197"/>
      <c r="B170" s="197"/>
      <c r="C170" s="199"/>
      <c r="D170" s="199" t="s">
        <v>618</v>
      </c>
      <c r="E170" s="199" t="s">
        <v>211</v>
      </c>
      <c r="F170" s="200">
        <v>0</v>
      </c>
      <c r="G170" s="200">
        <v>0</v>
      </c>
      <c r="H170" s="200">
        <v>0</v>
      </c>
      <c r="I170" s="201">
        <f>SUM(F170:H170)</f>
        <v>0</v>
      </c>
    </row>
    <row r="171" spans="1:9" ht="12.75">
      <c r="A171" s="197"/>
      <c r="B171" s="197"/>
      <c r="C171" s="199"/>
      <c r="D171" s="199"/>
      <c r="E171" s="199" t="s">
        <v>203</v>
      </c>
      <c r="F171" s="200">
        <f>200000+540000</f>
        <v>740000</v>
      </c>
      <c r="G171" s="200">
        <v>0</v>
      </c>
      <c r="H171" s="200">
        <v>0</v>
      </c>
      <c r="I171" s="201">
        <f>SUM(F171:H171)</f>
        <v>740000</v>
      </c>
    </row>
    <row r="172" spans="1:9" s="189" customFormat="1" ht="12.75">
      <c r="A172" s="187" t="s">
        <v>335</v>
      </c>
      <c r="B172" s="768" t="s">
        <v>336</v>
      </c>
      <c r="C172" s="768"/>
      <c r="D172" s="768"/>
      <c r="E172" s="768"/>
      <c r="F172" s="188">
        <f>SUM(F173+F196+F197+F198)</f>
        <v>128852278</v>
      </c>
      <c r="G172" s="188">
        <f>SUM(G173+G196+G197+G198)</f>
        <v>213817</v>
      </c>
      <c r="H172" s="188">
        <f>SUM(H173+H196+H197+H198)</f>
        <v>1486017</v>
      </c>
      <c r="I172" s="188">
        <f>SUM(I173+I196+I197+I198)</f>
        <v>130552112</v>
      </c>
    </row>
    <row r="173" spans="1:9" ht="12.75">
      <c r="A173" s="197"/>
      <c r="B173" s="190" t="s">
        <v>337</v>
      </c>
      <c r="C173" s="764" t="s">
        <v>338</v>
      </c>
      <c r="D173" s="764"/>
      <c r="E173" s="764"/>
      <c r="F173" s="191">
        <f>SUM(F174+F178+F183+F188+F189+F190+F191+F192+F200+F193)</f>
        <v>128852278</v>
      </c>
      <c r="G173" s="191">
        <f>SUM(G174+G178+G183+G188+G189+G190+G191+G192+G200+G193)</f>
        <v>213817</v>
      </c>
      <c r="H173" s="191">
        <f>SUM(H174+H178+H183+H188+H189+H190+H191+H192+H200+H193)</f>
        <v>1486017</v>
      </c>
      <c r="I173" s="192">
        <f t="shared" si="1"/>
        <v>130552112</v>
      </c>
    </row>
    <row r="174" spans="1:9" ht="12.75">
      <c r="A174" s="193"/>
      <c r="B174" s="193"/>
      <c r="C174" s="193" t="s">
        <v>339</v>
      </c>
      <c r="D174" s="193" t="s">
        <v>649</v>
      </c>
      <c r="E174" s="193"/>
      <c r="F174" s="194">
        <f>SUM(F175:F177)</f>
        <v>0</v>
      </c>
      <c r="G174" s="194">
        <f>SUM(G175:G177)</f>
        <v>0</v>
      </c>
      <c r="H174" s="194">
        <f>SUM(H175:H177)</f>
        <v>0</v>
      </c>
      <c r="I174" s="195">
        <f t="shared" si="1"/>
        <v>0</v>
      </c>
    </row>
    <row r="175" spans="1:9" ht="12.75" hidden="1">
      <c r="A175" s="210"/>
      <c r="B175" s="210"/>
      <c r="C175" s="210"/>
      <c r="D175" s="210" t="s">
        <v>340</v>
      </c>
      <c r="E175" s="210" t="s">
        <v>744</v>
      </c>
      <c r="F175" s="211">
        <v>0</v>
      </c>
      <c r="G175" s="211">
        <v>0</v>
      </c>
      <c r="H175" s="211">
        <v>0</v>
      </c>
      <c r="I175" s="212">
        <f t="shared" si="1"/>
        <v>0</v>
      </c>
    </row>
    <row r="176" spans="1:9" ht="12.75" hidden="1">
      <c r="A176" s="210"/>
      <c r="B176" s="210"/>
      <c r="C176" s="210"/>
      <c r="D176" s="210" t="s">
        <v>341</v>
      </c>
      <c r="E176" s="210" t="s">
        <v>745</v>
      </c>
      <c r="F176" s="211">
        <v>0</v>
      </c>
      <c r="G176" s="211">
        <v>0</v>
      </c>
      <c r="H176" s="211">
        <v>0</v>
      </c>
      <c r="I176" s="212">
        <f t="shared" si="1"/>
        <v>0</v>
      </c>
    </row>
    <row r="177" spans="1:9" ht="12.75" hidden="1">
      <c r="A177" s="210"/>
      <c r="B177" s="210"/>
      <c r="C177" s="210"/>
      <c r="D177" s="210" t="s">
        <v>342</v>
      </c>
      <c r="E177" s="210" t="s">
        <v>746</v>
      </c>
      <c r="F177" s="211">
        <v>0</v>
      </c>
      <c r="G177" s="211">
        <v>0</v>
      </c>
      <c r="H177" s="211">
        <v>0</v>
      </c>
      <c r="I177" s="212">
        <f t="shared" si="1"/>
        <v>0</v>
      </c>
    </row>
    <row r="178" spans="1:9" ht="12.75">
      <c r="A178" s="193"/>
      <c r="B178" s="193"/>
      <c r="C178" s="193" t="s">
        <v>343</v>
      </c>
      <c r="D178" s="193" t="s">
        <v>344</v>
      </c>
      <c r="E178" s="193"/>
      <c r="F178" s="194">
        <f>SUM(F179:F182)</f>
        <v>0</v>
      </c>
      <c r="G178" s="194">
        <f>SUM(G179:G182)</f>
        <v>0</v>
      </c>
      <c r="H178" s="194">
        <f>SUM(H179:H182)</f>
        <v>0</v>
      </c>
      <c r="I178" s="195">
        <f t="shared" si="1"/>
        <v>0</v>
      </c>
    </row>
    <row r="179" spans="1:9" ht="12.75" hidden="1">
      <c r="A179" s="193"/>
      <c r="B179" s="193"/>
      <c r="C179" s="193"/>
      <c r="D179" s="210" t="s">
        <v>598</v>
      </c>
      <c r="E179" s="210" t="s">
        <v>599</v>
      </c>
      <c r="F179" s="194">
        <v>0</v>
      </c>
      <c r="G179" s="194">
        <v>0</v>
      </c>
      <c r="H179" s="194">
        <v>0</v>
      </c>
      <c r="I179" s="195">
        <f t="shared" si="1"/>
        <v>0</v>
      </c>
    </row>
    <row r="180" spans="1:9" ht="12.75" hidden="1">
      <c r="A180" s="193"/>
      <c r="B180" s="193"/>
      <c r="C180" s="193"/>
      <c r="D180" s="210" t="s">
        <v>600</v>
      </c>
      <c r="E180" s="210" t="s">
        <v>601</v>
      </c>
      <c r="F180" s="194">
        <v>0</v>
      </c>
      <c r="G180" s="194">
        <v>0</v>
      </c>
      <c r="H180" s="194">
        <v>0</v>
      </c>
      <c r="I180" s="195">
        <f t="shared" si="1"/>
        <v>0</v>
      </c>
    </row>
    <row r="181" spans="1:9" ht="12.75" hidden="1">
      <c r="A181" s="193"/>
      <c r="B181" s="193"/>
      <c r="C181" s="193"/>
      <c r="D181" s="210" t="s">
        <v>602</v>
      </c>
      <c r="E181" s="210" t="s">
        <v>603</v>
      </c>
      <c r="F181" s="194">
        <v>0</v>
      </c>
      <c r="G181" s="194">
        <v>0</v>
      </c>
      <c r="H181" s="194">
        <v>0</v>
      </c>
      <c r="I181" s="195">
        <f t="shared" si="1"/>
        <v>0</v>
      </c>
    </row>
    <row r="182" spans="1:9" ht="12.75" hidden="1">
      <c r="A182" s="193"/>
      <c r="B182" s="193"/>
      <c r="C182" s="193"/>
      <c r="D182" s="210" t="s">
        <v>604</v>
      </c>
      <c r="E182" s="210" t="s">
        <v>605</v>
      </c>
      <c r="F182" s="194">
        <v>0</v>
      </c>
      <c r="G182" s="194">
        <v>0</v>
      </c>
      <c r="H182" s="194">
        <v>0</v>
      </c>
      <c r="I182" s="195">
        <f t="shared" si="1"/>
        <v>0</v>
      </c>
    </row>
    <row r="183" spans="1:9" ht="12.75">
      <c r="A183" s="193"/>
      <c r="B183" s="193"/>
      <c r="C183" s="193" t="s">
        <v>345</v>
      </c>
      <c r="D183" s="193" t="s">
        <v>346</v>
      </c>
      <c r="E183" s="193"/>
      <c r="F183" s="194">
        <f>SUM(F184,F187)</f>
        <v>110811042</v>
      </c>
      <c r="G183" s="194">
        <f>SUM(G184,G187)</f>
        <v>213817</v>
      </c>
      <c r="H183" s="194">
        <f>SUM(H184,H187)</f>
        <v>1486017</v>
      </c>
      <c r="I183" s="195">
        <f t="shared" si="1"/>
        <v>112510876</v>
      </c>
    </row>
    <row r="184" spans="1:9" ht="12.75">
      <c r="A184" s="210"/>
      <c r="B184" s="210"/>
      <c r="C184" s="210"/>
      <c r="D184" s="210" t="s">
        <v>347</v>
      </c>
      <c r="E184" s="210" t="s">
        <v>348</v>
      </c>
      <c r="F184" s="211">
        <f>SUM(F185:F186)</f>
        <v>80794940</v>
      </c>
      <c r="G184" s="211">
        <f>SUM(G185:G186)</f>
        <v>213817</v>
      </c>
      <c r="H184" s="211">
        <f>SUM(H185:H186)</f>
        <v>1486017</v>
      </c>
      <c r="I184" s="212">
        <f aca="true" t="shared" si="3" ref="I184:I198">SUM(F184:H184)</f>
        <v>82494774</v>
      </c>
    </row>
    <row r="185" spans="1:9" s="217" customFormat="1" ht="12.75">
      <c r="A185" s="213"/>
      <c r="B185" s="213"/>
      <c r="C185" s="213"/>
      <c r="D185" s="213"/>
      <c r="E185" s="214" t="s">
        <v>37</v>
      </c>
      <c r="F185" s="215">
        <f>3223384+17567323+20000000+6865581</f>
        <v>47656288</v>
      </c>
      <c r="G185" s="215">
        <v>213817</v>
      </c>
      <c r="H185" s="215">
        <v>1486017</v>
      </c>
      <c r="I185" s="216">
        <f t="shared" si="3"/>
        <v>49356122</v>
      </c>
    </row>
    <row r="186" spans="1:9" s="217" customFormat="1" ht="12.75">
      <c r="A186" s="213"/>
      <c r="B186" s="213"/>
      <c r="C186" s="213"/>
      <c r="D186" s="213"/>
      <c r="E186" s="214" t="s">
        <v>38</v>
      </c>
      <c r="F186" s="215">
        <f>1159500+1587500+12391652+15000000+3000000</f>
        <v>33138652</v>
      </c>
      <c r="G186" s="215">
        <v>0</v>
      </c>
      <c r="H186" s="215">
        <v>0</v>
      </c>
      <c r="I186" s="216">
        <f t="shared" si="3"/>
        <v>33138652</v>
      </c>
    </row>
    <row r="187" spans="1:9" ht="12.75">
      <c r="A187" s="210"/>
      <c r="B187" s="210"/>
      <c r="C187" s="210"/>
      <c r="D187" s="210" t="s">
        <v>349</v>
      </c>
      <c r="E187" s="210" t="s">
        <v>350</v>
      </c>
      <c r="F187" s="211">
        <v>30016102</v>
      </c>
      <c r="G187" s="211">
        <v>0</v>
      </c>
      <c r="H187" s="211">
        <v>0</v>
      </c>
      <c r="I187" s="212">
        <f t="shared" si="3"/>
        <v>30016102</v>
      </c>
    </row>
    <row r="188" spans="1:9" ht="12.75" hidden="1">
      <c r="A188" s="193"/>
      <c r="B188" s="193"/>
      <c r="C188" s="193" t="s">
        <v>351</v>
      </c>
      <c r="D188" s="193" t="s">
        <v>650</v>
      </c>
      <c r="E188" s="193"/>
      <c r="F188" s="194">
        <v>0</v>
      </c>
      <c r="G188" s="194">
        <v>0</v>
      </c>
      <c r="H188" s="194">
        <v>0</v>
      </c>
      <c r="I188" s="195">
        <f t="shared" si="3"/>
        <v>0</v>
      </c>
    </row>
    <row r="189" spans="1:9" ht="12.75" hidden="1">
      <c r="A189" s="193"/>
      <c r="B189" s="193"/>
      <c r="C189" s="193" t="s">
        <v>352</v>
      </c>
      <c r="D189" s="193" t="s">
        <v>651</v>
      </c>
      <c r="E189" s="193"/>
      <c r="F189" s="194">
        <v>0</v>
      </c>
      <c r="G189" s="194">
        <v>0</v>
      </c>
      <c r="H189" s="194">
        <v>0</v>
      </c>
      <c r="I189" s="195">
        <f t="shared" si="3"/>
        <v>0</v>
      </c>
    </row>
    <row r="190" spans="1:9" ht="12.75" hidden="1">
      <c r="A190" s="193"/>
      <c r="B190" s="193"/>
      <c r="C190" s="193" t="s">
        <v>353</v>
      </c>
      <c r="D190" s="193" t="s">
        <v>354</v>
      </c>
      <c r="E190" s="193"/>
      <c r="F190" s="194">
        <v>0</v>
      </c>
      <c r="G190" s="194">
        <v>0</v>
      </c>
      <c r="H190" s="194">
        <v>0</v>
      </c>
      <c r="I190" s="195">
        <f t="shared" si="3"/>
        <v>0</v>
      </c>
    </row>
    <row r="191" spans="1:9" ht="12.75" hidden="1">
      <c r="A191" s="193"/>
      <c r="B191" s="193"/>
      <c r="C191" s="193" t="s">
        <v>355</v>
      </c>
      <c r="D191" s="193" t="s">
        <v>606</v>
      </c>
      <c r="E191" s="193"/>
      <c r="F191" s="194">
        <v>0</v>
      </c>
      <c r="G191" s="194">
        <v>0</v>
      </c>
      <c r="H191" s="194">
        <v>0</v>
      </c>
      <c r="I191" s="195">
        <f t="shared" si="3"/>
        <v>0</v>
      </c>
    </row>
    <row r="192" spans="1:9" ht="12.75" hidden="1">
      <c r="A192" s="193"/>
      <c r="B192" s="193"/>
      <c r="C192" s="193" t="s">
        <v>356</v>
      </c>
      <c r="D192" s="193" t="s">
        <v>357</v>
      </c>
      <c r="E192" s="193"/>
      <c r="F192" s="194">
        <v>0</v>
      </c>
      <c r="G192" s="194">
        <v>0</v>
      </c>
      <c r="H192" s="194">
        <v>0</v>
      </c>
      <c r="I192" s="195">
        <f t="shared" si="3"/>
        <v>0</v>
      </c>
    </row>
    <row r="193" spans="1:9" ht="12.75" hidden="1">
      <c r="A193" s="193"/>
      <c r="B193" s="193"/>
      <c r="C193" s="193" t="s">
        <v>607</v>
      </c>
      <c r="D193" s="193" t="s">
        <v>608</v>
      </c>
      <c r="E193" s="193"/>
      <c r="F193" s="194">
        <v>0</v>
      </c>
      <c r="G193" s="194">
        <v>0</v>
      </c>
      <c r="H193" s="194">
        <v>0</v>
      </c>
      <c r="I193" s="195">
        <f t="shared" si="3"/>
        <v>0</v>
      </c>
    </row>
    <row r="194" spans="1:9" ht="12.75" hidden="1">
      <c r="A194" s="193"/>
      <c r="B194" s="193"/>
      <c r="C194" s="193"/>
      <c r="D194" s="210" t="s">
        <v>609</v>
      </c>
      <c r="E194" s="210" t="s">
        <v>610</v>
      </c>
      <c r="F194" s="215">
        <v>0</v>
      </c>
      <c r="G194" s="215">
        <v>0</v>
      </c>
      <c r="H194" s="215">
        <v>0</v>
      </c>
      <c r="I194" s="195">
        <f t="shared" si="3"/>
        <v>0</v>
      </c>
    </row>
    <row r="195" spans="1:9" ht="12.75" hidden="1">
      <c r="A195" s="193"/>
      <c r="B195" s="193"/>
      <c r="C195" s="193"/>
      <c r="D195" s="210" t="s">
        <v>611</v>
      </c>
      <c r="E195" s="210" t="s">
        <v>612</v>
      </c>
      <c r="F195" s="215">
        <v>0</v>
      </c>
      <c r="G195" s="215">
        <v>0</v>
      </c>
      <c r="H195" s="215">
        <v>0</v>
      </c>
      <c r="I195" s="195">
        <f t="shared" si="3"/>
        <v>0</v>
      </c>
    </row>
    <row r="196" spans="1:9" ht="12.75" hidden="1">
      <c r="A196" s="197"/>
      <c r="B196" s="190" t="s">
        <v>358</v>
      </c>
      <c r="C196" s="764" t="s">
        <v>359</v>
      </c>
      <c r="D196" s="764"/>
      <c r="E196" s="764"/>
      <c r="F196" s="191">
        <v>0</v>
      </c>
      <c r="G196" s="191">
        <v>0</v>
      </c>
      <c r="H196" s="191">
        <v>0</v>
      </c>
      <c r="I196" s="192">
        <f t="shared" si="3"/>
        <v>0</v>
      </c>
    </row>
    <row r="197" spans="1:9" ht="12.75" hidden="1">
      <c r="A197" s="197"/>
      <c r="B197" s="190" t="s">
        <v>360</v>
      </c>
      <c r="C197" s="764" t="s">
        <v>361</v>
      </c>
      <c r="D197" s="764"/>
      <c r="E197" s="764"/>
      <c r="F197" s="191">
        <v>0</v>
      </c>
      <c r="G197" s="191">
        <v>0</v>
      </c>
      <c r="H197" s="191">
        <v>0</v>
      </c>
      <c r="I197" s="192">
        <f>SUM(F197:H197)</f>
        <v>0</v>
      </c>
    </row>
    <row r="198" spans="1:9" ht="12.75" hidden="1">
      <c r="A198" s="197"/>
      <c r="B198" s="190" t="s">
        <v>613</v>
      </c>
      <c r="C198" s="764" t="s">
        <v>614</v>
      </c>
      <c r="D198" s="764"/>
      <c r="E198" s="764"/>
      <c r="F198" s="191">
        <v>0</v>
      </c>
      <c r="G198" s="191">
        <v>0</v>
      </c>
      <c r="H198" s="191">
        <v>0</v>
      </c>
      <c r="I198" s="192">
        <f t="shared" si="3"/>
        <v>0</v>
      </c>
    </row>
    <row r="199" spans="1:9" ht="12.75" hidden="1">
      <c r="A199" s="197"/>
      <c r="B199" s="197"/>
      <c r="C199" s="197"/>
      <c r="D199" s="197"/>
      <c r="E199" s="197"/>
      <c r="F199" s="218"/>
      <c r="G199" s="219"/>
      <c r="H199" s="219"/>
      <c r="I199" s="218"/>
    </row>
    <row r="200" spans="1:9" ht="12.75">
      <c r="A200" s="193"/>
      <c r="B200" s="193"/>
      <c r="C200" s="193" t="s">
        <v>351</v>
      </c>
      <c r="D200" s="193" t="s">
        <v>985</v>
      </c>
      <c r="E200" s="193"/>
      <c r="F200" s="194">
        <v>18041236</v>
      </c>
      <c r="G200" s="194">
        <v>0</v>
      </c>
      <c r="H200" s="194">
        <v>0</v>
      </c>
      <c r="I200" s="195">
        <f>SUM(F200:H200)</f>
        <v>18041236</v>
      </c>
    </row>
    <row r="201" spans="1:9" s="221" customFormat="1" ht="15.75">
      <c r="A201" s="776" t="s">
        <v>459</v>
      </c>
      <c r="B201" s="776"/>
      <c r="C201" s="776"/>
      <c r="D201" s="776"/>
      <c r="E201" s="776"/>
      <c r="F201" s="220">
        <f>SUM(F172+F145+F130+F122+F88+F59+F42+F8)</f>
        <v>1672639894</v>
      </c>
      <c r="G201" s="220">
        <f>SUM(G172+G145+G130+G122+G88+G59+G42+G8)</f>
        <v>6221499</v>
      </c>
      <c r="H201" s="220">
        <f>SUM(H172+H145+H130+H122+H88+H59+H42+H8)</f>
        <v>44920894</v>
      </c>
      <c r="I201" s="220">
        <f>SUM(F201:H201)</f>
        <v>1723782287</v>
      </c>
    </row>
  </sheetData>
  <sheetProtection/>
  <mergeCells count="55">
    <mergeCell ref="C197:E197"/>
    <mergeCell ref="C173:E173"/>
    <mergeCell ref="F1:I1"/>
    <mergeCell ref="B7:E7"/>
    <mergeCell ref="A3:I3"/>
    <mergeCell ref="C128:E128"/>
    <mergeCell ref="C44:E44"/>
    <mergeCell ref="C63:E63"/>
    <mergeCell ref="C66:E66"/>
    <mergeCell ref="C159:E159"/>
    <mergeCell ref="A201:E201"/>
    <mergeCell ref="C131:E131"/>
    <mergeCell ref="C134:E134"/>
    <mergeCell ref="C144:E144"/>
    <mergeCell ref="B145:E145"/>
    <mergeCell ref="C198:E198"/>
    <mergeCell ref="B172:E172"/>
    <mergeCell ref="C148:E148"/>
    <mergeCell ref="C149:E149"/>
    <mergeCell ref="C147:E147"/>
    <mergeCell ref="C196:E196"/>
    <mergeCell ref="C132:E132"/>
    <mergeCell ref="C133:E133"/>
    <mergeCell ref="C45:E45"/>
    <mergeCell ref="C43:E43"/>
    <mergeCell ref="D119:E119"/>
    <mergeCell ref="B122:E122"/>
    <mergeCell ref="C46:E46"/>
    <mergeCell ref="D112:E112"/>
    <mergeCell ref="D104:E104"/>
    <mergeCell ref="C146:E146"/>
    <mergeCell ref="C30:E30"/>
    <mergeCell ref="B130:E130"/>
    <mergeCell ref="C125:E125"/>
    <mergeCell ref="C127:E127"/>
    <mergeCell ref="D111:E111"/>
    <mergeCell ref="C129:E129"/>
    <mergeCell ref="C123:E123"/>
    <mergeCell ref="B59:E59"/>
    <mergeCell ref="D107:E107"/>
    <mergeCell ref="C62:E62"/>
    <mergeCell ref="C47:E47"/>
    <mergeCell ref="C60:E60"/>
    <mergeCell ref="C77:E77"/>
    <mergeCell ref="B88:E88"/>
    <mergeCell ref="C61:E61"/>
    <mergeCell ref="C17:E17"/>
    <mergeCell ref="C18:E18"/>
    <mergeCell ref="C29:E29"/>
    <mergeCell ref="C48:E48"/>
    <mergeCell ref="A6:E6"/>
    <mergeCell ref="B8:E8"/>
    <mergeCell ref="C9:E9"/>
    <mergeCell ref="C16:E16"/>
    <mergeCell ref="B42:E42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V60"/>
  <sheetViews>
    <sheetView zoomScalePageLayoutView="0" workbookViewId="0" topLeftCell="A1">
      <selection activeCell="A2" sqref="A2:N60"/>
    </sheetView>
  </sheetViews>
  <sheetFormatPr defaultColWidth="9.00390625" defaultRowHeight="12.75"/>
  <cols>
    <col min="1" max="1" width="5.125" style="34" bestFit="1" customWidth="1"/>
    <col min="2" max="2" width="8.875" style="30" customWidth="1"/>
    <col min="3" max="3" width="72.25390625" style="30" customWidth="1"/>
    <col min="4" max="4" width="9.75390625" style="30" bestFit="1" customWidth="1"/>
    <col min="5" max="5" width="10.375" style="30" bestFit="1" customWidth="1"/>
    <col min="6" max="6" width="16.125" style="30" bestFit="1" customWidth="1"/>
    <col min="7" max="7" width="9.75390625" style="30" bestFit="1" customWidth="1"/>
    <col min="8" max="8" width="11.25390625" style="30" customWidth="1"/>
    <col min="9" max="9" width="9.625" style="30" customWidth="1"/>
    <col min="10" max="10" width="11.25390625" style="30" customWidth="1"/>
    <col min="11" max="12" width="16.125" style="30" bestFit="1" customWidth="1"/>
    <col min="13" max="13" width="9.125" style="30" customWidth="1"/>
    <col min="14" max="14" width="12.375" style="30" bestFit="1" customWidth="1"/>
    <col min="15" max="16384" width="9.125" style="30" customWidth="1"/>
  </cols>
  <sheetData>
    <row r="1" spans="9:13" ht="15" customHeight="1">
      <c r="I1" s="620" t="s">
        <v>1071</v>
      </c>
      <c r="J1" s="149"/>
      <c r="K1" s="149"/>
      <c r="L1" s="619"/>
      <c r="M1" s="149"/>
    </row>
    <row r="2" spans="1:256" ht="15.75">
      <c r="A2" s="1065" t="s">
        <v>677</v>
      </c>
      <c r="B2" s="1065"/>
      <c r="C2" s="1065"/>
      <c r="D2" s="1065"/>
      <c r="E2" s="1065"/>
      <c r="F2" s="1065"/>
      <c r="G2" s="1065"/>
      <c r="H2" s="1065"/>
      <c r="I2" s="1065"/>
      <c r="J2" s="1065"/>
      <c r="K2" s="1065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15.75">
      <c r="A3" s="1066" t="s">
        <v>911</v>
      </c>
      <c r="B3" s="1066"/>
      <c r="C3" s="1066"/>
      <c r="D3" s="1066"/>
      <c r="E3" s="1066"/>
      <c r="F3" s="1066"/>
      <c r="G3" s="1066"/>
      <c r="H3" s="1066"/>
      <c r="I3" s="1066"/>
      <c r="J3" s="1066"/>
      <c r="K3" s="1066"/>
      <c r="L3" s="21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ht="13.5" thickBot="1"/>
    <row r="5" spans="1:256" ht="27" customHeight="1">
      <c r="A5" s="1067" t="s">
        <v>468</v>
      </c>
      <c r="B5" s="1067"/>
      <c r="C5" s="1068"/>
      <c r="D5" s="1069" t="s">
        <v>461</v>
      </c>
      <c r="E5" s="1067"/>
      <c r="F5" s="1070"/>
      <c r="G5" s="1071" t="s">
        <v>917</v>
      </c>
      <c r="H5" s="1072"/>
      <c r="I5" s="1072"/>
      <c r="J5" s="1073"/>
      <c r="K5" s="1074"/>
      <c r="L5" s="1060" t="s">
        <v>380</v>
      </c>
      <c r="M5" s="27"/>
      <c r="N5" s="27" t="s">
        <v>507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25.5">
      <c r="A6" s="1062" t="s">
        <v>469</v>
      </c>
      <c r="B6" s="1063"/>
      <c r="C6" s="22" t="s">
        <v>470</v>
      </c>
      <c r="D6" s="23" t="s">
        <v>471</v>
      </c>
      <c r="E6" s="25" t="s">
        <v>472</v>
      </c>
      <c r="F6" s="26" t="s">
        <v>506</v>
      </c>
      <c r="G6" s="23" t="s">
        <v>473</v>
      </c>
      <c r="H6" s="24" t="s">
        <v>485</v>
      </c>
      <c r="I6" s="24" t="s">
        <v>474</v>
      </c>
      <c r="J6" s="24" t="s">
        <v>485</v>
      </c>
      <c r="K6" s="26" t="s">
        <v>669</v>
      </c>
      <c r="L6" s="1061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2.75">
      <c r="A7" s="1064" t="s">
        <v>446</v>
      </c>
      <c r="B7" s="1064"/>
      <c r="C7" s="97" t="s">
        <v>447</v>
      </c>
      <c r="D7" s="98" t="s">
        <v>448</v>
      </c>
      <c r="E7" s="99" t="s">
        <v>449</v>
      </c>
      <c r="F7" s="100" t="s">
        <v>450</v>
      </c>
      <c r="G7" s="98" t="s">
        <v>451</v>
      </c>
      <c r="H7" s="101" t="s">
        <v>453</v>
      </c>
      <c r="I7" s="101" t="s">
        <v>454</v>
      </c>
      <c r="J7" s="101" t="s">
        <v>399</v>
      </c>
      <c r="K7" s="100" t="s">
        <v>400</v>
      </c>
      <c r="L7" s="137" t="s">
        <v>401</v>
      </c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</row>
    <row r="8" spans="1:256" ht="12.75">
      <c r="A8" s="125" t="s">
        <v>492</v>
      </c>
      <c r="B8" s="126"/>
      <c r="C8" s="127" t="s">
        <v>504</v>
      </c>
      <c r="D8" s="128"/>
      <c r="E8" s="129"/>
      <c r="F8" s="130">
        <f>F9+F10+F15+F16+F17+F18</f>
        <v>200631709</v>
      </c>
      <c r="G8" s="128"/>
      <c r="H8" s="131"/>
      <c r="I8" s="131"/>
      <c r="J8" s="129"/>
      <c r="K8" s="130"/>
      <c r="L8" s="138">
        <f aca="true" t="shared" si="0" ref="L8:L14">F8+K8</f>
        <v>200631709</v>
      </c>
      <c r="M8" s="122"/>
      <c r="N8" s="141">
        <f>SUM(N9:N18)</f>
        <v>200631709</v>
      </c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  <c r="IT8" s="123"/>
      <c r="IU8" s="123"/>
      <c r="IV8" s="123"/>
    </row>
    <row r="9" spans="1:256" ht="12.75">
      <c r="A9" s="116"/>
      <c r="B9" s="117" t="s">
        <v>555</v>
      </c>
      <c r="C9" s="118" t="s">
        <v>486</v>
      </c>
      <c r="D9" s="622">
        <v>26.48</v>
      </c>
      <c r="E9" s="623">
        <v>4580000</v>
      </c>
      <c r="F9" s="624">
        <f>D9*E9</f>
        <v>121278400</v>
      </c>
      <c r="G9" s="625"/>
      <c r="H9" s="626"/>
      <c r="I9" s="626"/>
      <c r="J9" s="623"/>
      <c r="K9" s="624"/>
      <c r="L9" s="627">
        <f t="shared" si="0"/>
        <v>121278400</v>
      </c>
      <c r="M9" s="119"/>
      <c r="N9" s="148">
        <f>SUM(L9)</f>
        <v>121278400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12.75">
      <c r="A10" s="116"/>
      <c r="B10" s="117" t="s">
        <v>556</v>
      </c>
      <c r="C10" s="118" t="s">
        <v>133</v>
      </c>
      <c r="D10" s="625"/>
      <c r="E10" s="623"/>
      <c r="F10" s="624">
        <f>SUM(F11:F14)</f>
        <v>63536320</v>
      </c>
      <c r="G10" s="625"/>
      <c r="H10" s="626"/>
      <c r="I10" s="626"/>
      <c r="J10" s="623"/>
      <c r="K10" s="624"/>
      <c r="L10" s="627">
        <f t="shared" si="0"/>
        <v>63536320</v>
      </c>
      <c r="M10" s="119"/>
      <c r="N10" s="148">
        <f>SUM(L11:L14)</f>
        <v>63536320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  <row r="11" spans="1:14" ht="12.75">
      <c r="A11" s="28"/>
      <c r="B11" s="114" t="s">
        <v>557</v>
      </c>
      <c r="C11" s="115" t="s">
        <v>487</v>
      </c>
      <c r="D11" s="628"/>
      <c r="E11" s="629"/>
      <c r="F11" s="630">
        <v>18207950</v>
      </c>
      <c r="G11" s="628"/>
      <c r="H11" s="631"/>
      <c r="I11" s="631"/>
      <c r="J11" s="629"/>
      <c r="K11" s="630"/>
      <c r="L11" s="632">
        <f t="shared" si="0"/>
        <v>18207950</v>
      </c>
      <c r="M11" s="29"/>
      <c r="N11" s="148"/>
    </row>
    <row r="12" spans="1:14" ht="12.75">
      <c r="A12" s="28"/>
      <c r="B12" s="114" t="s">
        <v>558</v>
      </c>
      <c r="C12" s="115" t="s">
        <v>488</v>
      </c>
      <c r="D12" s="628"/>
      <c r="E12" s="629"/>
      <c r="F12" s="630">
        <v>30176000</v>
      </c>
      <c r="G12" s="628"/>
      <c r="H12" s="631"/>
      <c r="I12" s="631"/>
      <c r="J12" s="629"/>
      <c r="K12" s="630"/>
      <c r="L12" s="632">
        <f t="shared" si="0"/>
        <v>30176000</v>
      </c>
      <c r="M12" s="29"/>
      <c r="N12" s="148"/>
    </row>
    <row r="13" spans="1:14" ht="12.75">
      <c r="A13" s="28"/>
      <c r="B13" s="114" t="s">
        <v>559</v>
      </c>
      <c r="C13" s="115" t="s">
        <v>489</v>
      </c>
      <c r="D13" s="628"/>
      <c r="E13" s="629"/>
      <c r="F13" s="630">
        <v>100000</v>
      </c>
      <c r="G13" s="628"/>
      <c r="H13" s="631"/>
      <c r="I13" s="631"/>
      <c r="J13" s="629"/>
      <c r="K13" s="630"/>
      <c r="L13" s="632">
        <f t="shared" si="0"/>
        <v>100000</v>
      </c>
      <c r="M13" s="29"/>
      <c r="N13" s="148"/>
    </row>
    <row r="14" spans="1:14" ht="12.75">
      <c r="A14" s="28"/>
      <c r="B14" s="114" t="s">
        <v>560</v>
      </c>
      <c r="C14" s="115" t="s">
        <v>490</v>
      </c>
      <c r="D14" s="628"/>
      <c r="E14" s="629"/>
      <c r="F14" s="630">
        <v>15052370</v>
      </c>
      <c r="G14" s="628"/>
      <c r="H14" s="631"/>
      <c r="I14" s="631"/>
      <c r="J14" s="629"/>
      <c r="K14" s="630"/>
      <c r="L14" s="632">
        <f t="shared" si="0"/>
        <v>15052370</v>
      </c>
      <c r="M14" s="29"/>
      <c r="N14" s="148"/>
    </row>
    <row r="15" spans="1:256" ht="12.75">
      <c r="A15" s="116"/>
      <c r="B15" s="117" t="s">
        <v>561</v>
      </c>
      <c r="C15" s="121" t="s">
        <v>134</v>
      </c>
      <c r="D15" s="625"/>
      <c r="E15" s="623"/>
      <c r="F15" s="624">
        <v>13776653</v>
      </c>
      <c r="G15" s="625"/>
      <c r="H15" s="626"/>
      <c r="I15" s="626"/>
      <c r="J15" s="623"/>
      <c r="K15" s="624"/>
      <c r="L15" s="627">
        <f>F15+K15</f>
        <v>13776653</v>
      </c>
      <c r="M15" s="119"/>
      <c r="N15" s="148">
        <f>SUM(L15)</f>
        <v>13776653</v>
      </c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  <c r="IV15" s="120"/>
    </row>
    <row r="16" spans="1:256" ht="12.75">
      <c r="A16" s="116"/>
      <c r="B16" s="117" t="s">
        <v>562</v>
      </c>
      <c r="C16" s="121" t="s">
        <v>107</v>
      </c>
      <c r="D16" s="625">
        <v>300</v>
      </c>
      <c r="E16" s="623">
        <v>2550</v>
      </c>
      <c r="F16" s="624">
        <f>D16*E16</f>
        <v>765000</v>
      </c>
      <c r="G16" s="625"/>
      <c r="H16" s="626"/>
      <c r="I16" s="626"/>
      <c r="J16" s="623"/>
      <c r="K16" s="624"/>
      <c r="L16" s="627">
        <f>F16+K16</f>
        <v>765000</v>
      </c>
      <c r="M16" s="119"/>
      <c r="N16" s="148">
        <f>SUM(L16)</f>
        <v>765000</v>
      </c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</row>
    <row r="17" spans="1:256" ht="12.75">
      <c r="A17" s="116"/>
      <c r="B17" s="117" t="s">
        <v>912</v>
      </c>
      <c r="C17" s="121" t="s">
        <v>676</v>
      </c>
      <c r="D17" s="625"/>
      <c r="E17" s="623"/>
      <c r="F17" s="624">
        <v>275336</v>
      </c>
      <c r="G17" s="625"/>
      <c r="H17" s="626"/>
      <c r="I17" s="626"/>
      <c r="J17" s="623"/>
      <c r="K17" s="624"/>
      <c r="L17" s="627">
        <f>F17+K17</f>
        <v>275336</v>
      </c>
      <c r="M17" s="119"/>
      <c r="N17" s="148">
        <f>SUM(L17)</f>
        <v>275336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2.75">
      <c r="A18" s="116"/>
      <c r="B18" s="117" t="s">
        <v>563</v>
      </c>
      <c r="C18" s="121" t="s">
        <v>913</v>
      </c>
      <c r="D18" s="625"/>
      <c r="E18" s="623"/>
      <c r="F18" s="624">
        <v>1000000</v>
      </c>
      <c r="G18" s="625"/>
      <c r="H18" s="626"/>
      <c r="I18" s="626"/>
      <c r="J18" s="623"/>
      <c r="K18" s="624"/>
      <c r="L18" s="627">
        <f>F18+K18</f>
        <v>1000000</v>
      </c>
      <c r="M18" s="119"/>
      <c r="N18" s="148">
        <f>SUM(L18)</f>
        <v>1000000</v>
      </c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14" ht="12.75">
      <c r="A19" s="125" t="s">
        <v>491</v>
      </c>
      <c r="B19" s="132"/>
      <c r="C19" s="127" t="s">
        <v>135</v>
      </c>
      <c r="D19" s="633"/>
      <c r="E19" s="634"/>
      <c r="F19" s="130"/>
      <c r="G19" s="633"/>
      <c r="H19" s="635"/>
      <c r="I19" s="635"/>
      <c r="J19" s="634"/>
      <c r="K19" s="130">
        <f>K20+K26+K27+K28+K32</f>
        <v>133288496</v>
      </c>
      <c r="L19" s="138">
        <f>F19+K19</f>
        <v>133288496</v>
      </c>
      <c r="M19" s="29"/>
      <c r="N19" s="140">
        <f>SUM(N26:N28,N25+N24+N20+N32)</f>
        <v>133288496</v>
      </c>
    </row>
    <row r="20" spans="1:256" ht="25.5">
      <c r="A20" s="124"/>
      <c r="B20" s="117" t="s">
        <v>493</v>
      </c>
      <c r="C20" s="118" t="s">
        <v>136</v>
      </c>
      <c r="D20" s="625"/>
      <c r="E20" s="623"/>
      <c r="F20" s="624"/>
      <c r="G20" s="625"/>
      <c r="H20" s="626"/>
      <c r="I20" s="626"/>
      <c r="J20" s="623"/>
      <c r="K20" s="624">
        <f>SUM(K21:K25)</f>
        <v>106413803</v>
      </c>
      <c r="L20" s="627">
        <f>SUM(K20,F20)</f>
        <v>106413803</v>
      </c>
      <c r="M20" s="119"/>
      <c r="N20" s="148">
        <f>SUM(L21:L25)</f>
        <v>106413803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  <c r="IV20" s="120"/>
    </row>
    <row r="21" spans="1:14" ht="12.75">
      <c r="A21" s="28"/>
      <c r="B21" s="114" t="s">
        <v>495</v>
      </c>
      <c r="C21" s="115" t="s">
        <v>494</v>
      </c>
      <c r="D21" s="628"/>
      <c r="E21" s="629"/>
      <c r="F21" s="630"/>
      <c r="G21" s="636">
        <v>18.7</v>
      </c>
      <c r="H21" s="631">
        <v>4469900</v>
      </c>
      <c r="I21" s="637">
        <v>16.3</v>
      </c>
      <c r="J21" s="631">
        <v>4469900</v>
      </c>
      <c r="K21" s="630">
        <f>55724753+22200503+2085954</f>
        <v>80011210</v>
      </c>
      <c r="L21" s="632">
        <f aca="true" t="shared" si="1" ref="L21:L49">F21+K21</f>
        <v>80011210</v>
      </c>
      <c r="M21" s="29"/>
      <c r="N21" s="148"/>
    </row>
    <row r="22" spans="1:14" ht="25.5">
      <c r="A22" s="28"/>
      <c r="B22" s="114" t="s">
        <v>496</v>
      </c>
      <c r="C22" s="143" t="s">
        <v>629</v>
      </c>
      <c r="D22" s="628"/>
      <c r="E22" s="629"/>
      <c r="F22" s="630"/>
      <c r="G22" s="628">
        <v>13</v>
      </c>
      <c r="H22" s="631">
        <v>1800000</v>
      </c>
      <c r="I22" s="631">
        <v>12</v>
      </c>
      <c r="J22" s="629">
        <v>1800000</v>
      </c>
      <c r="K22" s="630">
        <f>16800000+7800000-1200000-600000</f>
        <v>22800000</v>
      </c>
      <c r="L22" s="632">
        <f t="shared" si="1"/>
        <v>22800000</v>
      </c>
      <c r="M22" s="29"/>
      <c r="N22" s="148"/>
    </row>
    <row r="23" spans="1:14" ht="25.5">
      <c r="A23" s="28"/>
      <c r="B23" s="114" t="s">
        <v>137</v>
      </c>
      <c r="C23" s="143" t="s">
        <v>628</v>
      </c>
      <c r="D23" s="628"/>
      <c r="E23" s="629"/>
      <c r="F23" s="630"/>
      <c r="G23" s="628">
        <v>1</v>
      </c>
      <c r="H23" s="631">
        <v>4469900</v>
      </c>
      <c r="I23" s="631">
        <v>0</v>
      </c>
      <c r="J23" s="629">
        <v>4469900</v>
      </c>
      <c r="K23" s="630">
        <f>2979933+0</f>
        <v>2979933</v>
      </c>
      <c r="L23" s="632">
        <f t="shared" si="1"/>
        <v>2979933</v>
      </c>
      <c r="M23" s="29"/>
      <c r="N23" s="148"/>
    </row>
    <row r="24" spans="1:14" ht="12.75">
      <c r="A24" s="28"/>
      <c r="B24" s="114" t="s">
        <v>625</v>
      </c>
      <c r="C24" s="143" t="s">
        <v>626</v>
      </c>
      <c r="D24" s="628"/>
      <c r="E24" s="629"/>
      <c r="F24" s="630"/>
      <c r="G24" s="628"/>
      <c r="H24" s="631"/>
      <c r="I24" s="637">
        <v>16.3</v>
      </c>
      <c r="J24" s="629">
        <v>38200</v>
      </c>
      <c r="K24" s="630">
        <f>I24*J24</f>
        <v>622660</v>
      </c>
      <c r="L24" s="632">
        <f t="shared" si="1"/>
        <v>622660</v>
      </c>
      <c r="M24" s="29"/>
      <c r="N24" s="148"/>
    </row>
    <row r="25" spans="1:14" ht="25.5">
      <c r="A25" s="28"/>
      <c r="B25" s="114" t="s">
        <v>625</v>
      </c>
      <c r="C25" s="143" t="s">
        <v>627</v>
      </c>
      <c r="D25" s="628"/>
      <c r="E25" s="629"/>
      <c r="F25" s="630"/>
      <c r="G25" s="628"/>
      <c r="H25" s="631"/>
      <c r="I25" s="637">
        <v>0</v>
      </c>
      <c r="J25" s="629">
        <v>35000</v>
      </c>
      <c r="K25" s="630">
        <f>I25*J25</f>
        <v>0</v>
      </c>
      <c r="L25" s="632">
        <f t="shared" si="1"/>
        <v>0</v>
      </c>
      <c r="M25" s="29"/>
      <c r="N25" s="148"/>
    </row>
    <row r="26" spans="1:256" ht="12.75">
      <c r="A26" s="116"/>
      <c r="B26" s="117" t="s">
        <v>497</v>
      </c>
      <c r="C26" s="121" t="s">
        <v>498</v>
      </c>
      <c r="D26" s="638"/>
      <c r="E26" s="639"/>
      <c r="F26" s="624"/>
      <c r="G26" s="640">
        <v>200</v>
      </c>
      <c r="H26" s="626">
        <v>81700</v>
      </c>
      <c r="I26" s="641">
        <v>179</v>
      </c>
      <c r="J26" s="623">
        <v>81700</v>
      </c>
      <c r="K26" s="624">
        <f>10893333+4575200+299567</f>
        <v>15768100</v>
      </c>
      <c r="L26" s="627">
        <f t="shared" si="1"/>
        <v>15768100</v>
      </c>
      <c r="M26" s="119"/>
      <c r="N26" s="148">
        <f>SUM(L26)</f>
        <v>15768100</v>
      </c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R26" s="120"/>
      <c r="IS26" s="120"/>
      <c r="IT26" s="120"/>
      <c r="IU26" s="120"/>
      <c r="IV26" s="120"/>
    </row>
    <row r="27" spans="1:256" ht="12.75">
      <c r="A27" s="116"/>
      <c r="B27" s="117" t="s">
        <v>670</v>
      </c>
      <c r="C27" s="121" t="s">
        <v>671</v>
      </c>
      <c r="D27" s="642"/>
      <c r="E27" s="643"/>
      <c r="F27" s="624"/>
      <c r="G27" s="640"/>
      <c r="H27" s="626"/>
      <c r="I27" s="641"/>
      <c r="J27" s="623"/>
      <c r="K27" s="624">
        <v>0</v>
      </c>
      <c r="L27" s="627">
        <f>F27+K27</f>
        <v>0</v>
      </c>
      <c r="M27" s="119"/>
      <c r="N27" s="148">
        <f>SUM(L27)</f>
        <v>0</v>
      </c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  <c r="IT27" s="120"/>
      <c r="IU27" s="120"/>
      <c r="IV27" s="120"/>
    </row>
    <row r="28" spans="1:256" ht="25.5">
      <c r="A28" s="116"/>
      <c r="B28" s="117" t="s">
        <v>564</v>
      </c>
      <c r="C28" s="118" t="s">
        <v>565</v>
      </c>
      <c r="D28" s="638"/>
      <c r="E28" s="639"/>
      <c r="F28" s="624"/>
      <c r="G28" s="640"/>
      <c r="H28" s="626"/>
      <c r="I28" s="641"/>
      <c r="J28" s="623"/>
      <c r="K28" s="624">
        <f>SUM(K29:K31)</f>
        <v>6068684</v>
      </c>
      <c r="L28" s="627">
        <f>F28+K28</f>
        <v>6068684</v>
      </c>
      <c r="M28" s="119"/>
      <c r="N28" s="148">
        <f>SUM(L29:L31)</f>
        <v>6068684</v>
      </c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  <c r="IS28" s="120"/>
      <c r="IT28" s="120"/>
      <c r="IU28" s="120"/>
      <c r="IV28" s="120"/>
    </row>
    <row r="29" spans="1:14" ht="12.75">
      <c r="A29" s="28"/>
      <c r="B29" s="114" t="s">
        <v>672</v>
      </c>
      <c r="C29" s="115" t="s">
        <v>840</v>
      </c>
      <c r="D29" s="628"/>
      <c r="E29" s="629"/>
      <c r="F29" s="630"/>
      <c r="G29" s="628">
        <v>9</v>
      </c>
      <c r="H29" s="631">
        <v>418900</v>
      </c>
      <c r="I29" s="631"/>
      <c r="J29" s="629"/>
      <c r="K29" s="630">
        <f>G29*H29</f>
        <v>3770100</v>
      </c>
      <c r="L29" s="632">
        <f>SUM(K29)</f>
        <v>3770100</v>
      </c>
      <c r="M29" s="29"/>
      <c r="N29" s="148"/>
    </row>
    <row r="30" spans="1:14" ht="12.75">
      <c r="A30" s="28"/>
      <c r="B30" s="114"/>
      <c r="C30" s="115" t="s">
        <v>915</v>
      </c>
      <c r="D30" s="628"/>
      <c r="E30" s="629"/>
      <c r="F30" s="630"/>
      <c r="G30" s="628">
        <v>2</v>
      </c>
      <c r="H30" s="631">
        <v>383992</v>
      </c>
      <c r="I30" s="631"/>
      <c r="J30" s="629"/>
      <c r="K30" s="630">
        <f>G30*H30</f>
        <v>767984</v>
      </c>
      <c r="L30" s="632">
        <f>SUM(K30)</f>
        <v>767984</v>
      </c>
      <c r="M30" s="29"/>
      <c r="N30" s="148"/>
    </row>
    <row r="31" spans="1:14" ht="12.75">
      <c r="A31" s="28"/>
      <c r="B31" s="114" t="s">
        <v>673</v>
      </c>
      <c r="C31" s="115" t="s">
        <v>674</v>
      </c>
      <c r="D31" s="628"/>
      <c r="E31" s="629"/>
      <c r="F31" s="630"/>
      <c r="G31" s="628">
        <v>1</v>
      </c>
      <c r="H31" s="631">
        <v>1530600</v>
      </c>
      <c r="I31" s="631"/>
      <c r="J31" s="629"/>
      <c r="K31" s="630">
        <f>G31*H31</f>
        <v>1530600</v>
      </c>
      <c r="L31" s="632">
        <f>SUM(K31)</f>
        <v>1530600</v>
      </c>
      <c r="M31" s="29"/>
      <c r="N31" s="148"/>
    </row>
    <row r="32" spans="1:14" s="120" customFormat="1" ht="25.5">
      <c r="A32" s="116"/>
      <c r="B32" s="117"/>
      <c r="C32" s="118" t="s">
        <v>935</v>
      </c>
      <c r="D32" s="625"/>
      <c r="E32" s="623"/>
      <c r="F32" s="624"/>
      <c r="G32" s="625"/>
      <c r="H32" s="626"/>
      <c r="I32" s="626"/>
      <c r="J32" s="623"/>
      <c r="K32" s="624">
        <f>5138000-100091</f>
        <v>5037909</v>
      </c>
      <c r="L32" s="627">
        <f>F32+K32</f>
        <v>5037909</v>
      </c>
      <c r="M32" s="119"/>
      <c r="N32" s="148">
        <f>SUM(L32)</f>
        <v>5037909</v>
      </c>
    </row>
    <row r="33" spans="1:256" ht="25.5">
      <c r="A33" s="125" t="s">
        <v>499</v>
      </c>
      <c r="B33" s="133"/>
      <c r="C33" s="127" t="s">
        <v>138</v>
      </c>
      <c r="D33" s="128"/>
      <c r="E33" s="129"/>
      <c r="F33" s="130">
        <f>SUM(F34:F36,F43)</f>
        <v>135113736</v>
      </c>
      <c r="G33" s="644"/>
      <c r="H33" s="131"/>
      <c r="I33" s="645"/>
      <c r="J33" s="129"/>
      <c r="K33" s="130">
        <f>SUM(K34:K36,K42,K43)</f>
        <v>29838383</v>
      </c>
      <c r="L33" s="138">
        <f t="shared" si="1"/>
        <v>164952119</v>
      </c>
      <c r="M33" s="119"/>
      <c r="N33" s="140">
        <f>SUM(N34:N36)+N43+N42</f>
        <v>164499491</v>
      </c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0"/>
      <c r="IK33" s="120"/>
      <c r="IL33" s="120"/>
      <c r="IM33" s="120"/>
      <c r="IN33" s="120"/>
      <c r="IO33" s="120"/>
      <c r="IP33" s="120"/>
      <c r="IQ33" s="120"/>
      <c r="IR33" s="120"/>
      <c r="IS33" s="120"/>
      <c r="IT33" s="120"/>
      <c r="IU33" s="120"/>
      <c r="IV33" s="120"/>
    </row>
    <row r="34" spans="1:256" ht="12.75">
      <c r="A34" s="116"/>
      <c r="B34" s="117" t="s">
        <v>500</v>
      </c>
      <c r="C34" s="121" t="s">
        <v>675</v>
      </c>
      <c r="D34" s="638"/>
      <c r="E34" s="639"/>
      <c r="F34" s="624"/>
      <c r="G34" s="640"/>
      <c r="H34" s="626"/>
      <c r="I34" s="641"/>
      <c r="J34" s="623"/>
      <c r="K34" s="624">
        <f>6864345+2764333</f>
        <v>9628678</v>
      </c>
      <c r="L34" s="627">
        <f t="shared" si="1"/>
        <v>9628678</v>
      </c>
      <c r="M34" s="119"/>
      <c r="N34" s="148">
        <f>SUM(L34)</f>
        <v>9628678</v>
      </c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0"/>
      <c r="HV34" s="120"/>
      <c r="HW34" s="120"/>
      <c r="HX34" s="120"/>
      <c r="HY34" s="120"/>
      <c r="HZ34" s="120"/>
      <c r="IA34" s="120"/>
      <c r="IB34" s="120"/>
      <c r="IC34" s="120"/>
      <c r="ID34" s="120"/>
      <c r="IE34" s="120"/>
      <c r="IF34" s="120"/>
      <c r="IG34" s="120"/>
      <c r="IH34" s="120"/>
      <c r="II34" s="120"/>
      <c r="IJ34" s="120"/>
      <c r="IK34" s="120"/>
      <c r="IL34" s="120"/>
      <c r="IM34" s="120"/>
      <c r="IN34" s="120"/>
      <c r="IO34" s="120"/>
      <c r="IP34" s="120"/>
      <c r="IQ34" s="120"/>
      <c r="IR34" s="120"/>
      <c r="IS34" s="120"/>
      <c r="IT34" s="120"/>
      <c r="IU34" s="120"/>
      <c r="IV34" s="120"/>
    </row>
    <row r="35" spans="1:256" ht="12.75">
      <c r="A35" s="116"/>
      <c r="B35" s="117" t="s">
        <v>501</v>
      </c>
      <c r="C35" s="121" t="s">
        <v>566</v>
      </c>
      <c r="D35" s="638"/>
      <c r="E35" s="639"/>
      <c r="F35" s="624">
        <v>54007000</v>
      </c>
      <c r="G35" s="640"/>
      <c r="H35" s="626"/>
      <c r="I35" s="641"/>
      <c r="J35" s="623"/>
      <c r="K35" s="624"/>
      <c r="L35" s="627">
        <f t="shared" si="1"/>
        <v>54007000</v>
      </c>
      <c r="M35" s="119"/>
      <c r="N35" s="148">
        <f>SUM(L35)</f>
        <v>54007000</v>
      </c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  <c r="IO35" s="120"/>
      <c r="IP35" s="120"/>
      <c r="IQ35" s="120"/>
      <c r="IR35" s="120"/>
      <c r="IS35" s="120"/>
      <c r="IT35" s="120"/>
      <c r="IU35" s="120"/>
      <c r="IV35" s="120"/>
    </row>
    <row r="36" spans="1:256" ht="12.75">
      <c r="A36" s="116"/>
      <c r="B36" s="117" t="s">
        <v>502</v>
      </c>
      <c r="C36" s="121" t="s">
        <v>503</v>
      </c>
      <c r="D36" s="638"/>
      <c r="E36" s="639"/>
      <c r="F36" s="624">
        <f>SUM(F37:F38)</f>
        <v>0</v>
      </c>
      <c r="G36" s="640"/>
      <c r="H36" s="626"/>
      <c r="I36" s="641"/>
      <c r="J36" s="623"/>
      <c r="K36" s="624">
        <f>SUM(K37:K41)</f>
        <v>20159928</v>
      </c>
      <c r="L36" s="627">
        <f t="shared" si="1"/>
        <v>20159928</v>
      </c>
      <c r="M36" s="119"/>
      <c r="N36" s="148">
        <f>SUM(L37:L40)</f>
        <v>19707300</v>
      </c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0"/>
      <c r="IH36" s="120"/>
      <c r="II36" s="120"/>
      <c r="IJ36" s="120"/>
      <c r="IK36" s="120"/>
      <c r="IL36" s="120"/>
      <c r="IM36" s="120"/>
      <c r="IN36" s="120"/>
      <c r="IO36" s="120"/>
      <c r="IP36" s="120"/>
      <c r="IQ36" s="120"/>
      <c r="IR36" s="120"/>
      <c r="IS36" s="120"/>
      <c r="IT36" s="120"/>
      <c r="IU36" s="120"/>
      <c r="IV36" s="120"/>
    </row>
    <row r="37" spans="1:14" ht="12.75">
      <c r="A37" s="28"/>
      <c r="B37" s="114" t="s">
        <v>630</v>
      </c>
      <c r="C37" s="115" t="s">
        <v>631</v>
      </c>
      <c r="D37" s="628"/>
      <c r="E37" s="629"/>
      <c r="F37" s="630"/>
      <c r="G37" s="646"/>
      <c r="H37" s="631"/>
      <c r="I37" s="647"/>
      <c r="J37" s="629"/>
      <c r="K37" s="630">
        <v>3300000</v>
      </c>
      <c r="L37" s="632">
        <f t="shared" si="1"/>
        <v>3300000</v>
      </c>
      <c r="M37" s="29"/>
      <c r="N37" s="29"/>
    </row>
    <row r="38" spans="1:14" ht="12.75">
      <c r="A38" s="28"/>
      <c r="B38" s="114" t="s">
        <v>633</v>
      </c>
      <c r="C38" s="115" t="s">
        <v>632</v>
      </c>
      <c r="D38" s="628"/>
      <c r="E38" s="629"/>
      <c r="F38" s="630"/>
      <c r="G38" s="646"/>
      <c r="H38" s="631"/>
      <c r="I38" s="647"/>
      <c r="J38" s="629"/>
      <c r="K38" s="630">
        <v>13500000</v>
      </c>
      <c r="L38" s="632">
        <f t="shared" si="1"/>
        <v>13500000</v>
      </c>
      <c r="M38" s="29"/>
      <c r="N38" s="29"/>
    </row>
    <row r="39" spans="1:14" ht="12.75">
      <c r="A39" s="28"/>
      <c r="B39" s="114" t="s">
        <v>972</v>
      </c>
      <c r="C39" s="115" t="s">
        <v>973</v>
      </c>
      <c r="D39" s="628"/>
      <c r="E39" s="629"/>
      <c r="F39" s="630"/>
      <c r="G39" s="646"/>
      <c r="H39" s="631"/>
      <c r="I39" s="647">
        <v>3</v>
      </c>
      <c r="J39" s="629">
        <v>494100</v>
      </c>
      <c r="K39" s="630">
        <f>J39*I39</f>
        <v>1482300</v>
      </c>
      <c r="L39" s="632">
        <f t="shared" si="1"/>
        <v>1482300</v>
      </c>
      <c r="M39" s="29"/>
      <c r="N39" s="29"/>
    </row>
    <row r="40" spans="1:14" ht="12.75">
      <c r="A40" s="28"/>
      <c r="B40" s="114" t="s">
        <v>974</v>
      </c>
      <c r="C40" s="115" t="s">
        <v>975</v>
      </c>
      <c r="D40" s="628"/>
      <c r="E40" s="629"/>
      <c r="F40" s="630"/>
      <c r="G40" s="646"/>
      <c r="H40" s="631"/>
      <c r="I40" s="647">
        <v>3</v>
      </c>
      <c r="J40" s="629">
        <v>475000</v>
      </c>
      <c r="K40" s="630">
        <f>J40*I40</f>
        <v>1425000</v>
      </c>
      <c r="L40" s="632">
        <f t="shared" si="1"/>
        <v>1425000</v>
      </c>
      <c r="M40" s="29"/>
      <c r="N40" s="29"/>
    </row>
    <row r="41" spans="1:14" ht="25.5">
      <c r="A41" s="28"/>
      <c r="B41" s="114" t="s">
        <v>984</v>
      </c>
      <c r="C41" s="143" t="s">
        <v>983</v>
      </c>
      <c r="D41" s="628"/>
      <c r="E41" s="629"/>
      <c r="F41" s="630"/>
      <c r="G41" s="646"/>
      <c r="H41" s="631"/>
      <c r="I41" s="637">
        <v>0.3</v>
      </c>
      <c r="J41" s="629">
        <v>1508760</v>
      </c>
      <c r="K41" s="630">
        <v>452628</v>
      </c>
      <c r="L41" s="632"/>
      <c r="M41" s="29"/>
      <c r="N41" s="29"/>
    </row>
    <row r="42" spans="1:14" s="120" customFormat="1" ht="25.5">
      <c r="A42" s="116"/>
      <c r="B42" s="117"/>
      <c r="C42" s="118" t="s">
        <v>976</v>
      </c>
      <c r="D42" s="625"/>
      <c r="E42" s="623"/>
      <c r="F42" s="624"/>
      <c r="G42" s="715"/>
      <c r="H42" s="626"/>
      <c r="I42" s="716"/>
      <c r="J42" s="623"/>
      <c r="K42" s="624">
        <f>49776+1</f>
        <v>49777</v>
      </c>
      <c r="L42" s="627">
        <f>49776+1</f>
        <v>49777</v>
      </c>
      <c r="M42" s="119"/>
      <c r="N42" s="119">
        <f>L42</f>
        <v>49777</v>
      </c>
    </row>
    <row r="43" spans="1:256" ht="12.75">
      <c r="A43" s="116"/>
      <c r="B43" s="117" t="s">
        <v>139</v>
      </c>
      <c r="C43" s="121" t="s">
        <v>140</v>
      </c>
      <c r="D43" s="638"/>
      <c r="E43" s="639"/>
      <c r="F43" s="624">
        <f>SUM(F44:F46)</f>
        <v>81106736</v>
      </c>
      <c r="G43" s="640"/>
      <c r="H43" s="626"/>
      <c r="I43" s="641"/>
      <c r="J43" s="623"/>
      <c r="K43" s="624">
        <f>SUM(K44:K46)</f>
        <v>0</v>
      </c>
      <c r="L43" s="627">
        <f t="shared" si="1"/>
        <v>81106736</v>
      </c>
      <c r="M43" s="119"/>
      <c r="N43" s="148">
        <f>SUM(L44:L46)</f>
        <v>81106736</v>
      </c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0"/>
      <c r="IP43" s="120"/>
      <c r="IQ43" s="120"/>
      <c r="IR43" s="120"/>
      <c r="IS43" s="120"/>
      <c r="IT43" s="120"/>
      <c r="IU43" s="120"/>
      <c r="IV43" s="120"/>
    </row>
    <row r="44" spans="1:14" ht="12.75">
      <c r="A44" s="28"/>
      <c r="B44" s="114" t="s">
        <v>568</v>
      </c>
      <c r="C44" s="143" t="s">
        <v>567</v>
      </c>
      <c r="D44" s="648">
        <v>13.73</v>
      </c>
      <c r="E44" s="649">
        <v>1632000</v>
      </c>
      <c r="F44" s="630">
        <f>E44*D44</f>
        <v>22407360</v>
      </c>
      <c r="G44" s="636"/>
      <c r="H44" s="631"/>
      <c r="I44" s="637"/>
      <c r="J44" s="629"/>
      <c r="K44" s="630"/>
      <c r="L44" s="650">
        <f t="shared" si="1"/>
        <v>22407360</v>
      </c>
      <c r="M44" s="29"/>
      <c r="N44" s="148"/>
    </row>
    <row r="45" spans="1:14" ht="12.75">
      <c r="A45" s="28"/>
      <c r="B45" s="114" t="s">
        <v>141</v>
      </c>
      <c r="C45" s="143" t="s">
        <v>142</v>
      </c>
      <c r="D45" s="648"/>
      <c r="E45" s="629"/>
      <c r="F45" s="630">
        <f>47795749+9413647</f>
        <v>57209396</v>
      </c>
      <c r="G45" s="628"/>
      <c r="H45" s="631"/>
      <c r="I45" s="631"/>
      <c r="J45" s="629"/>
      <c r="K45" s="630"/>
      <c r="L45" s="650">
        <f>F45+K45</f>
        <v>57209396</v>
      </c>
      <c r="M45" s="29"/>
      <c r="N45" s="29"/>
    </row>
    <row r="46" spans="1:14" ht="12.75">
      <c r="A46" s="28"/>
      <c r="B46" s="114" t="s">
        <v>634</v>
      </c>
      <c r="C46" s="143" t="s">
        <v>635</v>
      </c>
      <c r="D46" s="628">
        <v>2614</v>
      </c>
      <c r="E46" s="629">
        <v>570</v>
      </c>
      <c r="F46" s="630">
        <f>D46*E46</f>
        <v>1489980</v>
      </c>
      <c r="G46" s="628"/>
      <c r="H46" s="631"/>
      <c r="I46" s="631"/>
      <c r="J46" s="629"/>
      <c r="K46" s="630"/>
      <c r="L46" s="650">
        <f t="shared" si="1"/>
        <v>1489980</v>
      </c>
      <c r="M46" s="29"/>
      <c r="N46" s="29"/>
    </row>
    <row r="47" spans="1:256" ht="12.75">
      <c r="A47" s="125" t="s">
        <v>505</v>
      </c>
      <c r="B47" s="133"/>
      <c r="C47" s="127" t="s">
        <v>484</v>
      </c>
      <c r="D47" s="128"/>
      <c r="E47" s="129"/>
      <c r="F47" s="130">
        <f>SUM(F49)</f>
        <v>10164240</v>
      </c>
      <c r="G47" s="644"/>
      <c r="H47" s="131"/>
      <c r="I47" s="645"/>
      <c r="J47" s="129"/>
      <c r="K47" s="130"/>
      <c r="L47" s="138">
        <f t="shared" si="1"/>
        <v>10164240</v>
      </c>
      <c r="M47" s="119"/>
      <c r="N47" s="140">
        <f>SUM(L49)</f>
        <v>10164240</v>
      </c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0"/>
      <c r="IP47" s="120"/>
      <c r="IQ47" s="120"/>
      <c r="IR47" s="120"/>
      <c r="IS47" s="120"/>
      <c r="IT47" s="120"/>
      <c r="IU47" s="120"/>
      <c r="IV47" s="120"/>
    </row>
    <row r="48" spans="1:256" ht="12.75">
      <c r="A48" s="116"/>
      <c r="B48" s="117" t="s">
        <v>570</v>
      </c>
      <c r="C48" s="121" t="s">
        <v>571</v>
      </c>
      <c r="D48" s="638"/>
      <c r="E48" s="639"/>
      <c r="F48" s="624"/>
      <c r="G48" s="640"/>
      <c r="H48" s="626"/>
      <c r="I48" s="641"/>
      <c r="J48" s="623"/>
      <c r="K48" s="624"/>
      <c r="L48" s="627"/>
      <c r="M48" s="119"/>
      <c r="N48" s="148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0"/>
      <c r="IP48" s="120"/>
      <c r="IQ48" s="120"/>
      <c r="IR48" s="120"/>
      <c r="IS48" s="120"/>
      <c r="IT48" s="120"/>
      <c r="IU48" s="120"/>
      <c r="IV48" s="120"/>
    </row>
    <row r="49" spans="1:14" ht="25.5">
      <c r="A49" s="28"/>
      <c r="B49" s="114" t="s">
        <v>569</v>
      </c>
      <c r="C49" s="143" t="s">
        <v>143</v>
      </c>
      <c r="D49" s="628">
        <v>8916</v>
      </c>
      <c r="E49" s="629">
        <v>1140</v>
      </c>
      <c r="F49" s="630">
        <f>D49*E49</f>
        <v>10164240</v>
      </c>
      <c r="G49" s="651"/>
      <c r="H49" s="652"/>
      <c r="I49" s="647"/>
      <c r="J49" s="649"/>
      <c r="K49" s="630"/>
      <c r="L49" s="632">
        <f t="shared" si="1"/>
        <v>10164240</v>
      </c>
      <c r="M49" s="29"/>
      <c r="N49" s="29"/>
    </row>
    <row r="50" spans="1:256" ht="15">
      <c r="A50" s="1056" t="s">
        <v>508</v>
      </c>
      <c r="B50" s="1056"/>
      <c r="C50" s="1057"/>
      <c r="D50" s="653" t="s">
        <v>475</v>
      </c>
      <c r="E50" s="654" t="s">
        <v>475</v>
      </c>
      <c r="F50" s="655">
        <f>SUM(F47,F33,F19,F8)</f>
        <v>345909685</v>
      </c>
      <c r="G50" s="653" t="s">
        <v>475</v>
      </c>
      <c r="H50" s="656" t="s">
        <v>475</v>
      </c>
      <c r="I50" s="656" t="s">
        <v>475</v>
      </c>
      <c r="J50" s="654" t="s">
        <v>475</v>
      </c>
      <c r="K50" s="655">
        <f>SUM(K47,K33,K19,K8)</f>
        <v>163126879</v>
      </c>
      <c r="L50" s="657">
        <f>SUM(L47,L33,L19,L8)</f>
        <v>509036564</v>
      </c>
      <c r="M50" s="31"/>
      <c r="N50" s="32">
        <f>SUM(N47,N33,N19,N8)</f>
        <v>508583936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4:12" ht="12.75">
      <c r="D51" s="658"/>
      <c r="E51" s="658"/>
      <c r="F51" s="658"/>
      <c r="G51" s="658"/>
      <c r="H51" s="658"/>
      <c r="I51" s="658"/>
      <c r="J51" s="658"/>
      <c r="K51" s="658"/>
      <c r="L51" s="658"/>
    </row>
    <row r="52" spans="1:12" ht="12.75">
      <c r="A52" s="717" t="s">
        <v>492</v>
      </c>
      <c r="B52" s="687"/>
      <c r="C52" s="689" t="s">
        <v>866</v>
      </c>
      <c r="D52" s="691"/>
      <c r="E52" s="688"/>
      <c r="F52" s="630">
        <v>1790838</v>
      </c>
      <c r="G52" s="690"/>
      <c r="H52" s="688"/>
      <c r="I52" s="688"/>
      <c r="J52" s="688"/>
      <c r="K52" s="692"/>
      <c r="L52" s="632">
        <f aca="true" t="shared" si="2" ref="L52:L57">F52+K52</f>
        <v>1790838</v>
      </c>
    </row>
    <row r="53" spans="1:12" ht="12.75">
      <c r="A53" s="686"/>
      <c r="B53" s="687" t="s">
        <v>885</v>
      </c>
      <c r="C53" s="689" t="s">
        <v>884</v>
      </c>
      <c r="D53" s="691"/>
      <c r="E53" s="688"/>
      <c r="F53" s="630">
        <v>6949788</v>
      </c>
      <c r="G53" s="690"/>
      <c r="H53" s="688"/>
      <c r="I53" s="688"/>
      <c r="J53" s="688"/>
      <c r="K53" s="692"/>
      <c r="L53" s="632">
        <f t="shared" si="2"/>
        <v>6949788</v>
      </c>
    </row>
    <row r="54" spans="1:12" ht="12.75">
      <c r="A54" s="686"/>
      <c r="B54" s="687"/>
      <c r="C54" s="689" t="s">
        <v>875</v>
      </c>
      <c r="D54" s="691"/>
      <c r="E54" s="688"/>
      <c r="F54" s="630">
        <v>1614100</v>
      </c>
      <c r="G54" s="690"/>
      <c r="H54" s="688"/>
      <c r="I54" s="688"/>
      <c r="J54" s="688"/>
      <c r="K54" s="692"/>
      <c r="L54" s="632">
        <f t="shared" si="2"/>
        <v>1614100</v>
      </c>
    </row>
    <row r="55" spans="1:12" ht="12.75">
      <c r="A55" s="686"/>
      <c r="B55" s="687"/>
      <c r="C55" s="689" t="s">
        <v>914</v>
      </c>
      <c r="D55" s="691"/>
      <c r="E55" s="688"/>
      <c r="F55" s="630">
        <v>4556666</v>
      </c>
      <c r="G55" s="690"/>
      <c r="H55" s="688"/>
      <c r="I55" s="688"/>
      <c r="J55" s="688"/>
      <c r="K55" s="692"/>
      <c r="L55" s="632">
        <f t="shared" si="2"/>
        <v>4556666</v>
      </c>
    </row>
    <row r="56" spans="1:12" ht="12.75">
      <c r="A56" s="717" t="s">
        <v>977</v>
      </c>
      <c r="B56" s="687" t="s">
        <v>978</v>
      </c>
      <c r="C56" s="689" t="s">
        <v>979</v>
      </c>
      <c r="D56" s="691"/>
      <c r="E56" s="688"/>
      <c r="F56" s="630">
        <v>14989072</v>
      </c>
      <c r="G56" s="690"/>
      <c r="H56" s="688"/>
      <c r="I56" s="688"/>
      <c r="J56" s="688"/>
      <c r="K56" s="692"/>
      <c r="L56" s="632">
        <f t="shared" si="2"/>
        <v>14989072</v>
      </c>
    </row>
    <row r="57" spans="1:12" ht="12.75">
      <c r="A57" s="717" t="s">
        <v>916</v>
      </c>
      <c r="B57" s="687"/>
      <c r="C57" s="689" t="s">
        <v>980</v>
      </c>
      <c r="D57" s="691"/>
      <c r="E57" s="688"/>
      <c r="F57" s="630">
        <f>18133038+40000000</f>
        <v>58133038</v>
      </c>
      <c r="G57" s="690"/>
      <c r="H57" s="688"/>
      <c r="I57" s="688"/>
      <c r="J57" s="688"/>
      <c r="K57" s="692"/>
      <c r="L57" s="632">
        <f t="shared" si="2"/>
        <v>58133038</v>
      </c>
    </row>
    <row r="58" spans="1:256" ht="15">
      <c r="A58" s="1056" t="s">
        <v>886</v>
      </c>
      <c r="B58" s="1056"/>
      <c r="C58" s="1057"/>
      <c r="D58" s="653" t="s">
        <v>475</v>
      </c>
      <c r="E58" s="654" t="s">
        <v>475</v>
      </c>
      <c r="F58" s="655">
        <f>SUM(F52:F57)</f>
        <v>88033502</v>
      </c>
      <c r="G58" s="653" t="s">
        <v>475</v>
      </c>
      <c r="H58" s="656" t="s">
        <v>475</v>
      </c>
      <c r="I58" s="656" t="s">
        <v>475</v>
      </c>
      <c r="J58" s="654" t="s">
        <v>475</v>
      </c>
      <c r="K58" s="693" t="s">
        <v>475</v>
      </c>
      <c r="L58" s="694">
        <f>F58</f>
        <v>88033502</v>
      </c>
      <c r="M58" s="31"/>
      <c r="N58" s="32">
        <f>SUM(L52:L57)</f>
        <v>88033502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4:12" ht="12.75">
      <c r="D59" s="658"/>
      <c r="E59" s="658"/>
      <c r="F59" s="630"/>
      <c r="G59" s="658"/>
      <c r="H59" s="658"/>
      <c r="I59" s="658"/>
      <c r="J59" s="658"/>
      <c r="K59" s="658"/>
      <c r="L59" s="658"/>
    </row>
    <row r="60" spans="1:256" ht="16.5">
      <c r="A60" s="1058" t="s">
        <v>144</v>
      </c>
      <c r="B60" s="1058"/>
      <c r="C60" s="1059"/>
      <c r="D60" s="659" t="s">
        <v>475</v>
      </c>
      <c r="E60" s="660" t="s">
        <v>475</v>
      </c>
      <c r="F60" s="661">
        <f>SUM(F50+F58)</f>
        <v>433943187</v>
      </c>
      <c r="G60" s="659" t="s">
        <v>475</v>
      </c>
      <c r="H60" s="662" t="s">
        <v>475</v>
      </c>
      <c r="I60" s="662" t="s">
        <v>475</v>
      </c>
      <c r="J60" s="660" t="s">
        <v>475</v>
      </c>
      <c r="K60" s="661">
        <f>SUM(K50)</f>
        <v>163126879</v>
      </c>
      <c r="L60" s="661">
        <f>SUM(L50+L58)</f>
        <v>597070066</v>
      </c>
      <c r="M60" s="31"/>
      <c r="N60" s="32">
        <f>SUM(K60+F60)</f>
        <v>597070066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</sheetData>
  <sheetProtection/>
  <mergeCells count="11">
    <mergeCell ref="A58:C58"/>
    <mergeCell ref="A50:C50"/>
    <mergeCell ref="A60:C60"/>
    <mergeCell ref="L5:L6"/>
    <mergeCell ref="A6:B6"/>
    <mergeCell ref="A7:B7"/>
    <mergeCell ref="A2:K2"/>
    <mergeCell ref="A3:K3"/>
    <mergeCell ref="A5:C5"/>
    <mergeCell ref="D5:F5"/>
    <mergeCell ref="G5:K5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74"/>
  <sheetViews>
    <sheetView workbookViewId="0" topLeftCell="A1">
      <selection activeCell="A3" sqref="A3:I74"/>
    </sheetView>
  </sheetViews>
  <sheetFormatPr defaultColWidth="9.00390625" defaultRowHeight="12.75"/>
  <cols>
    <col min="1" max="1" width="6.125" style="156" customWidth="1"/>
    <col min="2" max="4" width="9.125" style="156" customWidth="1"/>
    <col min="5" max="5" width="40.375" style="156" customWidth="1"/>
    <col min="6" max="7" width="14.125" style="156" bestFit="1" customWidth="1"/>
    <col min="8" max="8" width="14.875" style="156" customWidth="1"/>
    <col min="9" max="9" width="16.00390625" style="156" bestFit="1" customWidth="1"/>
    <col min="10" max="16384" width="9.125" style="156" customWidth="1"/>
  </cols>
  <sheetData>
    <row r="1" spans="1:9" s="160" customFormat="1" ht="12.75">
      <c r="A1" s="799" t="s">
        <v>1063</v>
      </c>
      <c r="B1" s="799"/>
      <c r="C1" s="799"/>
      <c r="D1" s="799"/>
      <c r="E1" s="799"/>
      <c r="F1" s="799"/>
      <c r="G1" s="799"/>
      <c r="H1" s="799"/>
      <c r="I1" s="799"/>
    </row>
    <row r="2" spans="1:9" s="160" customFormat="1" ht="9.75" customHeight="1">
      <c r="A2" s="161"/>
      <c r="B2" s="162"/>
      <c r="C2" s="162"/>
      <c r="D2" s="162"/>
      <c r="E2" s="162"/>
      <c r="F2" s="162"/>
      <c r="G2" s="162"/>
      <c r="H2" s="162"/>
      <c r="I2" s="162"/>
    </row>
    <row r="3" spans="1:9" s="160" customFormat="1" ht="16.5">
      <c r="A3" s="800" t="s">
        <v>683</v>
      </c>
      <c r="B3" s="800"/>
      <c r="C3" s="800"/>
      <c r="D3" s="800"/>
      <c r="E3" s="800"/>
      <c r="F3" s="800"/>
      <c r="G3" s="800"/>
      <c r="H3" s="800"/>
      <c r="I3" s="800"/>
    </row>
    <row r="4" spans="1:9" s="160" customFormat="1" ht="12.75">
      <c r="A4" s="161"/>
      <c r="B4" s="162"/>
      <c r="C4" s="162"/>
      <c r="D4" s="162"/>
      <c r="E4" s="162"/>
      <c r="F4" s="162"/>
      <c r="G4" s="162"/>
      <c r="H4" s="162"/>
      <c r="I4" s="162"/>
    </row>
    <row r="5" spans="1:9" ht="78" customHeight="1">
      <c r="A5" s="801" t="s">
        <v>0</v>
      </c>
      <c r="B5" s="802"/>
      <c r="C5" s="802"/>
      <c r="D5" s="802"/>
      <c r="E5" s="803"/>
      <c r="F5" s="163" t="s">
        <v>103</v>
      </c>
      <c r="G5" s="163" t="s">
        <v>385</v>
      </c>
      <c r="H5" s="163" t="s">
        <v>917</v>
      </c>
      <c r="I5" s="164" t="s">
        <v>379</v>
      </c>
    </row>
    <row r="6" spans="1:9" s="167" customFormat="1" ht="15">
      <c r="A6" s="165" t="s">
        <v>446</v>
      </c>
      <c r="B6" s="804" t="s">
        <v>447</v>
      </c>
      <c r="C6" s="805"/>
      <c r="D6" s="805"/>
      <c r="E6" s="806"/>
      <c r="F6" s="166" t="s">
        <v>448</v>
      </c>
      <c r="G6" s="166" t="s">
        <v>449</v>
      </c>
      <c r="H6" s="166" t="s">
        <v>450</v>
      </c>
      <c r="I6" s="166" t="s">
        <v>451</v>
      </c>
    </row>
    <row r="7" spans="1:9" ht="14.25" customHeight="1">
      <c r="A7" s="168" t="s">
        <v>1</v>
      </c>
      <c r="B7" s="794" t="s">
        <v>372</v>
      </c>
      <c r="C7" s="794"/>
      <c r="D7" s="794"/>
      <c r="E7" s="794"/>
      <c r="F7" s="155">
        <f>92387486-146050-511475+110000+169300+13200+89907417+30882431+135246+7051200+1250944-1094000-1300000-32740-115000-5800-22993+8879-991502</f>
        <v>217696543</v>
      </c>
      <c r="G7" s="155">
        <f>80677920-2363520+2363520+492700-1250944+483000-6900-885000</f>
        <v>79510776</v>
      </c>
      <c r="H7" s="155">
        <f>166158515-4316832-4040568-396235-1002512-1404438-2940488+719400+478125+30000+2020317+10646000-24000-82042-9210000</f>
        <v>156635242</v>
      </c>
      <c r="I7" s="155">
        <f>SUM(F7:H7)</f>
        <v>453842561</v>
      </c>
    </row>
    <row r="8" spans="1:9" ht="13.5" customHeight="1">
      <c r="A8" s="168" t="s">
        <v>3</v>
      </c>
      <c r="B8" s="794" t="s">
        <v>4</v>
      </c>
      <c r="C8" s="794"/>
      <c r="D8" s="794"/>
      <c r="E8" s="794"/>
      <c r="F8" s="155">
        <f>21556765-32131-112525+430000+24200+37246+2904+9889529+3396993+29754+1898910+275208-567580+32740-266000-1276+68575+219691-5059</f>
        <v>36877944</v>
      </c>
      <c r="G8" s="155">
        <f>17050148-519974+519974+108394-275208+106260-1518-50000</f>
        <v>16938076</v>
      </c>
      <c r="H8" s="155">
        <f>38950681-905752-967690-89062-220552-308976-638987+158268+105190+6000+444470+2342120-5280-18049-2520000</f>
        <v>36332381</v>
      </c>
      <c r="I8" s="155">
        <f>SUM(F8:H8)</f>
        <v>90148401</v>
      </c>
    </row>
    <row r="9" spans="1:9" ht="12" customHeight="1">
      <c r="A9" s="168" t="s">
        <v>5</v>
      </c>
      <c r="B9" s="794" t="s">
        <v>6</v>
      </c>
      <c r="C9" s="794"/>
      <c r="D9" s="794"/>
      <c r="E9" s="794"/>
      <c r="F9" s="155">
        <f>218957105-2000000+3850000+500000+178181-1000000-1500000-500000+624000+6762752+1479371+22851+788800+17100+1204560+1176540+214270+608965+379000+255887+237516+8426434+6312014+1686276+1143687+20948+100000+48289-88773+24000+978201+7185532+42000+167805+24300+1867580+100000-798500+217072+1594595+222286+9659+62168-7620-16990-67850+28052-8879+991502+676541-676541</f>
        <v>262520686</v>
      </c>
      <c r="G9" s="155">
        <f>20762878+146050-5201448</f>
        <v>15707480</v>
      </c>
      <c r="H9" s="155">
        <f>59134971-100000-302000-1087176-947010-24000+34000+35000+438525+861090+23158258-12581829</f>
        <v>68619829</v>
      </c>
      <c r="I9" s="155">
        <f>SUM(F9:H9)</f>
        <v>346847995</v>
      </c>
    </row>
    <row r="10" spans="1:9" ht="12.75">
      <c r="A10" s="168" t="s">
        <v>8</v>
      </c>
      <c r="B10" s="794" t="s">
        <v>9</v>
      </c>
      <c r="C10" s="794"/>
      <c r="D10" s="794"/>
      <c r="E10" s="794"/>
      <c r="F10" s="155">
        <f>SUM(F11,F12,F15:F20)</f>
        <v>3804900</v>
      </c>
      <c r="G10" s="155">
        <f>SUM(G11,G12,G15:G20)</f>
        <v>8106775</v>
      </c>
      <c r="H10" s="155">
        <f>SUM(H11,H12,H15:H20)</f>
        <v>0</v>
      </c>
      <c r="I10" s="155">
        <f>SUM(F10:H10)</f>
        <v>11911675</v>
      </c>
    </row>
    <row r="11" spans="1:9" ht="12.75">
      <c r="A11" s="151"/>
      <c r="B11" s="151" t="s">
        <v>10</v>
      </c>
      <c r="C11" s="797" t="s">
        <v>11</v>
      </c>
      <c r="D11" s="807"/>
      <c r="E11" s="798"/>
      <c r="F11" s="154">
        <v>0</v>
      </c>
      <c r="G11" s="154">
        <v>0</v>
      </c>
      <c r="H11" s="154">
        <v>0</v>
      </c>
      <c r="I11" s="155">
        <f>SUM(F11:H11)</f>
        <v>0</v>
      </c>
    </row>
    <row r="12" spans="1:9" ht="12.75">
      <c r="A12" s="151"/>
      <c r="B12" s="151" t="s">
        <v>12</v>
      </c>
      <c r="C12" s="783" t="s">
        <v>13</v>
      </c>
      <c r="D12" s="783"/>
      <c r="E12" s="783"/>
      <c r="F12" s="154">
        <f>SUM(F13:F14)</f>
        <v>0</v>
      </c>
      <c r="G12" s="154">
        <f>SUM(G13:G14)</f>
        <v>8106775</v>
      </c>
      <c r="H12" s="154">
        <f>SUM(H13:H14)</f>
        <v>0</v>
      </c>
      <c r="I12" s="155">
        <f aca="true" t="shared" si="0" ref="I12:I22">SUM(F12:H12)</f>
        <v>8106775</v>
      </c>
    </row>
    <row r="13" spans="1:9" ht="23.25" customHeight="1">
      <c r="A13" s="157"/>
      <c r="B13" s="151"/>
      <c r="C13" s="157"/>
      <c r="D13" s="790" t="s">
        <v>930</v>
      </c>
      <c r="E13" s="791"/>
      <c r="F13" s="158"/>
      <c r="G13" s="158">
        <f>7530000+4680000-4349000</f>
        <v>7861000</v>
      </c>
      <c r="H13" s="158">
        <v>0</v>
      </c>
      <c r="I13" s="155">
        <f t="shared" si="0"/>
        <v>7861000</v>
      </c>
    </row>
    <row r="14" spans="1:9" ht="22.5" customHeight="1">
      <c r="A14" s="157"/>
      <c r="B14" s="151"/>
      <c r="C14" s="157"/>
      <c r="D14" s="795" t="s">
        <v>931</v>
      </c>
      <c r="E14" s="796"/>
      <c r="F14" s="158"/>
      <c r="G14" s="158">
        <f>225720+50400-21945-8400</f>
        <v>245775</v>
      </c>
      <c r="H14" s="158">
        <v>0</v>
      </c>
      <c r="I14" s="155">
        <f t="shared" si="0"/>
        <v>245775</v>
      </c>
    </row>
    <row r="15" spans="1:9" ht="12.75" hidden="1">
      <c r="A15" s="151"/>
      <c r="B15" s="151" t="s">
        <v>154</v>
      </c>
      <c r="C15" s="783" t="s">
        <v>155</v>
      </c>
      <c r="D15" s="783"/>
      <c r="E15" s="783"/>
      <c r="F15" s="154">
        <v>0</v>
      </c>
      <c r="G15" s="154">
        <v>0</v>
      </c>
      <c r="H15" s="154">
        <v>0</v>
      </c>
      <c r="I15" s="155">
        <f t="shared" si="0"/>
        <v>0</v>
      </c>
    </row>
    <row r="16" spans="1:9" ht="12" customHeight="1" hidden="1">
      <c r="A16" s="151"/>
      <c r="B16" s="151" t="s">
        <v>156</v>
      </c>
      <c r="C16" s="797" t="s">
        <v>157</v>
      </c>
      <c r="D16" s="807"/>
      <c r="E16" s="798"/>
      <c r="F16" s="154">
        <f>SUM(F17:F18)</f>
        <v>0</v>
      </c>
      <c r="G16" s="154">
        <f>SUM(G17:G18)</f>
        <v>0</v>
      </c>
      <c r="H16" s="154">
        <f>SUM(H17:H18)</f>
        <v>0</v>
      </c>
      <c r="I16" s="155">
        <f t="shared" si="0"/>
        <v>0</v>
      </c>
    </row>
    <row r="17" spans="1:9" ht="13.5" customHeight="1" hidden="1">
      <c r="A17" s="157"/>
      <c r="B17" s="151" t="s">
        <v>158</v>
      </c>
      <c r="C17" s="151" t="s">
        <v>159</v>
      </c>
      <c r="D17" s="152"/>
      <c r="E17" s="153"/>
      <c r="F17" s="158">
        <v>0</v>
      </c>
      <c r="G17" s="158">
        <v>0</v>
      </c>
      <c r="H17" s="158">
        <v>0</v>
      </c>
      <c r="I17" s="155">
        <f t="shared" si="0"/>
        <v>0</v>
      </c>
    </row>
    <row r="18" spans="1:9" ht="12.75" hidden="1">
      <c r="A18" s="151"/>
      <c r="B18" s="151" t="s">
        <v>160</v>
      </c>
      <c r="C18" s="797" t="s">
        <v>161</v>
      </c>
      <c r="D18" s="807"/>
      <c r="E18" s="798"/>
      <c r="F18" s="154">
        <f>SUM(F19)</f>
        <v>0</v>
      </c>
      <c r="G18" s="154">
        <f>SUM(G19)</f>
        <v>0</v>
      </c>
      <c r="H18" s="154">
        <f>SUM(H19)</f>
        <v>0</v>
      </c>
      <c r="I18" s="155">
        <f t="shared" si="0"/>
        <v>0</v>
      </c>
    </row>
    <row r="19" spans="1:9" ht="12.75" hidden="1">
      <c r="A19" s="151"/>
      <c r="B19" s="151" t="s">
        <v>162</v>
      </c>
      <c r="C19" s="783" t="s">
        <v>14</v>
      </c>
      <c r="D19" s="783"/>
      <c r="E19" s="783"/>
      <c r="F19" s="154">
        <v>0</v>
      </c>
      <c r="G19" s="154">
        <v>0</v>
      </c>
      <c r="H19" s="154">
        <v>0</v>
      </c>
      <c r="I19" s="155">
        <f t="shared" si="0"/>
        <v>0</v>
      </c>
    </row>
    <row r="20" spans="1:9" ht="12.75">
      <c r="A20" s="151"/>
      <c r="B20" s="151" t="s">
        <v>163</v>
      </c>
      <c r="C20" s="797" t="s">
        <v>164</v>
      </c>
      <c r="D20" s="807"/>
      <c r="E20" s="798"/>
      <c r="F20" s="154">
        <f>SUM(F21:F22)</f>
        <v>3804900</v>
      </c>
      <c r="G20" s="154">
        <f>SUM(G21:G22)</f>
        <v>0</v>
      </c>
      <c r="H20" s="154">
        <f>SUM(H21:H22)</f>
        <v>0</v>
      </c>
      <c r="I20" s="155">
        <f t="shared" si="0"/>
        <v>3804900</v>
      </c>
    </row>
    <row r="21" spans="1:9" ht="12.75">
      <c r="A21" s="157"/>
      <c r="B21" s="157"/>
      <c r="C21" s="157"/>
      <c r="D21" s="797" t="s">
        <v>933</v>
      </c>
      <c r="E21" s="798"/>
      <c r="F21" s="158">
        <v>1500000</v>
      </c>
      <c r="G21" s="158">
        <v>0</v>
      </c>
      <c r="H21" s="158">
        <v>0</v>
      </c>
      <c r="I21" s="155">
        <f t="shared" si="0"/>
        <v>1500000</v>
      </c>
    </row>
    <row r="22" spans="1:9" s="159" customFormat="1" ht="12.75">
      <c r="A22" s="157"/>
      <c r="B22" s="157"/>
      <c r="C22" s="157"/>
      <c r="D22" s="797" t="s">
        <v>932</v>
      </c>
      <c r="E22" s="798"/>
      <c r="F22" s="158">
        <v>2304900</v>
      </c>
      <c r="G22" s="158">
        <v>0</v>
      </c>
      <c r="H22" s="158">
        <v>0</v>
      </c>
      <c r="I22" s="155">
        <f t="shared" si="0"/>
        <v>2304900</v>
      </c>
    </row>
    <row r="23" spans="1:9" ht="12" customHeight="1">
      <c r="A23" s="168" t="s">
        <v>165</v>
      </c>
      <c r="B23" s="784" t="s">
        <v>166</v>
      </c>
      <c r="C23" s="785"/>
      <c r="D23" s="785"/>
      <c r="E23" s="786"/>
      <c r="F23" s="155">
        <f>SUM(F56+F45+F43+F42+F41+F40+F29+F28+F27+F26+F24+F25)</f>
        <v>339035900</v>
      </c>
      <c r="G23" s="155">
        <f>SUM(G56+G45+G43+G42+G41+G40+G29+G28+G27+G26+G24+G25)</f>
        <v>67767</v>
      </c>
      <c r="H23" s="155">
        <f>SUM(H56+H45+H43+H42+H41+H40+H29+H28+H27+H26+H24+H25)</f>
        <v>1486017</v>
      </c>
      <c r="I23" s="155">
        <f>SUM(F23:H23)</f>
        <v>340589684</v>
      </c>
    </row>
    <row r="24" spans="1:9" ht="12.75" hidden="1">
      <c r="A24" s="157"/>
      <c r="B24" s="157"/>
      <c r="C24" s="157" t="s">
        <v>167</v>
      </c>
      <c r="D24" s="157" t="s">
        <v>168</v>
      </c>
      <c r="E24" s="157"/>
      <c r="F24" s="158">
        <v>0</v>
      </c>
      <c r="G24" s="158">
        <v>0</v>
      </c>
      <c r="H24" s="158">
        <v>0</v>
      </c>
      <c r="I24" s="169">
        <f>SUM(F24:H24)</f>
        <v>0</v>
      </c>
    </row>
    <row r="25" spans="1:9" ht="11.25" customHeight="1">
      <c r="A25" s="157"/>
      <c r="B25" s="157"/>
      <c r="C25" s="157" t="s">
        <v>169</v>
      </c>
      <c r="D25" s="797" t="s">
        <v>170</v>
      </c>
      <c r="E25" s="798"/>
      <c r="F25" s="158">
        <f>25603463+1419433+33742913+4114026</f>
        <v>64879835</v>
      </c>
      <c r="G25" s="158">
        <v>67767</v>
      </c>
      <c r="H25" s="158">
        <v>1486017</v>
      </c>
      <c r="I25" s="169">
        <f aca="true" t="shared" si="1" ref="I25:I59">SUM(F25:H25)</f>
        <v>66433619</v>
      </c>
    </row>
    <row r="26" spans="1:9" ht="12.75" hidden="1">
      <c r="A26" s="157"/>
      <c r="B26" s="157"/>
      <c r="C26" s="157" t="s">
        <v>171</v>
      </c>
      <c r="D26" s="792" t="s">
        <v>172</v>
      </c>
      <c r="E26" s="793"/>
      <c r="F26" s="158">
        <v>0</v>
      </c>
      <c r="G26" s="158">
        <v>0</v>
      </c>
      <c r="H26" s="158">
        <v>0</v>
      </c>
      <c r="I26" s="169">
        <f t="shared" si="1"/>
        <v>0</v>
      </c>
    </row>
    <row r="27" spans="1:9" ht="12.75" hidden="1">
      <c r="A27" s="157"/>
      <c r="B27" s="157"/>
      <c r="C27" s="157" t="s">
        <v>173</v>
      </c>
      <c r="D27" s="792" t="s">
        <v>174</v>
      </c>
      <c r="E27" s="793"/>
      <c r="F27" s="158">
        <v>0</v>
      </c>
      <c r="G27" s="158">
        <v>0</v>
      </c>
      <c r="H27" s="158">
        <v>0</v>
      </c>
      <c r="I27" s="169">
        <f t="shared" si="1"/>
        <v>0</v>
      </c>
    </row>
    <row r="28" spans="1:9" ht="12.75" hidden="1">
      <c r="A28" s="157"/>
      <c r="B28" s="157"/>
      <c r="C28" s="157" t="s">
        <v>195</v>
      </c>
      <c r="D28" s="792" t="s">
        <v>196</v>
      </c>
      <c r="E28" s="793"/>
      <c r="F28" s="158">
        <v>0</v>
      </c>
      <c r="G28" s="158">
        <v>0</v>
      </c>
      <c r="H28" s="158">
        <v>0</v>
      </c>
      <c r="I28" s="169">
        <f t="shared" si="1"/>
        <v>0</v>
      </c>
    </row>
    <row r="29" spans="1:9" ht="12" customHeight="1">
      <c r="A29" s="157"/>
      <c r="B29" s="157"/>
      <c r="C29" s="157" t="s">
        <v>197</v>
      </c>
      <c r="D29" s="790" t="s">
        <v>198</v>
      </c>
      <c r="E29" s="791"/>
      <c r="F29" s="158">
        <f>SUM(F30:F39)</f>
        <v>40723</v>
      </c>
      <c r="G29" s="158">
        <f>SUM(G30:G39)</f>
        <v>0</v>
      </c>
      <c r="H29" s="158">
        <f>SUM(H30:H39)</f>
        <v>0</v>
      </c>
      <c r="I29" s="169">
        <f t="shared" si="1"/>
        <v>40723</v>
      </c>
    </row>
    <row r="30" spans="1:9" ht="12.75" hidden="1">
      <c r="A30" s="170"/>
      <c r="B30" s="170"/>
      <c r="C30" s="171" t="s">
        <v>2</v>
      </c>
      <c r="D30" s="171" t="s">
        <v>175</v>
      </c>
      <c r="E30" s="171" t="s">
        <v>176</v>
      </c>
      <c r="F30" s="172">
        <v>0</v>
      </c>
      <c r="G30" s="172">
        <v>0</v>
      </c>
      <c r="H30" s="172">
        <v>0</v>
      </c>
      <c r="I30" s="169">
        <f t="shared" si="1"/>
        <v>0</v>
      </c>
    </row>
    <row r="31" spans="1:9" ht="12.75" hidden="1">
      <c r="A31" s="170"/>
      <c r="B31" s="170"/>
      <c r="C31" s="171"/>
      <c r="D31" s="171" t="s">
        <v>177</v>
      </c>
      <c r="E31" s="171" t="s">
        <v>178</v>
      </c>
      <c r="F31" s="172">
        <v>0</v>
      </c>
      <c r="G31" s="172">
        <v>0</v>
      </c>
      <c r="H31" s="172">
        <v>0</v>
      </c>
      <c r="I31" s="169">
        <f t="shared" si="1"/>
        <v>0</v>
      </c>
    </row>
    <row r="32" spans="1:9" ht="12.75" hidden="1">
      <c r="A32" s="170"/>
      <c r="B32" s="170"/>
      <c r="C32" s="171"/>
      <c r="D32" s="171" t="s">
        <v>179</v>
      </c>
      <c r="E32" s="171" t="s">
        <v>180</v>
      </c>
      <c r="F32" s="172">
        <v>0</v>
      </c>
      <c r="G32" s="172">
        <v>0</v>
      </c>
      <c r="H32" s="172">
        <v>0</v>
      </c>
      <c r="I32" s="169">
        <f t="shared" si="1"/>
        <v>0</v>
      </c>
    </row>
    <row r="33" spans="1:9" ht="12.75" hidden="1">
      <c r="A33" s="170"/>
      <c r="B33" s="170"/>
      <c r="C33" s="171"/>
      <c r="D33" s="171" t="s">
        <v>181</v>
      </c>
      <c r="E33" s="171" t="s">
        <v>182</v>
      </c>
      <c r="F33" s="172">
        <v>0</v>
      </c>
      <c r="G33" s="172">
        <v>0</v>
      </c>
      <c r="H33" s="172">
        <v>0</v>
      </c>
      <c r="I33" s="169">
        <f t="shared" si="1"/>
        <v>0</v>
      </c>
    </row>
    <row r="34" spans="1:9" ht="12.75" hidden="1">
      <c r="A34" s="170"/>
      <c r="B34" s="170"/>
      <c r="C34" s="171"/>
      <c r="D34" s="171" t="s">
        <v>183</v>
      </c>
      <c r="E34" s="171" t="s">
        <v>184</v>
      </c>
      <c r="F34" s="172">
        <v>0</v>
      </c>
      <c r="G34" s="172">
        <v>0</v>
      </c>
      <c r="H34" s="172">
        <v>0</v>
      </c>
      <c r="I34" s="169">
        <f t="shared" si="1"/>
        <v>0</v>
      </c>
    </row>
    <row r="35" spans="1:9" ht="12.75" hidden="1">
      <c r="A35" s="170"/>
      <c r="B35" s="170"/>
      <c r="C35" s="171"/>
      <c r="D35" s="171" t="s">
        <v>185</v>
      </c>
      <c r="E35" s="171" t="s">
        <v>186</v>
      </c>
      <c r="F35" s="172">
        <v>0</v>
      </c>
      <c r="G35" s="172">
        <v>0</v>
      </c>
      <c r="H35" s="172">
        <v>0</v>
      </c>
      <c r="I35" s="169">
        <f t="shared" si="1"/>
        <v>0</v>
      </c>
    </row>
    <row r="36" spans="1:9" ht="12.75" hidden="1">
      <c r="A36" s="170"/>
      <c r="B36" s="170"/>
      <c r="C36" s="171"/>
      <c r="D36" s="171" t="s">
        <v>187</v>
      </c>
      <c r="E36" s="171" t="s">
        <v>188</v>
      </c>
      <c r="F36" s="172">
        <v>0</v>
      </c>
      <c r="G36" s="172">
        <v>0</v>
      </c>
      <c r="H36" s="172">
        <v>0</v>
      </c>
      <c r="I36" s="169">
        <f t="shared" si="1"/>
        <v>0</v>
      </c>
    </row>
    <row r="37" spans="1:9" ht="12.75" hidden="1">
      <c r="A37" s="170"/>
      <c r="B37" s="170"/>
      <c r="C37" s="171"/>
      <c r="D37" s="171" t="s">
        <v>189</v>
      </c>
      <c r="E37" s="171" t="s">
        <v>190</v>
      </c>
      <c r="F37" s="172">
        <v>40723</v>
      </c>
      <c r="G37" s="172">
        <v>0</v>
      </c>
      <c r="H37" s="172">
        <v>0</v>
      </c>
      <c r="I37" s="169">
        <f t="shared" si="1"/>
        <v>40723</v>
      </c>
    </row>
    <row r="38" spans="1:9" ht="12.75" hidden="1">
      <c r="A38" s="170"/>
      <c r="B38" s="170"/>
      <c r="C38" s="171"/>
      <c r="D38" s="171" t="s">
        <v>191</v>
      </c>
      <c r="E38" s="171" t="s">
        <v>192</v>
      </c>
      <c r="F38" s="172">
        <v>0</v>
      </c>
      <c r="G38" s="172">
        <v>0</v>
      </c>
      <c r="H38" s="172">
        <v>0</v>
      </c>
      <c r="I38" s="169">
        <f t="shared" si="1"/>
        <v>0</v>
      </c>
    </row>
    <row r="39" spans="1:9" ht="12.75" hidden="1">
      <c r="A39" s="170"/>
      <c r="B39" s="170"/>
      <c r="C39" s="171"/>
      <c r="D39" s="171" t="s">
        <v>193</v>
      </c>
      <c r="E39" s="171" t="s">
        <v>194</v>
      </c>
      <c r="F39" s="172">
        <v>0</v>
      </c>
      <c r="G39" s="172">
        <v>0</v>
      </c>
      <c r="H39" s="172">
        <v>0</v>
      </c>
      <c r="I39" s="169">
        <f t="shared" si="1"/>
        <v>0</v>
      </c>
    </row>
    <row r="40" spans="1:9" ht="12.75" hidden="1">
      <c r="A40" s="157"/>
      <c r="B40" s="157"/>
      <c r="C40" s="157" t="s">
        <v>199</v>
      </c>
      <c r="D40" s="792" t="s">
        <v>200</v>
      </c>
      <c r="E40" s="793"/>
      <c r="F40" s="158">
        <v>0</v>
      </c>
      <c r="G40" s="158">
        <v>0</v>
      </c>
      <c r="H40" s="158">
        <v>0</v>
      </c>
      <c r="I40" s="169">
        <f t="shared" si="1"/>
        <v>0</v>
      </c>
    </row>
    <row r="41" spans="1:9" ht="21.75" customHeight="1">
      <c r="A41" s="157"/>
      <c r="B41" s="157"/>
      <c r="C41" s="157" t="s">
        <v>201</v>
      </c>
      <c r="D41" s="790" t="s">
        <v>841</v>
      </c>
      <c r="E41" s="791"/>
      <c r="F41" s="158">
        <v>9314000</v>
      </c>
      <c r="G41" s="158">
        <v>0</v>
      </c>
      <c r="H41" s="158">
        <v>0</v>
      </c>
      <c r="I41" s="169">
        <f t="shared" si="1"/>
        <v>9314000</v>
      </c>
    </row>
    <row r="42" spans="1:9" ht="12.75" hidden="1">
      <c r="A42" s="157"/>
      <c r="B42" s="157"/>
      <c r="C42" s="157" t="s">
        <v>212</v>
      </c>
      <c r="D42" s="792" t="s">
        <v>213</v>
      </c>
      <c r="E42" s="793"/>
      <c r="F42" s="158">
        <v>0</v>
      </c>
      <c r="G42" s="158">
        <v>0</v>
      </c>
      <c r="H42" s="158">
        <v>0</v>
      </c>
      <c r="I42" s="169">
        <f t="shared" si="1"/>
        <v>0</v>
      </c>
    </row>
    <row r="43" spans="1:9" ht="12.75" hidden="1">
      <c r="A43" s="157"/>
      <c r="B43" s="157"/>
      <c r="C43" s="157" t="s">
        <v>214</v>
      </c>
      <c r="D43" s="792" t="s">
        <v>215</v>
      </c>
      <c r="E43" s="793"/>
      <c r="F43" s="158">
        <v>0</v>
      </c>
      <c r="G43" s="158">
        <v>0</v>
      </c>
      <c r="H43" s="158">
        <v>0</v>
      </c>
      <c r="I43" s="169">
        <f t="shared" si="1"/>
        <v>0</v>
      </c>
    </row>
    <row r="44" spans="1:9" ht="12.75" hidden="1">
      <c r="A44" s="157"/>
      <c r="B44" s="157"/>
      <c r="C44" s="157" t="s">
        <v>216</v>
      </c>
      <c r="D44" s="792" t="s">
        <v>619</v>
      </c>
      <c r="E44" s="793"/>
      <c r="F44" s="158">
        <v>0</v>
      </c>
      <c r="G44" s="158">
        <v>0</v>
      </c>
      <c r="H44" s="158">
        <v>0</v>
      </c>
      <c r="I44" s="169">
        <f t="shared" si="1"/>
        <v>0</v>
      </c>
    </row>
    <row r="45" spans="1:9" ht="12.75">
      <c r="A45" s="157"/>
      <c r="B45" s="157"/>
      <c r="C45" s="157" t="s">
        <v>218</v>
      </c>
      <c r="D45" s="790" t="s">
        <v>217</v>
      </c>
      <c r="E45" s="791"/>
      <c r="F45" s="158">
        <f>SUM(F46:F55)</f>
        <v>260170999</v>
      </c>
      <c r="G45" s="158">
        <f>SUM(G46:G55)</f>
        <v>0</v>
      </c>
      <c r="H45" s="158">
        <f>SUM(H46:H55)</f>
        <v>0</v>
      </c>
      <c r="I45" s="169">
        <f t="shared" si="1"/>
        <v>260170999</v>
      </c>
    </row>
    <row r="46" spans="1:9" ht="12.75">
      <c r="A46" s="173"/>
      <c r="B46" s="173"/>
      <c r="C46" s="171" t="s">
        <v>2</v>
      </c>
      <c r="D46" s="222" t="s">
        <v>175</v>
      </c>
      <c r="E46" s="222" t="s">
        <v>202</v>
      </c>
      <c r="F46" s="172">
        <v>0</v>
      </c>
      <c r="G46" s="172">
        <v>0</v>
      </c>
      <c r="H46" s="172">
        <v>0</v>
      </c>
      <c r="I46" s="169">
        <f t="shared" si="1"/>
        <v>0</v>
      </c>
    </row>
    <row r="47" spans="1:9" ht="12.75">
      <c r="A47" s="173"/>
      <c r="B47" s="173"/>
      <c r="C47" s="171"/>
      <c r="D47" s="222" t="s">
        <v>177</v>
      </c>
      <c r="E47" s="222" t="s">
        <v>616</v>
      </c>
      <c r="F47" s="172">
        <v>0</v>
      </c>
      <c r="G47" s="172"/>
      <c r="H47" s="172"/>
      <c r="I47" s="169">
        <f t="shared" si="1"/>
        <v>0</v>
      </c>
    </row>
    <row r="48" spans="1:9" ht="12.75">
      <c r="A48" s="173"/>
      <c r="B48" s="173"/>
      <c r="C48" s="171"/>
      <c r="D48" s="222" t="s">
        <v>179</v>
      </c>
      <c r="E48" s="222" t="s">
        <v>203</v>
      </c>
      <c r="F48" s="172">
        <f>100000</f>
        <v>100000</v>
      </c>
      <c r="G48" s="172">
        <v>0</v>
      </c>
      <c r="H48" s="172">
        <v>0</v>
      </c>
      <c r="I48" s="169">
        <f t="shared" si="1"/>
        <v>100000</v>
      </c>
    </row>
    <row r="49" spans="1:9" ht="12.75">
      <c r="A49" s="173"/>
      <c r="B49" s="173"/>
      <c r="C49" s="171"/>
      <c r="D49" s="222" t="s">
        <v>181</v>
      </c>
      <c r="E49" s="222" t="s">
        <v>204</v>
      </c>
      <c r="F49" s="172">
        <v>0</v>
      </c>
      <c r="G49" s="172">
        <v>0</v>
      </c>
      <c r="H49" s="172">
        <v>0</v>
      </c>
      <c r="I49" s="169">
        <f t="shared" si="1"/>
        <v>0</v>
      </c>
    </row>
    <row r="50" spans="1:9" ht="12.75">
      <c r="A50" s="173"/>
      <c r="B50" s="173"/>
      <c r="C50" s="171"/>
      <c r="D50" s="222" t="s">
        <v>183</v>
      </c>
      <c r="E50" s="222" t="s">
        <v>205</v>
      </c>
      <c r="F50" s="172">
        <v>0</v>
      </c>
      <c r="G50" s="172">
        <v>0</v>
      </c>
      <c r="H50" s="172">
        <v>0</v>
      </c>
      <c r="I50" s="169">
        <f t="shared" si="1"/>
        <v>0</v>
      </c>
    </row>
    <row r="51" spans="1:9" ht="12.75">
      <c r="A51" s="173"/>
      <c r="B51" s="173"/>
      <c r="C51" s="171"/>
      <c r="D51" s="222" t="s">
        <v>185</v>
      </c>
      <c r="E51" s="222" t="s">
        <v>206</v>
      </c>
      <c r="F51" s="172">
        <v>0</v>
      </c>
      <c r="G51" s="172">
        <v>0</v>
      </c>
      <c r="H51" s="172">
        <v>0</v>
      </c>
      <c r="I51" s="169">
        <f t="shared" si="1"/>
        <v>0</v>
      </c>
    </row>
    <row r="52" spans="1:9" ht="12.75">
      <c r="A52" s="170"/>
      <c r="B52" s="170"/>
      <c r="C52" s="171"/>
      <c r="D52" s="222" t="s">
        <v>187</v>
      </c>
      <c r="E52" s="222" t="s">
        <v>207</v>
      </c>
      <c r="F52" s="172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-1500000-788000+4000000-2645132+904841+3000000+1094000+2000000+381000</f>
        <v>216870751</v>
      </c>
      <c r="G52" s="172">
        <v>0</v>
      </c>
      <c r="H52" s="172">
        <v>0</v>
      </c>
      <c r="I52" s="169">
        <f t="shared" si="1"/>
        <v>216870751</v>
      </c>
    </row>
    <row r="53" spans="1:9" ht="12.75">
      <c r="A53" s="170"/>
      <c r="B53" s="170"/>
      <c r="C53" s="171"/>
      <c r="D53" s="222" t="s">
        <v>189</v>
      </c>
      <c r="E53" s="222" t="s">
        <v>208</v>
      </c>
      <c r="F53" s="172">
        <f>3224350+35026110+6949788-2000000</f>
        <v>43200248</v>
      </c>
      <c r="G53" s="172">
        <v>0</v>
      </c>
      <c r="H53" s="172">
        <v>0</v>
      </c>
      <c r="I53" s="169">
        <f t="shared" si="1"/>
        <v>43200248</v>
      </c>
    </row>
    <row r="54" spans="1:9" ht="12.75">
      <c r="A54" s="173"/>
      <c r="B54" s="173"/>
      <c r="C54" s="171"/>
      <c r="D54" s="222" t="s">
        <v>191</v>
      </c>
      <c r="E54" s="222" t="s">
        <v>210</v>
      </c>
      <c r="F54" s="172">
        <v>0</v>
      </c>
      <c r="G54" s="172">
        <v>0</v>
      </c>
      <c r="H54" s="172">
        <v>0</v>
      </c>
      <c r="I54" s="169">
        <f t="shared" si="1"/>
        <v>0</v>
      </c>
    </row>
    <row r="55" spans="1:9" ht="12.75">
      <c r="A55" s="173"/>
      <c r="B55" s="173"/>
      <c r="C55" s="171"/>
      <c r="D55" s="222" t="s">
        <v>193</v>
      </c>
      <c r="E55" s="222" t="s">
        <v>211</v>
      </c>
      <c r="F55" s="172">
        <v>0</v>
      </c>
      <c r="G55" s="172">
        <v>0</v>
      </c>
      <c r="H55" s="172">
        <v>0</v>
      </c>
      <c r="I55" s="169">
        <f t="shared" si="1"/>
        <v>0</v>
      </c>
    </row>
    <row r="56" spans="1:9" ht="12.75">
      <c r="A56" s="173"/>
      <c r="B56" s="173"/>
      <c r="C56" s="157" t="s">
        <v>620</v>
      </c>
      <c r="D56" s="790" t="s">
        <v>219</v>
      </c>
      <c r="E56" s="791"/>
      <c r="F56" s="158">
        <f>SUM(F57:F59)</f>
        <v>4630343</v>
      </c>
      <c r="G56" s="158">
        <f>SUM(G57:G59)</f>
        <v>0</v>
      </c>
      <c r="H56" s="158">
        <f>SUM(H57:H59)</f>
        <v>0</v>
      </c>
      <c r="I56" s="169">
        <f t="shared" si="1"/>
        <v>4630343</v>
      </c>
    </row>
    <row r="57" spans="1:9" ht="12.75">
      <c r="A57" s="170"/>
      <c r="B57" s="170"/>
      <c r="C57" s="174" t="s">
        <v>2</v>
      </c>
      <c r="D57" s="175"/>
      <c r="E57" s="176" t="s">
        <v>483</v>
      </c>
      <c r="F57" s="172">
        <f>1000000-40723-500000+1553784+750000-668467-1467722-100000-130000-50000-217072+35571-165371</f>
        <v>0</v>
      </c>
      <c r="G57" s="172">
        <v>0</v>
      </c>
      <c r="H57" s="172">
        <v>0</v>
      </c>
      <c r="I57" s="169">
        <f>SUM(F57:H57)</f>
        <v>0</v>
      </c>
    </row>
    <row r="58" spans="1:9" ht="12.75">
      <c r="A58" s="170"/>
      <c r="B58" s="170"/>
      <c r="C58" s="171"/>
      <c r="D58" s="175"/>
      <c r="E58" s="176" t="s">
        <v>749</v>
      </c>
      <c r="F58" s="172">
        <f>300000+153824</f>
        <v>453824</v>
      </c>
      <c r="G58" s="172">
        <v>0</v>
      </c>
      <c r="H58" s="172">
        <v>0</v>
      </c>
      <c r="I58" s="169">
        <f t="shared" si="1"/>
        <v>453824</v>
      </c>
    </row>
    <row r="59" spans="1:9" ht="12.75">
      <c r="A59" s="170"/>
      <c r="B59" s="170"/>
      <c r="C59" s="171"/>
      <c r="D59" s="175"/>
      <c r="E59" s="176" t="s">
        <v>748</v>
      </c>
      <c r="F59" s="172">
        <f>389000+4649000-35571-825910</f>
        <v>4176519</v>
      </c>
      <c r="G59" s="172">
        <v>0</v>
      </c>
      <c r="H59" s="172">
        <v>0</v>
      </c>
      <c r="I59" s="169">
        <f t="shared" si="1"/>
        <v>4176519</v>
      </c>
    </row>
    <row r="60" spans="1:9" ht="12" customHeight="1">
      <c r="A60" s="168" t="s">
        <v>146</v>
      </c>
      <c r="B60" s="784" t="s">
        <v>381</v>
      </c>
      <c r="C60" s="785"/>
      <c r="D60" s="785"/>
      <c r="E60" s="786"/>
      <c r="F60" s="155">
        <f>44821928-2059095+3150000+500000+9000000+1707563+1398066+100000+88773+500000+242560000+3832400+17861888+6019000+200000+698500-3+540000+7620+16990+67850</f>
        <v>331011480</v>
      </c>
      <c r="G60" s="155">
        <v>500000</v>
      </c>
      <c r="H60" s="155">
        <f>685340-127000+3853622-288000</f>
        <v>4123962</v>
      </c>
      <c r="I60" s="155">
        <f>SUM(F60:H60)</f>
        <v>335635442</v>
      </c>
    </row>
    <row r="61" spans="1:9" ht="12.75">
      <c r="A61" s="168" t="s">
        <v>148</v>
      </c>
      <c r="B61" s="784" t="s">
        <v>147</v>
      </c>
      <c r="C61" s="785"/>
      <c r="D61" s="785"/>
      <c r="E61" s="786"/>
      <c r="F61" s="155">
        <f>16495909+2645132+19779919+2500000+5000000+14989072+3+1048906</f>
        <v>62458941</v>
      </c>
      <c r="G61" s="155">
        <v>0</v>
      </c>
      <c r="H61" s="155">
        <f>704850-508000</f>
        <v>196850</v>
      </c>
      <c r="I61" s="155">
        <f aca="true" t="shared" si="2" ref="I61:I71">SUM(F61:H61)</f>
        <v>62655791</v>
      </c>
    </row>
    <row r="62" spans="1:9" ht="12.75">
      <c r="A62" s="168" t="s">
        <v>150</v>
      </c>
      <c r="B62" s="784" t="s">
        <v>149</v>
      </c>
      <c r="C62" s="785"/>
      <c r="D62" s="785"/>
      <c r="E62" s="786"/>
      <c r="F62" s="155">
        <f>SUM(F63:F71)</f>
        <v>46542179</v>
      </c>
      <c r="G62" s="155">
        <f>SUM(G63:G71)</f>
        <v>0</v>
      </c>
      <c r="H62" s="155">
        <f>SUM(H63:H71)</f>
        <v>0</v>
      </c>
      <c r="I62" s="155">
        <f t="shared" si="2"/>
        <v>46542179</v>
      </c>
    </row>
    <row r="63" spans="1:9" ht="12.75" hidden="1">
      <c r="A63" s="151"/>
      <c r="B63" s="151" t="s">
        <v>221</v>
      </c>
      <c r="C63" s="783" t="s">
        <v>222</v>
      </c>
      <c r="D63" s="783"/>
      <c r="E63" s="783"/>
      <c r="F63" s="154">
        <v>0</v>
      </c>
      <c r="G63" s="154">
        <v>0</v>
      </c>
      <c r="H63" s="154">
        <v>0</v>
      </c>
      <c r="I63" s="155">
        <f t="shared" si="2"/>
        <v>0</v>
      </c>
    </row>
    <row r="64" spans="1:9" ht="12.75" hidden="1">
      <c r="A64" s="151"/>
      <c r="B64" s="151" t="s">
        <v>223</v>
      </c>
      <c r="C64" s="783" t="s">
        <v>224</v>
      </c>
      <c r="D64" s="783"/>
      <c r="E64" s="783"/>
      <c r="F64" s="154">
        <v>0</v>
      </c>
      <c r="G64" s="154">
        <v>0</v>
      </c>
      <c r="H64" s="154">
        <v>0</v>
      </c>
      <c r="I64" s="155">
        <f t="shared" si="2"/>
        <v>0</v>
      </c>
    </row>
    <row r="65" spans="1:9" ht="12.75" hidden="1">
      <c r="A65" s="151" t="s">
        <v>220</v>
      </c>
      <c r="B65" s="151" t="s">
        <v>225</v>
      </c>
      <c r="C65" s="783" t="s">
        <v>226</v>
      </c>
      <c r="D65" s="783"/>
      <c r="E65" s="783"/>
      <c r="F65" s="154">
        <v>0</v>
      </c>
      <c r="G65" s="154">
        <v>0</v>
      </c>
      <c r="H65" s="154">
        <v>0</v>
      </c>
      <c r="I65" s="155">
        <f t="shared" si="2"/>
        <v>0</v>
      </c>
    </row>
    <row r="66" spans="1:9" ht="12.75" hidden="1">
      <c r="A66" s="151"/>
      <c r="B66" s="151" t="s">
        <v>227</v>
      </c>
      <c r="C66" s="783" t="s">
        <v>228</v>
      </c>
      <c r="D66" s="783"/>
      <c r="E66" s="783"/>
      <c r="F66" s="154">
        <v>0</v>
      </c>
      <c r="G66" s="154">
        <v>0</v>
      </c>
      <c r="H66" s="154">
        <v>0</v>
      </c>
      <c r="I66" s="155">
        <f t="shared" si="2"/>
        <v>0</v>
      </c>
    </row>
    <row r="67" spans="1:9" ht="12.75" hidden="1">
      <c r="A67" s="151"/>
      <c r="B67" s="151" t="s">
        <v>229</v>
      </c>
      <c r="C67" s="783" t="s">
        <v>230</v>
      </c>
      <c r="D67" s="783"/>
      <c r="E67" s="783"/>
      <c r="F67" s="154">
        <v>0</v>
      </c>
      <c r="G67" s="154">
        <v>0</v>
      </c>
      <c r="H67" s="154">
        <v>0</v>
      </c>
      <c r="I67" s="155">
        <f t="shared" si="2"/>
        <v>0</v>
      </c>
    </row>
    <row r="68" spans="1:9" ht="12.75" hidden="1">
      <c r="A68" s="151"/>
      <c r="B68" s="151" t="s">
        <v>231</v>
      </c>
      <c r="C68" s="783" t="s">
        <v>232</v>
      </c>
      <c r="D68" s="783"/>
      <c r="E68" s="783"/>
      <c r="F68" s="154">
        <v>0</v>
      </c>
      <c r="G68" s="154">
        <v>0</v>
      </c>
      <c r="H68" s="154">
        <v>0</v>
      </c>
      <c r="I68" s="155">
        <f t="shared" si="2"/>
        <v>0</v>
      </c>
    </row>
    <row r="69" spans="1:9" ht="12.75" hidden="1">
      <c r="A69" s="151"/>
      <c r="B69" s="151" t="s">
        <v>233</v>
      </c>
      <c r="C69" s="783" t="s">
        <v>234</v>
      </c>
      <c r="D69" s="783"/>
      <c r="E69" s="783"/>
      <c r="F69" s="154">
        <v>0</v>
      </c>
      <c r="G69" s="154">
        <v>0</v>
      </c>
      <c r="H69" s="154">
        <v>0</v>
      </c>
      <c r="I69" s="155">
        <f t="shared" si="2"/>
        <v>0</v>
      </c>
    </row>
    <row r="70" spans="1:9" ht="12.75" hidden="1">
      <c r="A70" s="151"/>
      <c r="B70" s="151" t="s">
        <v>235</v>
      </c>
      <c r="C70" s="783" t="s">
        <v>622</v>
      </c>
      <c r="D70" s="783"/>
      <c r="E70" s="783"/>
      <c r="F70" s="154">
        <v>0</v>
      </c>
      <c r="G70" s="154">
        <v>0</v>
      </c>
      <c r="H70" s="154">
        <v>0</v>
      </c>
      <c r="I70" s="155">
        <f>SUM(F70:H70)</f>
        <v>0</v>
      </c>
    </row>
    <row r="71" spans="1:9" ht="12.75">
      <c r="A71" s="151"/>
      <c r="B71" s="151" t="s">
        <v>621</v>
      </c>
      <c r="C71" s="783" t="s">
        <v>747</v>
      </c>
      <c r="D71" s="783"/>
      <c r="E71" s="783"/>
      <c r="F71" s="154">
        <f>1609020+80026110-35026110+788000-904841+50000</f>
        <v>46542179</v>
      </c>
      <c r="G71" s="154">
        <v>0</v>
      </c>
      <c r="H71" s="154">
        <v>0</v>
      </c>
      <c r="I71" s="678">
        <f t="shared" si="2"/>
        <v>46542179</v>
      </c>
    </row>
    <row r="72" spans="1:9" ht="12.75">
      <c r="A72" s="168" t="s">
        <v>152</v>
      </c>
      <c r="B72" s="784" t="s">
        <v>151</v>
      </c>
      <c r="C72" s="785"/>
      <c r="D72" s="785"/>
      <c r="E72" s="786"/>
      <c r="F72" s="155">
        <f>17567323+18041236</f>
        <v>35608559</v>
      </c>
      <c r="G72" s="155">
        <v>0</v>
      </c>
      <c r="H72" s="155">
        <v>0</v>
      </c>
      <c r="I72" s="155">
        <f>SUM(F72:H72)</f>
        <v>35608559</v>
      </c>
    </row>
    <row r="73" spans="1:9" ht="12.75">
      <c r="A73" s="177"/>
      <c r="B73" s="178"/>
      <c r="C73" s="178"/>
      <c r="D73" s="178"/>
      <c r="E73" s="178"/>
      <c r="F73" s="179"/>
      <c r="G73" s="180"/>
      <c r="H73" s="180"/>
      <c r="I73" s="181"/>
    </row>
    <row r="74" spans="1:9" ht="15.75">
      <c r="A74" s="787" t="s">
        <v>236</v>
      </c>
      <c r="B74" s="788"/>
      <c r="C74" s="788"/>
      <c r="D74" s="788"/>
      <c r="E74" s="789"/>
      <c r="F74" s="182">
        <f>SUM(F7+F8+F9+F10+F23+F60+F61+F62+F72)</f>
        <v>1335557132</v>
      </c>
      <c r="G74" s="182">
        <f>SUM(G7+G8+G9+G10+G23+G60+G61+G62+G72)</f>
        <v>120830874</v>
      </c>
      <c r="H74" s="182">
        <f>SUM(H7+H8+H9+H10+H23+H60+H61+H62+H72)</f>
        <v>267394281</v>
      </c>
      <c r="I74" s="182">
        <f>SUM(I7+I8+I9+I10+I23+I60+I61+I62+I72)</f>
        <v>1723782287</v>
      </c>
    </row>
  </sheetData>
  <sheetProtection/>
  <mergeCells count="46">
    <mergeCell ref="B23:E23"/>
    <mergeCell ref="D21:E21"/>
    <mergeCell ref="D22:E22"/>
    <mergeCell ref="C16:E16"/>
    <mergeCell ref="C18:E18"/>
    <mergeCell ref="C19:E19"/>
    <mergeCell ref="C20:E20"/>
    <mergeCell ref="A1:I1"/>
    <mergeCell ref="A3:I3"/>
    <mergeCell ref="A5:E5"/>
    <mergeCell ref="B6:E6"/>
    <mergeCell ref="B7:E7"/>
    <mergeCell ref="C12:E12"/>
    <mergeCell ref="C11:E11"/>
    <mergeCell ref="D26:E26"/>
    <mergeCell ref="D27:E27"/>
    <mergeCell ref="D28:E28"/>
    <mergeCell ref="B10:E10"/>
    <mergeCell ref="B8:E8"/>
    <mergeCell ref="B9:E9"/>
    <mergeCell ref="D13:E13"/>
    <mergeCell ref="D14:E14"/>
    <mergeCell ref="C15:E15"/>
    <mergeCell ref="D25:E25"/>
    <mergeCell ref="D29:E29"/>
    <mergeCell ref="D40:E40"/>
    <mergeCell ref="D41:E41"/>
    <mergeCell ref="D42:E42"/>
    <mergeCell ref="D43:E43"/>
    <mergeCell ref="D44:E44"/>
    <mergeCell ref="B62:E62"/>
    <mergeCell ref="C63:E63"/>
    <mergeCell ref="C64:E64"/>
    <mergeCell ref="B61:E61"/>
    <mergeCell ref="D45:E45"/>
    <mergeCell ref="D56:E56"/>
    <mergeCell ref="B60:E60"/>
    <mergeCell ref="C71:E71"/>
    <mergeCell ref="B72:E72"/>
    <mergeCell ref="A74:E74"/>
    <mergeCell ref="C65:E65"/>
    <mergeCell ref="C66:E66"/>
    <mergeCell ref="C67:E67"/>
    <mergeCell ref="C68:E68"/>
    <mergeCell ref="C69:E69"/>
    <mergeCell ref="C70:E70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62"/>
  <sheetViews>
    <sheetView zoomScalePageLayoutView="0" workbookViewId="0" topLeftCell="A1">
      <selection activeCell="A2" sqref="A2:I55"/>
    </sheetView>
  </sheetViews>
  <sheetFormatPr defaultColWidth="9.00390625" defaultRowHeight="12.75"/>
  <cols>
    <col min="1" max="1" width="4.125" style="85" bestFit="1" customWidth="1"/>
    <col min="2" max="2" width="55.125" style="36" bestFit="1" customWidth="1"/>
    <col min="3" max="3" width="12.25390625" style="36" bestFit="1" customWidth="1"/>
    <col min="4" max="4" width="12.00390625" style="36" bestFit="1" customWidth="1"/>
    <col min="5" max="5" width="13.375" style="36" bestFit="1" customWidth="1"/>
    <col min="6" max="6" width="53.875" style="36" bestFit="1" customWidth="1"/>
    <col min="7" max="8" width="13.25390625" style="36" bestFit="1" customWidth="1"/>
    <col min="9" max="9" width="13.25390625" style="36" customWidth="1"/>
    <col min="10" max="16384" width="9.125" style="36" customWidth="1"/>
  </cols>
  <sheetData>
    <row r="1" spans="6:10" ht="12.75" customHeight="1">
      <c r="F1" s="811" t="s">
        <v>1064</v>
      </c>
      <c r="G1" s="812"/>
      <c r="H1" s="812"/>
      <c r="I1" s="812"/>
      <c r="J1" s="77"/>
    </row>
    <row r="2" spans="2:9" ht="15.75">
      <c r="B2" s="813" t="s">
        <v>750</v>
      </c>
      <c r="C2" s="813"/>
      <c r="D2" s="813"/>
      <c r="E2" s="813"/>
      <c r="F2" s="813"/>
      <c r="G2" s="813"/>
      <c r="H2" s="813"/>
      <c r="I2" s="813"/>
    </row>
    <row r="3" ht="8.25" customHeight="1"/>
    <row r="4" spans="1:9" s="37" customFormat="1" ht="15" customHeight="1">
      <c r="A4" s="815" t="s">
        <v>452</v>
      </c>
      <c r="B4" s="814" t="s">
        <v>458</v>
      </c>
      <c r="C4" s="814"/>
      <c r="D4" s="814"/>
      <c r="E4" s="814"/>
      <c r="F4" s="814" t="s">
        <v>376</v>
      </c>
      <c r="G4" s="814"/>
      <c r="H4" s="814"/>
      <c r="I4" s="814"/>
    </row>
    <row r="5" spans="1:9" s="40" customFormat="1" ht="14.25">
      <c r="A5" s="815"/>
      <c r="B5" s="38" t="s">
        <v>375</v>
      </c>
      <c r="C5" s="39" t="s">
        <v>367</v>
      </c>
      <c r="D5" s="39" t="s">
        <v>366</v>
      </c>
      <c r="E5" s="39" t="s">
        <v>440</v>
      </c>
      <c r="F5" s="38" t="s">
        <v>375</v>
      </c>
      <c r="G5" s="39" t="s">
        <v>367</v>
      </c>
      <c r="H5" s="39" t="s">
        <v>366</v>
      </c>
      <c r="I5" s="39" t="s">
        <v>440</v>
      </c>
    </row>
    <row r="6" spans="1:9" s="84" customFormat="1" ht="12">
      <c r="A6" s="815"/>
      <c r="B6" s="83" t="s">
        <v>446</v>
      </c>
      <c r="C6" s="83" t="s">
        <v>447</v>
      </c>
      <c r="D6" s="83" t="s">
        <v>448</v>
      </c>
      <c r="E6" s="83" t="s">
        <v>449</v>
      </c>
      <c r="F6" s="83" t="s">
        <v>450</v>
      </c>
      <c r="G6" s="83" t="s">
        <v>451</v>
      </c>
      <c r="H6" s="83" t="s">
        <v>453</v>
      </c>
      <c r="I6" s="83" t="s">
        <v>454</v>
      </c>
    </row>
    <row r="7" spans="1:9" s="56" customFormat="1" ht="14.25">
      <c r="A7" s="83">
        <v>1</v>
      </c>
      <c r="B7" s="55" t="s">
        <v>552</v>
      </c>
      <c r="C7" s="73">
        <f>SUM(C8)</f>
        <v>1121403969</v>
      </c>
      <c r="D7" s="73">
        <f>SUM(D33,D8)</f>
        <v>471826206</v>
      </c>
      <c r="E7" s="73">
        <f aca="true" t="shared" si="0" ref="E7:E31">SUM(C7:D7)</f>
        <v>1593230175</v>
      </c>
      <c r="F7" s="55" t="s">
        <v>553</v>
      </c>
      <c r="G7" s="73">
        <f>SUM(G8,G33)</f>
        <v>1239163797</v>
      </c>
      <c r="H7" s="73">
        <f>SUM(H8,H33)</f>
        <v>449009931</v>
      </c>
      <c r="I7" s="73">
        <f aca="true" t="shared" si="1" ref="I7:I12">SUM(G7:H7)</f>
        <v>1688173728</v>
      </c>
    </row>
    <row r="8" spans="1:9" s="65" customFormat="1" ht="12.75">
      <c r="A8" s="86">
        <v>2</v>
      </c>
      <c r="B8" s="62" t="s">
        <v>476</v>
      </c>
      <c r="C8" s="63">
        <f>SUM(C29+C18+C14+C9)</f>
        <v>1121403969</v>
      </c>
      <c r="D8" s="63">
        <f>SUM(D29+D18+D14+D9)</f>
        <v>0</v>
      </c>
      <c r="E8" s="63">
        <f t="shared" si="0"/>
        <v>1121403969</v>
      </c>
      <c r="F8" s="64" t="s">
        <v>480</v>
      </c>
      <c r="G8" s="63">
        <f>SUM(G9:G13)</f>
        <v>1239163797</v>
      </c>
      <c r="H8" s="63">
        <f>SUM(H9:H13)</f>
        <v>4176519</v>
      </c>
      <c r="I8" s="63">
        <f t="shared" si="1"/>
        <v>1243340316</v>
      </c>
    </row>
    <row r="9" spans="1:9" s="43" customFormat="1" ht="12.75">
      <c r="A9" s="86">
        <v>3</v>
      </c>
      <c r="B9" s="71" t="s">
        <v>15</v>
      </c>
      <c r="C9" s="52">
        <f>SUM(C10:C13)</f>
        <v>879868624</v>
      </c>
      <c r="D9" s="52">
        <f>SUM(D10:D13)</f>
        <v>0</v>
      </c>
      <c r="E9" s="52">
        <f t="shared" si="0"/>
        <v>879868624</v>
      </c>
      <c r="F9" s="72" t="s">
        <v>481</v>
      </c>
      <c r="G9" s="52">
        <f>325122848-2363520+2363520-146050-511475+110000+169300+13200+89907417+30882431+492700+719400+135246+7051200+1250944-1250944-1094000-1300000-32740+483000+478125+30000-115000+2020317+10646000-5800-22993+8879-991502-6900-885000-24000-82042-9210000</f>
        <v>453842561</v>
      </c>
      <c r="H9" s="52">
        <v>0</v>
      </c>
      <c r="I9" s="52">
        <f t="shared" si="1"/>
        <v>453842561</v>
      </c>
    </row>
    <row r="10" spans="1:9" s="43" customFormat="1" ht="12.75">
      <c r="A10" s="83">
        <v>4</v>
      </c>
      <c r="B10" s="49" t="s">
        <v>16</v>
      </c>
      <c r="C10" s="54">
        <f>486768355+1835612+6949788+1614100+1000000+4556666+5138000+18133038+767984+9413647-38760+2957076+40000000+639001-272982-100091-44774+2764334</f>
        <v>582080994</v>
      </c>
      <c r="D10" s="54">
        <v>0</v>
      </c>
      <c r="E10" s="54">
        <f t="shared" si="0"/>
        <v>582080994</v>
      </c>
      <c r="F10" s="72" t="s">
        <v>763</v>
      </c>
      <c r="G10" s="52">
        <f>74426575-519974+519974-32131-112525+430000+24200+37246+2904+9889529+3396993+108394+158268+29754+1898910+275208-275208-567580+32740+106260+105190+6000-266000+444470+2342120-1276+68575+219691-5059-1518-50000-5280-18049-2520000</f>
        <v>90148401</v>
      </c>
      <c r="H10" s="52">
        <v>0</v>
      </c>
      <c r="I10" s="52">
        <f t="shared" si="1"/>
        <v>90148401</v>
      </c>
    </row>
    <row r="11" spans="1:9" s="43" customFormat="1" ht="12.75">
      <c r="A11" s="86">
        <v>5</v>
      </c>
      <c r="B11" s="49" t="s">
        <v>761</v>
      </c>
      <c r="C11" s="54">
        <v>0</v>
      </c>
      <c r="D11" s="54">
        <v>0</v>
      </c>
      <c r="E11" s="54">
        <f t="shared" si="0"/>
        <v>0</v>
      </c>
      <c r="F11" s="72" t="s">
        <v>39</v>
      </c>
      <c r="G11" s="52">
        <f>297365778-2000000-947010+3850000+500000+178181-1000000-1500000-500000+624000+6762752+1479371+22851+788800+17100+1204560+1176540+214270+608965+379000+255887+237516+8426434+6312014+1686276+1143687+20948+100000+48289-88773+146050+24000+978201+7185532+42000-24000+167805+24300+1867580+34000+100000-798500+217072+1594595+35000+438525+861090+23158258+222286+9659+62168-7620-16990-67850+28052-8879+991502+676541-676541-5201448-12581829</f>
        <v>346847995</v>
      </c>
      <c r="H11" s="52">
        <v>0</v>
      </c>
      <c r="I11" s="52">
        <f t="shared" si="1"/>
        <v>346847995</v>
      </c>
    </row>
    <row r="12" spans="1:9" s="43" customFormat="1" ht="12.75">
      <c r="A12" s="86">
        <v>6</v>
      </c>
      <c r="B12" s="49" t="s">
        <v>17</v>
      </c>
      <c r="C12" s="54">
        <f>93495106+4438250+3850000+108223380+40591438+750000+165000+978201+16135642-7951337+589260+583315+683558+1900000+35000+36146378-4379345</f>
        <v>296233846</v>
      </c>
      <c r="D12" s="54">
        <v>0</v>
      </c>
      <c r="E12" s="54">
        <f t="shared" si="0"/>
        <v>296233846</v>
      </c>
      <c r="F12" s="72" t="s">
        <v>40</v>
      </c>
      <c r="G12" s="52">
        <f>16291020-4379345</f>
        <v>11911675</v>
      </c>
      <c r="H12" s="52">
        <v>0</v>
      </c>
      <c r="I12" s="52">
        <f t="shared" si="1"/>
        <v>11911675</v>
      </c>
    </row>
    <row r="13" spans="1:9" s="43" customFormat="1" ht="12.75">
      <c r="A13" s="86">
        <v>7</v>
      </c>
      <c r="B13" s="49" t="s">
        <v>843</v>
      </c>
      <c r="C13" s="54">
        <f>1486017+67767</f>
        <v>1553784</v>
      </c>
      <c r="D13" s="54">
        <v>0</v>
      </c>
      <c r="E13" s="54">
        <f t="shared" si="0"/>
        <v>1553784</v>
      </c>
      <c r="F13" s="76" t="s">
        <v>43</v>
      </c>
      <c r="G13" s="52">
        <f>SUM(G14:G18)</f>
        <v>336413165</v>
      </c>
      <c r="H13" s="52">
        <f>SUM(H14:H18)</f>
        <v>4176519</v>
      </c>
      <c r="I13" s="52">
        <f aca="true" t="shared" si="2" ref="I13:I18">SUM(G13:H13)</f>
        <v>340589684</v>
      </c>
    </row>
    <row r="14" spans="1:9" s="43" customFormat="1" ht="12.75">
      <c r="A14" s="83">
        <v>8</v>
      </c>
      <c r="B14" s="71" t="s">
        <v>21</v>
      </c>
      <c r="C14" s="52">
        <f>SUM(C15:C17)</f>
        <v>182010000</v>
      </c>
      <c r="D14" s="52">
        <f>SUM(D15:D17)</f>
        <v>0</v>
      </c>
      <c r="E14" s="52">
        <f t="shared" si="0"/>
        <v>182010000</v>
      </c>
      <c r="F14" s="51" t="s">
        <v>41</v>
      </c>
      <c r="G14" s="54">
        <v>40723</v>
      </c>
      <c r="H14" s="54">
        <v>0</v>
      </c>
      <c r="I14" s="54">
        <f t="shared" si="2"/>
        <v>40723</v>
      </c>
    </row>
    <row r="15" spans="1:9" s="44" customFormat="1" ht="12.75">
      <c r="A15" s="86">
        <v>9</v>
      </c>
      <c r="B15" s="49" t="s">
        <v>132</v>
      </c>
      <c r="C15" s="54">
        <f>26700000+135800000+50000-50000</f>
        <v>162500000</v>
      </c>
      <c r="D15" s="54">
        <v>0</v>
      </c>
      <c r="E15" s="54">
        <f t="shared" si="0"/>
        <v>162500000</v>
      </c>
      <c r="F15" s="51" t="s">
        <v>762</v>
      </c>
      <c r="G15" s="54">
        <v>9314000</v>
      </c>
      <c r="H15" s="54">
        <v>0</v>
      </c>
      <c r="I15" s="54">
        <f t="shared" si="2"/>
        <v>9314000</v>
      </c>
    </row>
    <row r="16" spans="1:9" s="44" customFormat="1" ht="12.75">
      <c r="A16" s="86">
        <v>10</v>
      </c>
      <c r="B16" s="50" t="s">
        <v>51</v>
      </c>
      <c r="C16" s="54">
        <v>19200000</v>
      </c>
      <c r="D16" s="54">
        <v>0</v>
      </c>
      <c r="E16" s="54">
        <f t="shared" si="0"/>
        <v>19200000</v>
      </c>
      <c r="F16" s="51" t="s">
        <v>42</v>
      </c>
      <c r="G16" s="54">
        <f>222919392-8000000-1200000+35026110+782000+854000-1607000-1500000-788000+4000000-2645132+904841+6949788+3000000+1094000+2000000-2000000+381000</f>
        <v>260170999</v>
      </c>
      <c r="H16" s="54">
        <v>0</v>
      </c>
      <c r="I16" s="54">
        <f t="shared" si="2"/>
        <v>260170999</v>
      </c>
    </row>
    <row r="17" spans="1:9" s="44" customFormat="1" ht="12.75">
      <c r="A17" s="83">
        <v>11</v>
      </c>
      <c r="B17" s="49" t="s">
        <v>22</v>
      </c>
      <c r="C17" s="54">
        <v>310000</v>
      </c>
      <c r="D17" s="54">
        <v>0</v>
      </c>
      <c r="E17" s="54">
        <f t="shared" si="0"/>
        <v>310000</v>
      </c>
      <c r="F17" s="51" t="s">
        <v>44</v>
      </c>
      <c r="G17" s="54">
        <f>2300000-40723-500000-1000000+6865581+30016102-6762752+153824-102829-50995-5512457-430000-379000-4649000-255887-18738763+1553784+750000-668467-1467722-100000-130000-50000-217072+35571-165371</f>
        <v>453824</v>
      </c>
      <c r="H17" s="54">
        <f>3550000+389000-680000+4649000-2870000-35571-825910</f>
        <v>4176519</v>
      </c>
      <c r="I17" s="54">
        <f t="shared" si="2"/>
        <v>4630343</v>
      </c>
    </row>
    <row r="18" spans="1:9" s="44" customFormat="1" ht="12.75">
      <c r="A18" s="86">
        <v>12</v>
      </c>
      <c r="B18" s="71" t="s">
        <v>23</v>
      </c>
      <c r="C18" s="52">
        <f>SUM(C19:C28)</f>
        <v>59525345</v>
      </c>
      <c r="D18" s="52">
        <f>SUM(D19:D28)</f>
        <v>0</v>
      </c>
      <c r="E18" s="52">
        <f t="shared" si="0"/>
        <v>59525345</v>
      </c>
      <c r="F18" s="51" t="s">
        <v>842</v>
      </c>
      <c r="G18" s="54">
        <f>25603463+1419433+67767+1486017+33742913+4114026</f>
        <v>66433619</v>
      </c>
      <c r="H18" s="52">
        <v>0</v>
      </c>
      <c r="I18" s="54">
        <f t="shared" si="2"/>
        <v>66433619</v>
      </c>
    </row>
    <row r="19" spans="1:9" s="43" customFormat="1" ht="12.75">
      <c r="A19" s="86">
        <v>13</v>
      </c>
      <c r="B19" s="49" t="s">
        <v>623</v>
      </c>
      <c r="C19" s="54">
        <f>7900000+1850953+222286+360093</f>
        <v>10333332</v>
      </c>
      <c r="D19" s="54">
        <v>0</v>
      </c>
      <c r="E19" s="54">
        <f t="shared" si="0"/>
        <v>10333332</v>
      </c>
      <c r="F19" s="51"/>
      <c r="G19" s="54"/>
      <c r="H19" s="52"/>
      <c r="I19" s="54"/>
    </row>
    <row r="20" spans="1:9" s="43" customFormat="1" ht="12.75">
      <c r="A20" s="83">
        <v>14</v>
      </c>
      <c r="B20" s="49" t="s">
        <v>24</v>
      </c>
      <c r="C20" s="54">
        <f>18796705+4800000+67100+90000+77805+70000+311500</f>
        <v>24213110</v>
      </c>
      <c r="D20" s="54">
        <v>0</v>
      </c>
      <c r="E20" s="54">
        <f t="shared" si="0"/>
        <v>24213110</v>
      </c>
      <c r="F20" s="51"/>
      <c r="G20" s="54"/>
      <c r="H20" s="54"/>
      <c r="I20" s="54"/>
    </row>
    <row r="21" spans="1:9" s="43" customFormat="1" ht="12.75">
      <c r="A21" s="86">
        <v>15</v>
      </c>
      <c r="B21" s="49" t="s">
        <v>25</v>
      </c>
      <c r="C21" s="54">
        <f>7015322+32122+20948+80928</f>
        <v>7149320</v>
      </c>
      <c r="D21" s="54">
        <v>0</v>
      </c>
      <c r="E21" s="54">
        <f t="shared" si="0"/>
        <v>7149320</v>
      </c>
      <c r="F21" s="51"/>
      <c r="G21" s="54"/>
      <c r="H21" s="54"/>
      <c r="I21" s="54"/>
    </row>
    <row r="22" spans="1:9" s="43" customFormat="1" ht="12.75">
      <c r="A22" s="86">
        <v>16</v>
      </c>
      <c r="B22" s="49" t="s">
        <v>574</v>
      </c>
      <c r="C22" s="54">
        <v>639000</v>
      </c>
      <c r="D22" s="54">
        <v>0</v>
      </c>
      <c r="E22" s="54">
        <f t="shared" si="0"/>
        <v>639000</v>
      </c>
      <c r="F22" s="51"/>
      <c r="G22" s="54"/>
      <c r="H22" s="54"/>
      <c r="I22" s="54"/>
    </row>
    <row r="23" spans="1:9" s="43" customFormat="1" ht="12.75">
      <c r="A23" s="83">
        <v>17</v>
      </c>
      <c r="B23" s="49" t="s">
        <v>26</v>
      </c>
      <c r="C23" s="54">
        <f>5289800+97455</f>
        <v>5387255</v>
      </c>
      <c r="D23" s="54">
        <v>0</v>
      </c>
      <c r="E23" s="54">
        <f t="shared" si="0"/>
        <v>5387255</v>
      </c>
      <c r="F23" s="51"/>
      <c r="G23" s="54"/>
      <c r="H23" s="54"/>
      <c r="I23" s="54"/>
    </row>
    <row r="24" spans="1:9" s="43" customFormat="1" ht="12.75">
      <c r="A24" s="86">
        <v>18</v>
      </c>
      <c r="B24" s="49" t="s">
        <v>27</v>
      </c>
      <c r="C24" s="54">
        <f>5888578+1296000+451243+19072+24300+1594595+26313</f>
        <v>9300101</v>
      </c>
      <c r="D24" s="54">
        <v>0</v>
      </c>
      <c r="E24" s="54">
        <f t="shared" si="0"/>
        <v>9300101</v>
      </c>
      <c r="F24" s="42"/>
      <c r="G24" s="54"/>
      <c r="H24" s="53"/>
      <c r="I24" s="53"/>
    </row>
    <row r="25" spans="1:9" s="43" customFormat="1" ht="12.75">
      <c r="A25" s="86">
        <v>19</v>
      </c>
      <c r="B25" s="49" t="s">
        <v>328</v>
      </c>
      <c r="C25" s="54">
        <f>222996+1299200</f>
        <v>1522196</v>
      </c>
      <c r="D25" s="54">
        <v>0</v>
      </c>
      <c r="E25" s="54">
        <f t="shared" si="0"/>
        <v>1522196</v>
      </c>
      <c r="F25" s="42"/>
      <c r="G25" s="54"/>
      <c r="H25" s="53"/>
      <c r="I25" s="53"/>
    </row>
    <row r="26" spans="1:9" s="43" customFormat="1" ht="12.75">
      <c r="A26" s="86">
        <v>20</v>
      </c>
      <c r="B26" s="49" t="s">
        <v>799</v>
      </c>
      <c r="C26" s="54">
        <f>6000</f>
        <v>6000</v>
      </c>
      <c r="D26" s="54">
        <v>0</v>
      </c>
      <c r="E26" s="54">
        <f t="shared" si="0"/>
        <v>6000</v>
      </c>
      <c r="F26" s="42"/>
      <c r="G26" s="54"/>
      <c r="H26" s="53"/>
      <c r="I26" s="53"/>
    </row>
    <row r="27" spans="1:9" s="43" customFormat="1" ht="12.75">
      <c r="A27" s="86">
        <v>21</v>
      </c>
      <c r="B27" s="49" t="s">
        <v>887</v>
      </c>
      <c r="C27" s="54">
        <v>42000</v>
      </c>
      <c r="D27" s="54">
        <v>0</v>
      </c>
      <c r="E27" s="54">
        <f>SUM(C27:D27)</f>
        <v>42000</v>
      </c>
      <c r="F27" s="42"/>
      <c r="G27" s="54"/>
      <c r="H27" s="53"/>
      <c r="I27" s="53"/>
    </row>
    <row r="28" spans="1:9" s="41" customFormat="1" ht="12.75">
      <c r="A28" s="83">
        <v>22</v>
      </c>
      <c r="B28" s="49" t="s">
        <v>888</v>
      </c>
      <c r="C28" s="54">
        <f>918587+14444</f>
        <v>933031</v>
      </c>
      <c r="D28" s="54">
        <v>0</v>
      </c>
      <c r="E28" s="54">
        <f t="shared" si="0"/>
        <v>933031</v>
      </c>
      <c r="F28" s="42"/>
      <c r="G28" s="53"/>
      <c r="H28" s="53"/>
      <c r="I28" s="53"/>
    </row>
    <row r="29" spans="1:9" s="41" customFormat="1" ht="12.75">
      <c r="A29" s="86">
        <v>23</v>
      </c>
      <c r="B29" s="71" t="s">
        <v>33</v>
      </c>
      <c r="C29" s="52">
        <f>SUM(C30:C31)</f>
        <v>0</v>
      </c>
      <c r="D29" s="52">
        <v>0</v>
      </c>
      <c r="E29" s="52">
        <f t="shared" si="0"/>
        <v>0</v>
      </c>
      <c r="F29" s="42"/>
      <c r="G29" s="53"/>
      <c r="H29" s="53"/>
      <c r="I29" s="53"/>
    </row>
    <row r="30" spans="1:9" s="41" customFormat="1" ht="12.75">
      <c r="A30" s="86">
        <v>24</v>
      </c>
      <c r="B30" s="49" t="s">
        <v>34</v>
      </c>
      <c r="C30" s="54">
        <v>0</v>
      </c>
      <c r="D30" s="54">
        <v>0</v>
      </c>
      <c r="E30" s="54">
        <f t="shared" si="0"/>
        <v>0</v>
      </c>
      <c r="F30" s="42"/>
      <c r="G30" s="53"/>
      <c r="H30" s="53"/>
      <c r="I30" s="53"/>
    </row>
    <row r="31" spans="1:9" s="41" customFormat="1" ht="12.75">
      <c r="A31" s="83">
        <v>25</v>
      </c>
      <c r="B31" s="49" t="s">
        <v>35</v>
      </c>
      <c r="C31" s="54">
        <v>0</v>
      </c>
      <c r="D31" s="54">
        <v>0</v>
      </c>
      <c r="E31" s="54">
        <f t="shared" si="0"/>
        <v>0</v>
      </c>
      <c r="F31" s="42"/>
      <c r="G31" s="53"/>
      <c r="H31" s="53"/>
      <c r="I31" s="53"/>
    </row>
    <row r="32" spans="1:9" s="41" customFormat="1" ht="12.75">
      <c r="A32" s="86">
        <v>26</v>
      </c>
      <c r="B32" s="49"/>
      <c r="C32" s="54"/>
      <c r="D32" s="54"/>
      <c r="E32" s="54"/>
      <c r="F32" s="42"/>
      <c r="G32" s="53"/>
      <c r="H32" s="53"/>
      <c r="I32" s="53"/>
    </row>
    <row r="33" spans="1:9" s="65" customFormat="1" ht="12.75">
      <c r="A33" s="86">
        <v>27</v>
      </c>
      <c r="B33" s="66" t="s">
        <v>479</v>
      </c>
      <c r="C33" s="63">
        <f>SUM(C42+C37+C34)</f>
        <v>0</v>
      </c>
      <c r="D33" s="63">
        <f>SUM(D42+D37+D34)</f>
        <v>471826206</v>
      </c>
      <c r="E33" s="63">
        <f>SUM(D33:D33)</f>
        <v>471826206</v>
      </c>
      <c r="F33" s="64" t="s">
        <v>362</v>
      </c>
      <c r="G33" s="63">
        <f>SUM(G34:G36)</f>
        <v>0</v>
      </c>
      <c r="H33" s="63">
        <f>SUM(H34:H36)</f>
        <v>444833412</v>
      </c>
      <c r="I33" s="63">
        <f aca="true" t="shared" si="3" ref="I33:I41">SUM(G33:H33)</f>
        <v>444833412</v>
      </c>
    </row>
    <row r="34" spans="1:9" s="41" customFormat="1" ht="12.75">
      <c r="A34" s="83">
        <v>28</v>
      </c>
      <c r="B34" s="71" t="s">
        <v>18</v>
      </c>
      <c r="C34" s="52">
        <f>SUM(C35:C36)</f>
        <v>0</v>
      </c>
      <c r="D34" s="52">
        <f>SUM(D35:D36)</f>
        <v>331651530</v>
      </c>
      <c r="E34" s="52">
        <f>SUM(D34:D34)</f>
        <v>331651530</v>
      </c>
      <c r="F34" s="72" t="s">
        <v>45</v>
      </c>
      <c r="G34" s="52">
        <v>0</v>
      </c>
      <c r="H34" s="52">
        <f>46007268-2059095-127000+3150000+500000+9000000+1707563+1398066+100000+88773+500000+242560000+3832400+17861888+6019000+200000+698500-3+3853622+540000+7620+16990+67850-288000</f>
        <v>335635442</v>
      </c>
      <c r="I34" s="52">
        <f t="shared" si="3"/>
        <v>335635442</v>
      </c>
    </row>
    <row r="35" spans="1:9" s="41" customFormat="1" ht="12.75">
      <c r="A35" s="86">
        <v>29</v>
      </c>
      <c r="B35" s="49" t="s">
        <v>19</v>
      </c>
      <c r="C35" s="54">
        <v>0</v>
      </c>
      <c r="D35" s="54">
        <v>14989072</v>
      </c>
      <c r="E35" s="54">
        <f aca="true" t="shared" si="4" ref="E35:E44">SUM(D35:D35)</f>
        <v>14989072</v>
      </c>
      <c r="F35" s="72" t="s">
        <v>46</v>
      </c>
      <c r="G35" s="52">
        <v>0</v>
      </c>
      <c r="H35" s="52">
        <f>17200759-508000+2645132+19779919+2500000+5000000+14989072+3+1048906</f>
        <v>62655791</v>
      </c>
      <c r="I35" s="52">
        <f t="shared" si="3"/>
        <v>62655791</v>
      </c>
    </row>
    <row r="36" spans="1:9" s="41" customFormat="1" ht="12.75">
      <c r="A36" s="86">
        <v>30</v>
      </c>
      <c r="B36" s="49" t="s">
        <v>20</v>
      </c>
      <c r="C36" s="54">
        <v>0</v>
      </c>
      <c r="D36" s="54">
        <f>3150000+9000000+1707563+1398066+242560000+19779919+2500000+3832400+17861888+5000000+6019000+3853622</f>
        <v>316662458</v>
      </c>
      <c r="E36" s="54">
        <f t="shared" si="4"/>
        <v>316662458</v>
      </c>
      <c r="F36" s="72" t="s">
        <v>47</v>
      </c>
      <c r="G36" s="52">
        <f>SUM(G37:G41)</f>
        <v>0</v>
      </c>
      <c r="H36" s="52">
        <f>SUM(H37:H41)</f>
        <v>46542179</v>
      </c>
      <c r="I36" s="52">
        <f t="shared" si="3"/>
        <v>46542179</v>
      </c>
    </row>
    <row r="37" spans="1:9" s="41" customFormat="1" ht="12.75">
      <c r="A37" s="83">
        <v>31</v>
      </c>
      <c r="B37" s="71" t="s">
        <v>28</v>
      </c>
      <c r="C37" s="52">
        <f>SUM(C38:C41)</f>
        <v>0</v>
      </c>
      <c r="D37" s="52">
        <f>SUM(D38:D41)</f>
        <v>136434676</v>
      </c>
      <c r="E37" s="52">
        <f t="shared" si="4"/>
        <v>136434676</v>
      </c>
      <c r="F37" s="51" t="s">
        <v>48</v>
      </c>
      <c r="G37" s="54">
        <v>0</v>
      </c>
      <c r="H37" s="54">
        <v>0</v>
      </c>
      <c r="I37" s="54">
        <f t="shared" si="3"/>
        <v>0</v>
      </c>
    </row>
    <row r="38" spans="1:9" s="41" customFormat="1" ht="12.75">
      <c r="A38" s="86">
        <v>32</v>
      </c>
      <c r="B38" s="49" t="s">
        <v>29</v>
      </c>
      <c r="C38" s="54">
        <v>0</v>
      </c>
      <c r="D38" s="54">
        <v>0</v>
      </c>
      <c r="E38" s="54">
        <f t="shared" si="4"/>
        <v>0</v>
      </c>
      <c r="F38" s="51" t="s">
        <v>49</v>
      </c>
      <c r="G38" s="54">
        <v>0</v>
      </c>
      <c r="H38" s="54">
        <v>0</v>
      </c>
      <c r="I38" s="54">
        <f t="shared" si="3"/>
        <v>0</v>
      </c>
    </row>
    <row r="39" spans="1:9" s="43" customFormat="1" ht="12.75">
      <c r="A39" s="86">
        <v>33</v>
      </c>
      <c r="B39" s="49" t="s">
        <v>30</v>
      </c>
      <c r="C39" s="54">
        <f>SUM(C40:C41)</f>
        <v>0</v>
      </c>
      <c r="D39" s="54">
        <f>1311000+286688375-44651334-20303278-30534250+9314000+500000+7102216-1172953-1614100-500000-4556666-5138000-10181701-767984+33742913-9374887+3948655-40000000-1900000-366019-2764334-6447948-25899029</f>
        <v>136434676</v>
      </c>
      <c r="E39" s="54">
        <f t="shared" si="4"/>
        <v>136434676</v>
      </c>
      <c r="F39" s="51" t="s">
        <v>50</v>
      </c>
      <c r="G39" s="54">
        <v>0</v>
      </c>
      <c r="H39" s="54">
        <v>0</v>
      </c>
      <c r="I39" s="54">
        <f t="shared" si="3"/>
        <v>0</v>
      </c>
    </row>
    <row r="40" spans="1:9" s="43" customFormat="1" ht="12.75">
      <c r="A40" s="83">
        <v>34</v>
      </c>
      <c r="B40" s="49" t="s">
        <v>31</v>
      </c>
      <c r="C40" s="54">
        <v>0</v>
      </c>
      <c r="D40" s="54">
        <v>0</v>
      </c>
      <c r="E40" s="54">
        <f t="shared" si="4"/>
        <v>0</v>
      </c>
      <c r="F40" s="51" t="s">
        <v>52</v>
      </c>
      <c r="G40" s="54">
        <v>0</v>
      </c>
      <c r="H40" s="54">
        <v>0</v>
      </c>
      <c r="I40" s="54">
        <f t="shared" si="3"/>
        <v>0</v>
      </c>
    </row>
    <row r="41" spans="1:9" s="45" customFormat="1" ht="13.5">
      <c r="A41" s="86">
        <v>35</v>
      </c>
      <c r="B41" s="49" t="s">
        <v>32</v>
      </c>
      <c r="C41" s="54">
        <v>0</v>
      </c>
      <c r="D41" s="54">
        <v>0</v>
      </c>
      <c r="E41" s="54">
        <f t="shared" si="4"/>
        <v>0</v>
      </c>
      <c r="F41" s="51" t="s">
        <v>53</v>
      </c>
      <c r="G41" s="54">
        <v>0</v>
      </c>
      <c r="H41" s="54">
        <f>81635130-35026110+788000-904841+50000</f>
        <v>46542179</v>
      </c>
      <c r="I41" s="54">
        <f t="shared" si="3"/>
        <v>46542179</v>
      </c>
    </row>
    <row r="42" spans="1:9" s="45" customFormat="1" ht="13.5">
      <c r="A42" s="86">
        <v>36</v>
      </c>
      <c r="B42" s="71" t="s">
        <v>36</v>
      </c>
      <c r="C42" s="52">
        <f>SUM(C43:C44)</f>
        <v>0</v>
      </c>
      <c r="D42" s="52">
        <f>SUM(D43:D44)</f>
        <v>3740000</v>
      </c>
      <c r="E42" s="52">
        <f t="shared" si="4"/>
        <v>3740000</v>
      </c>
      <c r="F42" s="51"/>
      <c r="G42" s="54"/>
      <c r="H42" s="54"/>
      <c r="I42" s="54"/>
    </row>
    <row r="43" spans="1:9" s="45" customFormat="1" ht="13.5">
      <c r="A43" s="83">
        <v>37</v>
      </c>
      <c r="B43" s="49" t="s">
        <v>754</v>
      </c>
      <c r="C43" s="54">
        <v>0</v>
      </c>
      <c r="D43" s="54">
        <v>0</v>
      </c>
      <c r="E43" s="54">
        <f t="shared" si="4"/>
        <v>0</v>
      </c>
      <c r="F43" s="46"/>
      <c r="G43" s="54"/>
      <c r="H43" s="54"/>
      <c r="I43" s="54"/>
    </row>
    <row r="44" spans="1:9" s="45" customFormat="1" ht="13.5">
      <c r="A44" s="86">
        <v>38</v>
      </c>
      <c r="B44" s="49" t="s">
        <v>753</v>
      </c>
      <c r="C44" s="54">
        <v>0</v>
      </c>
      <c r="D44" s="54">
        <f>3000000+200000+540000</f>
        <v>3740000</v>
      </c>
      <c r="E44" s="54">
        <f t="shared" si="4"/>
        <v>3740000</v>
      </c>
      <c r="F44" s="46"/>
      <c r="G44" s="54"/>
      <c r="H44" s="54"/>
      <c r="I44" s="54"/>
    </row>
    <row r="45" spans="1:9" s="47" customFormat="1" ht="6" customHeight="1">
      <c r="A45" s="816"/>
      <c r="B45" s="817"/>
      <c r="C45" s="817"/>
      <c r="D45" s="817"/>
      <c r="E45" s="817"/>
      <c r="F45" s="817"/>
      <c r="G45" s="817"/>
      <c r="H45" s="817"/>
      <c r="I45" s="818"/>
    </row>
    <row r="46" spans="1:9" s="47" customFormat="1" ht="15">
      <c r="A46" s="86">
        <v>39</v>
      </c>
      <c r="B46" s="819" t="s">
        <v>554</v>
      </c>
      <c r="C46" s="820"/>
      <c r="D46" s="820"/>
      <c r="E46" s="820"/>
      <c r="F46" s="820"/>
      <c r="G46" s="134">
        <f>C7-G7</f>
        <v>-117759828</v>
      </c>
      <c r="H46" s="134">
        <f>D7-H7</f>
        <v>22816275</v>
      </c>
      <c r="I46" s="134">
        <f>SUM(G46:H46)</f>
        <v>-94943553</v>
      </c>
    </row>
    <row r="47" spans="1:9" s="47" customFormat="1" ht="6" customHeight="1">
      <c r="A47" s="808"/>
      <c r="B47" s="809"/>
      <c r="C47" s="809"/>
      <c r="D47" s="809"/>
      <c r="E47" s="809"/>
      <c r="F47" s="809"/>
      <c r="G47" s="809"/>
      <c r="H47" s="809"/>
      <c r="I47" s="810"/>
    </row>
    <row r="48" spans="1:9" s="59" customFormat="1" ht="28.5">
      <c r="A48" s="86">
        <v>40</v>
      </c>
      <c r="B48" s="55" t="s">
        <v>363</v>
      </c>
      <c r="C48" s="57">
        <f>SUM(C49:C50)</f>
        <v>74723224</v>
      </c>
      <c r="D48" s="57">
        <f>SUM(D49:D50)</f>
        <v>37787652</v>
      </c>
      <c r="E48" s="57">
        <f>SUM(E49:E50)</f>
        <v>112510876</v>
      </c>
      <c r="F48" s="58"/>
      <c r="G48" s="57"/>
      <c r="H48" s="57"/>
      <c r="I48" s="57"/>
    </row>
    <row r="49" spans="1:9" s="68" customFormat="1" ht="13.5">
      <c r="A49" s="83">
        <v>41</v>
      </c>
      <c r="B49" s="69" t="s">
        <v>755</v>
      </c>
      <c r="C49" s="63">
        <f>20790707+20000000+6865581+213817+1486017</f>
        <v>49356122</v>
      </c>
      <c r="D49" s="63">
        <v>33138652</v>
      </c>
      <c r="E49" s="63">
        <f aca="true" t="shared" si="5" ref="E49:E55">SUM(C49:D49)</f>
        <v>82494774</v>
      </c>
      <c r="F49" s="64"/>
      <c r="G49" s="63"/>
      <c r="H49" s="63"/>
      <c r="I49" s="63"/>
    </row>
    <row r="50" spans="1:9" s="68" customFormat="1" ht="13.5">
      <c r="A50" s="83">
        <v>42</v>
      </c>
      <c r="B50" s="69" t="s">
        <v>756</v>
      </c>
      <c r="C50" s="63">
        <v>25367102</v>
      </c>
      <c r="D50" s="63">
        <v>4649000</v>
      </c>
      <c r="E50" s="63">
        <f t="shared" si="5"/>
        <v>30016102</v>
      </c>
      <c r="F50" s="64"/>
      <c r="G50" s="63"/>
      <c r="H50" s="63"/>
      <c r="I50" s="63"/>
    </row>
    <row r="51" spans="1:9" s="59" customFormat="1" ht="28.5">
      <c r="A51" s="86">
        <v>43</v>
      </c>
      <c r="B51" s="55" t="s">
        <v>364</v>
      </c>
      <c r="C51" s="57">
        <f>SUM(C52:C54)</f>
        <v>18041236</v>
      </c>
      <c r="D51" s="57">
        <f>SUM(D52:D54)</f>
        <v>0</v>
      </c>
      <c r="E51" s="57">
        <f t="shared" si="5"/>
        <v>18041236</v>
      </c>
      <c r="F51" s="74" t="s">
        <v>365</v>
      </c>
      <c r="G51" s="57">
        <f>SUM(G52:G54)</f>
        <v>35608559</v>
      </c>
      <c r="H51" s="57">
        <f>SUM(H52:H54)</f>
        <v>0</v>
      </c>
      <c r="I51" s="57">
        <f>SUM(G51:H51)</f>
        <v>35608559</v>
      </c>
    </row>
    <row r="52" spans="1:9" s="68" customFormat="1" ht="13.5">
      <c r="A52" s="86">
        <v>44</v>
      </c>
      <c r="B52" s="67" t="s">
        <v>757</v>
      </c>
      <c r="C52" s="63">
        <v>0</v>
      </c>
      <c r="D52" s="63">
        <v>0</v>
      </c>
      <c r="E52" s="63">
        <f t="shared" si="5"/>
        <v>0</v>
      </c>
      <c r="F52" s="64" t="s">
        <v>759</v>
      </c>
      <c r="G52" s="63">
        <v>0</v>
      </c>
      <c r="H52" s="63">
        <v>0</v>
      </c>
      <c r="I52" s="63">
        <f>SUM(G52:H52)</f>
        <v>0</v>
      </c>
    </row>
    <row r="53" spans="1:9" s="70" customFormat="1" ht="12.75">
      <c r="A53" s="86">
        <v>45</v>
      </c>
      <c r="B53" s="67" t="s">
        <v>758</v>
      </c>
      <c r="C53" s="63">
        <v>0</v>
      </c>
      <c r="D53" s="63">
        <v>0</v>
      </c>
      <c r="E53" s="63">
        <f>SUM(C53:D53)</f>
        <v>0</v>
      </c>
      <c r="F53" s="64" t="s">
        <v>760</v>
      </c>
      <c r="G53" s="63">
        <v>0</v>
      </c>
      <c r="H53" s="63">
        <v>0</v>
      </c>
      <c r="I53" s="63">
        <f>SUM(G53:H53)</f>
        <v>0</v>
      </c>
    </row>
    <row r="54" spans="1:9" s="70" customFormat="1" ht="12.75">
      <c r="A54" s="86">
        <v>46</v>
      </c>
      <c r="B54" s="67" t="s">
        <v>751</v>
      </c>
      <c r="C54" s="63">
        <v>18041236</v>
      </c>
      <c r="D54" s="63">
        <v>0</v>
      </c>
      <c r="E54" s="63">
        <f>SUM(C54:D54)</f>
        <v>18041236</v>
      </c>
      <c r="F54" s="67" t="s">
        <v>752</v>
      </c>
      <c r="G54" s="63">
        <f>17567323+18041236</f>
        <v>35608559</v>
      </c>
      <c r="H54" s="63">
        <v>0</v>
      </c>
      <c r="I54" s="63">
        <f>SUM(G54:H54)</f>
        <v>35608559</v>
      </c>
    </row>
    <row r="55" spans="1:9" s="61" customFormat="1" ht="15.75">
      <c r="A55" s="86">
        <v>47</v>
      </c>
      <c r="B55" s="60" t="s">
        <v>459</v>
      </c>
      <c r="C55" s="75">
        <f>SUM(C7,C48,C51)</f>
        <v>1214168429</v>
      </c>
      <c r="D55" s="75">
        <f>SUM(D7,D48,D51)</f>
        <v>509613858</v>
      </c>
      <c r="E55" s="75">
        <f t="shared" si="5"/>
        <v>1723782287</v>
      </c>
      <c r="F55" s="60" t="s">
        <v>373</v>
      </c>
      <c r="G55" s="75">
        <f>SUM(G7,G51)</f>
        <v>1274772356</v>
      </c>
      <c r="H55" s="75">
        <f>SUM(H7,H51)</f>
        <v>449009931</v>
      </c>
      <c r="I55" s="75">
        <f>SUM(G55:H55)</f>
        <v>1723782287</v>
      </c>
    </row>
    <row r="62" ht="15">
      <c r="B62" s="48"/>
    </row>
  </sheetData>
  <sheetProtection/>
  <mergeCells count="8">
    <mergeCell ref="A47:I47"/>
    <mergeCell ref="F1:I1"/>
    <mergeCell ref="B2:I2"/>
    <mergeCell ref="B4:E4"/>
    <mergeCell ref="F4:I4"/>
    <mergeCell ref="A4:A6"/>
    <mergeCell ref="A45:I45"/>
    <mergeCell ref="B46:F4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C63"/>
  <sheetViews>
    <sheetView zoomScale="95" zoomScaleNormal="95" zoomScalePageLayoutView="0" workbookViewId="0" topLeftCell="C1">
      <pane ySplit="7" topLeftCell="A52" activePane="bottomLeft" state="frozen"/>
      <selection pane="topLeft" activeCell="A1" sqref="A1"/>
      <selection pane="bottomLeft" activeCell="C1" sqref="C1:Z58"/>
    </sheetView>
  </sheetViews>
  <sheetFormatPr defaultColWidth="8.875" defaultRowHeight="12.75"/>
  <cols>
    <col min="1" max="1" width="1.37890625" style="562" hidden="1" customWidth="1"/>
    <col min="2" max="2" width="8.00390625" style="563" hidden="1" customWidth="1"/>
    <col min="3" max="3" width="8.00390625" style="563" customWidth="1"/>
    <col min="4" max="4" width="4.625" style="564" bestFit="1" customWidth="1"/>
    <col min="5" max="5" width="27.75390625" style="562" customWidth="1"/>
    <col min="6" max="6" width="9.25390625" style="565" hidden="1" customWidth="1"/>
    <col min="7" max="7" width="11.375" style="562" bestFit="1" customWidth="1"/>
    <col min="8" max="8" width="11.125" style="562" customWidth="1"/>
    <col min="9" max="9" width="11.375" style="562" customWidth="1"/>
    <col min="10" max="11" width="10.25390625" style="562" customWidth="1"/>
    <col min="12" max="12" width="11.375" style="562" bestFit="1" customWidth="1"/>
    <col min="13" max="13" width="11.375" style="562" customWidth="1"/>
    <col min="14" max="14" width="11.00390625" style="562" customWidth="1"/>
    <col min="15" max="15" width="9.875" style="562" customWidth="1"/>
    <col min="16" max="16" width="8.25390625" style="562" customWidth="1"/>
    <col min="17" max="19" width="9.625" style="562" customWidth="1"/>
    <col min="20" max="20" width="10.00390625" style="562" customWidth="1"/>
    <col min="21" max="21" width="9.625" style="562" bestFit="1" customWidth="1"/>
    <col min="22" max="22" width="11.375" style="562" bestFit="1" customWidth="1"/>
    <col min="23" max="23" width="10.625" style="562" customWidth="1"/>
    <col min="24" max="24" width="11.125" style="562" customWidth="1"/>
    <col min="25" max="25" width="10.625" style="562" customWidth="1"/>
    <col min="26" max="26" width="12.00390625" style="617" customWidth="1"/>
    <col min="27" max="27" width="14.375" style="562" customWidth="1"/>
    <col min="28" max="28" width="9.875" style="562" bestFit="1" customWidth="1"/>
    <col min="29" max="16384" width="8.875" style="562" customWidth="1"/>
  </cols>
  <sheetData>
    <row r="1" spans="3:26" ht="15">
      <c r="C1" s="830"/>
      <c r="O1" s="160"/>
      <c r="P1" s="160"/>
      <c r="Q1" s="160"/>
      <c r="R1" s="160"/>
      <c r="S1" s="160"/>
      <c r="T1" s="160"/>
      <c r="U1" s="831" t="s">
        <v>1065</v>
      </c>
      <c r="V1" s="832"/>
      <c r="W1" s="832"/>
      <c r="X1" s="832"/>
      <c r="Y1" s="832"/>
      <c r="Z1" s="832"/>
    </row>
    <row r="2" spans="1:26" ht="15.75">
      <c r="A2" s="566"/>
      <c r="B2" s="567"/>
      <c r="C2" s="830"/>
      <c r="D2" s="567"/>
      <c r="E2" s="833" t="s">
        <v>684</v>
      </c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833"/>
      <c r="S2" s="833"/>
      <c r="T2" s="833"/>
      <c r="U2" s="833"/>
      <c r="V2" s="833"/>
      <c r="W2" s="833"/>
      <c r="X2" s="833"/>
      <c r="Y2" s="833"/>
      <c r="Z2" s="833"/>
    </row>
    <row r="3" ht="12.75" thickBot="1">
      <c r="Z3" s="568"/>
    </row>
    <row r="4" spans="2:26" s="569" customFormat="1" ht="12.75" customHeight="1">
      <c r="B4" s="570"/>
      <c r="C4" s="570"/>
      <c r="D4" s="834" t="s">
        <v>452</v>
      </c>
      <c r="E4" s="837" t="s">
        <v>375</v>
      </c>
      <c r="F4" s="840" t="s">
        <v>382</v>
      </c>
      <c r="G4" s="843" t="s">
        <v>383</v>
      </c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  <c r="Y4" s="845"/>
      <c r="Z4" s="846" t="s">
        <v>384</v>
      </c>
    </row>
    <row r="5" spans="2:26" s="571" customFormat="1" ht="12" customHeight="1">
      <c r="B5" s="572"/>
      <c r="C5" s="572"/>
      <c r="D5" s="835"/>
      <c r="E5" s="838"/>
      <c r="F5" s="841"/>
      <c r="G5" s="573" t="s">
        <v>1</v>
      </c>
      <c r="H5" s="573" t="s">
        <v>3</v>
      </c>
      <c r="I5" s="573" t="s">
        <v>5</v>
      </c>
      <c r="J5" s="573" t="s">
        <v>8</v>
      </c>
      <c r="K5" s="663"/>
      <c r="L5" s="825" t="s">
        <v>705</v>
      </c>
      <c r="M5" s="825"/>
      <c r="N5" s="825"/>
      <c r="O5" s="825"/>
      <c r="P5" s="825"/>
      <c r="Q5" s="825"/>
      <c r="R5" s="825"/>
      <c r="S5" s="825"/>
      <c r="T5" s="825"/>
      <c r="U5" s="826"/>
      <c r="V5" s="575" t="s">
        <v>146</v>
      </c>
      <c r="W5" s="575" t="s">
        <v>148</v>
      </c>
      <c r="X5" s="573" t="s">
        <v>150</v>
      </c>
      <c r="Y5" s="573" t="s">
        <v>152</v>
      </c>
      <c r="Z5" s="847"/>
    </row>
    <row r="6" spans="2:26" s="571" customFormat="1" ht="53.25" customHeight="1">
      <c r="B6" s="572"/>
      <c r="C6" s="572"/>
      <c r="D6" s="835"/>
      <c r="E6" s="839"/>
      <c r="F6" s="842"/>
      <c r="G6" s="576" t="s">
        <v>372</v>
      </c>
      <c r="H6" s="576" t="s">
        <v>691</v>
      </c>
      <c r="I6" s="576" t="s">
        <v>377</v>
      </c>
      <c r="J6" s="576" t="s">
        <v>9</v>
      </c>
      <c r="K6" s="576" t="s">
        <v>170</v>
      </c>
      <c r="L6" s="576" t="s">
        <v>145</v>
      </c>
      <c r="M6" s="576" t="s">
        <v>921</v>
      </c>
      <c r="N6" s="576" t="s">
        <v>846</v>
      </c>
      <c r="O6" s="576" t="s">
        <v>445</v>
      </c>
      <c r="P6" s="576" t="s">
        <v>457</v>
      </c>
      <c r="Q6" s="576" t="s">
        <v>483</v>
      </c>
      <c r="R6" s="576" t="s">
        <v>847</v>
      </c>
      <c r="S6" s="576" t="s">
        <v>848</v>
      </c>
      <c r="T6" s="576" t="s">
        <v>706</v>
      </c>
      <c r="U6" s="576" t="s">
        <v>54</v>
      </c>
      <c r="V6" s="574" t="s">
        <v>370</v>
      </c>
      <c r="W6" s="574" t="s">
        <v>386</v>
      </c>
      <c r="X6" s="576" t="s">
        <v>704</v>
      </c>
      <c r="Y6" s="576" t="s">
        <v>151</v>
      </c>
      <c r="Z6" s="848"/>
    </row>
    <row r="7" spans="2:26" s="577" customFormat="1" ht="12">
      <c r="B7" s="578"/>
      <c r="C7" s="578"/>
      <c r="D7" s="836"/>
      <c r="E7" s="579" t="s">
        <v>446</v>
      </c>
      <c r="F7" s="580" t="s">
        <v>447</v>
      </c>
      <c r="G7" s="581" t="s">
        <v>447</v>
      </c>
      <c r="H7" s="581" t="s">
        <v>448</v>
      </c>
      <c r="I7" s="582" t="s">
        <v>449</v>
      </c>
      <c r="J7" s="579" t="s">
        <v>450</v>
      </c>
      <c r="K7" s="579" t="s">
        <v>451</v>
      </c>
      <c r="L7" s="582" t="s">
        <v>453</v>
      </c>
      <c r="M7" s="582" t="s">
        <v>454</v>
      </c>
      <c r="N7" s="582" t="s">
        <v>399</v>
      </c>
      <c r="O7" s="582" t="s">
        <v>400</v>
      </c>
      <c r="P7" s="582" t="s">
        <v>401</v>
      </c>
      <c r="Q7" s="582" t="s">
        <v>402</v>
      </c>
      <c r="R7" s="582" t="s">
        <v>403</v>
      </c>
      <c r="S7" s="582" t="s">
        <v>404</v>
      </c>
      <c r="T7" s="582" t="s">
        <v>405</v>
      </c>
      <c r="U7" s="581" t="s">
        <v>406</v>
      </c>
      <c r="V7" s="582" t="s">
        <v>922</v>
      </c>
      <c r="W7" s="582" t="s">
        <v>923</v>
      </c>
      <c r="X7" s="583" t="s">
        <v>924</v>
      </c>
      <c r="Y7" s="584" t="s">
        <v>925</v>
      </c>
      <c r="Z7" s="585" t="s">
        <v>926</v>
      </c>
    </row>
    <row r="8" spans="1:26" s="593" customFormat="1" ht="36">
      <c r="A8" s="562"/>
      <c r="B8" s="563"/>
      <c r="C8" s="563" t="s">
        <v>66</v>
      </c>
      <c r="D8" s="586" t="s">
        <v>407</v>
      </c>
      <c r="E8" s="587" t="s">
        <v>67</v>
      </c>
      <c r="F8" s="588"/>
      <c r="G8" s="589">
        <f>24532623+1250944</f>
        <v>25783567</v>
      </c>
      <c r="H8" s="589">
        <f>5426893+430000+275208</f>
        <v>6132101</v>
      </c>
      <c r="I8" s="590">
        <f>13291370-240000-64800+3850000+500000-1500000+379000+24300+1594595-16990</f>
        <v>17817475</v>
      </c>
      <c r="J8" s="590">
        <v>0</v>
      </c>
      <c r="K8" s="590"/>
      <c r="L8" s="590">
        <f>20240556-8000000+35026110+4000000+904841+3000000+1094000+2000000-2000000+381000</f>
        <v>56646507</v>
      </c>
      <c r="M8" s="590">
        <v>9314000</v>
      </c>
      <c r="N8" s="590"/>
      <c r="O8" s="590">
        <v>0</v>
      </c>
      <c r="P8" s="590">
        <v>0</v>
      </c>
      <c r="Q8" s="590">
        <v>0</v>
      </c>
      <c r="R8" s="590"/>
      <c r="S8" s="590"/>
      <c r="T8" s="590">
        <v>0</v>
      </c>
      <c r="U8" s="590">
        <v>0</v>
      </c>
      <c r="V8" s="589">
        <f>3000000+3150000+500000+500000+16990</f>
        <v>7166990</v>
      </c>
      <c r="W8" s="590">
        <v>0</v>
      </c>
      <c r="X8" s="591">
        <f>80026110-35026110</f>
        <v>45000000</v>
      </c>
      <c r="Y8" s="590">
        <v>0</v>
      </c>
      <c r="Z8" s="592">
        <f aca="true" t="shared" si="0" ref="Z8:Z57">SUM(G8:Y8)</f>
        <v>167860640</v>
      </c>
    </row>
    <row r="9" spans="1:26" s="593" customFormat="1" ht="23.25" customHeight="1">
      <c r="A9" s="562"/>
      <c r="B9" s="563"/>
      <c r="C9" s="563" t="s">
        <v>685</v>
      </c>
      <c r="D9" s="594" t="s">
        <v>408</v>
      </c>
      <c r="E9" s="595" t="s">
        <v>686</v>
      </c>
      <c r="F9" s="596"/>
      <c r="G9" s="597">
        <v>0</v>
      </c>
      <c r="H9" s="597">
        <v>0</v>
      </c>
      <c r="I9" s="597">
        <v>100000</v>
      </c>
      <c r="J9" s="597">
        <v>0</v>
      </c>
      <c r="K9" s="597"/>
      <c r="L9" s="597">
        <v>0</v>
      </c>
      <c r="M9" s="597"/>
      <c r="N9" s="597"/>
      <c r="O9" s="597">
        <v>0</v>
      </c>
      <c r="P9" s="597">
        <v>0</v>
      </c>
      <c r="Q9" s="597">
        <v>0</v>
      </c>
      <c r="R9" s="597"/>
      <c r="S9" s="597"/>
      <c r="T9" s="597">
        <v>0</v>
      </c>
      <c r="U9" s="597">
        <v>0</v>
      </c>
      <c r="V9" s="597">
        <v>0</v>
      </c>
      <c r="W9" s="591">
        <v>0</v>
      </c>
      <c r="X9" s="591">
        <v>0</v>
      </c>
      <c r="Y9" s="591">
        <v>0</v>
      </c>
      <c r="Z9" s="592">
        <f t="shared" si="0"/>
        <v>100000</v>
      </c>
    </row>
    <row r="10" spans="1:26" s="593" customFormat="1" ht="24">
      <c r="A10" s="562"/>
      <c r="B10" s="563" t="s">
        <v>58</v>
      </c>
      <c r="C10" s="563" t="s">
        <v>61</v>
      </c>
      <c r="D10" s="594" t="s">
        <v>409</v>
      </c>
      <c r="E10" s="595" t="s">
        <v>62</v>
      </c>
      <c r="F10" s="596"/>
      <c r="G10" s="597">
        <v>0</v>
      </c>
      <c r="H10" s="597">
        <v>0</v>
      </c>
      <c r="I10" s="591">
        <f>34752594-250000-67500+6762752</f>
        <v>41197846</v>
      </c>
      <c r="J10" s="591">
        <v>0</v>
      </c>
      <c r="K10" s="591"/>
      <c r="L10" s="591">
        <f>43528000-782000+782000</f>
        <v>43528000</v>
      </c>
      <c r="M10" s="591"/>
      <c r="N10" s="591"/>
      <c r="O10" s="591">
        <v>0</v>
      </c>
      <c r="P10" s="591">
        <v>0</v>
      </c>
      <c r="Q10" s="591">
        <v>0</v>
      </c>
      <c r="R10" s="591"/>
      <c r="S10" s="591"/>
      <c r="T10" s="591">
        <v>0</v>
      </c>
      <c r="U10" s="591">
        <v>0</v>
      </c>
      <c r="V10" s="597">
        <f>3700000+9000000</f>
        <v>12700000</v>
      </c>
      <c r="W10" s="591">
        <f>1000000+2500000</f>
        <v>3500000</v>
      </c>
      <c r="X10" s="591">
        <f>1609020-904841</f>
        <v>704179</v>
      </c>
      <c r="Y10" s="591">
        <v>0</v>
      </c>
      <c r="Z10" s="592">
        <f t="shared" si="0"/>
        <v>101630025</v>
      </c>
    </row>
    <row r="11" spans="1:26" s="593" customFormat="1" ht="36">
      <c r="A11" s="562"/>
      <c r="B11" s="563" t="s">
        <v>59</v>
      </c>
      <c r="C11" s="563" t="s">
        <v>63</v>
      </c>
      <c r="D11" s="594" t="s">
        <v>410</v>
      </c>
      <c r="E11" s="595" t="s">
        <v>578</v>
      </c>
      <c r="F11" s="596"/>
      <c r="G11" s="597">
        <f>4288690-1094000-32740-115000-22993</f>
        <v>3023957</v>
      </c>
      <c r="H11" s="597">
        <f>997329+32740-266000-5059</f>
        <v>759010</v>
      </c>
      <c r="I11" s="591">
        <f>1016560+1686276+28052</f>
        <v>2730888</v>
      </c>
      <c r="J11" s="591">
        <v>0</v>
      </c>
      <c r="K11" s="591"/>
      <c r="L11" s="591">
        <v>0</v>
      </c>
      <c r="M11" s="591"/>
      <c r="N11" s="591"/>
      <c r="O11" s="591">
        <v>0</v>
      </c>
      <c r="P11" s="591">
        <v>0</v>
      </c>
      <c r="Q11" s="591">
        <v>0</v>
      </c>
      <c r="R11" s="591"/>
      <c r="S11" s="591"/>
      <c r="T11" s="591">
        <v>0</v>
      </c>
      <c r="U11" s="591">
        <v>0</v>
      </c>
      <c r="V11" s="597"/>
      <c r="W11" s="591">
        <v>0</v>
      </c>
      <c r="X11" s="591">
        <v>0</v>
      </c>
      <c r="Y11" s="591">
        <v>0</v>
      </c>
      <c r="Z11" s="592">
        <f t="shared" si="0"/>
        <v>6513855</v>
      </c>
    </row>
    <row r="12" spans="1:26" s="593" customFormat="1" ht="24">
      <c r="A12" s="562"/>
      <c r="B12" s="563" t="s">
        <v>60</v>
      </c>
      <c r="C12" s="563" t="s">
        <v>68</v>
      </c>
      <c r="D12" s="594" t="s">
        <v>411</v>
      </c>
      <c r="E12" s="595" t="s">
        <v>391</v>
      </c>
      <c r="F12" s="596"/>
      <c r="G12" s="597">
        <f>1874804-1300000+8879</f>
        <v>583683</v>
      </c>
      <c r="H12" s="597">
        <f>1214310-567580</f>
        <v>646730</v>
      </c>
      <c r="I12" s="591">
        <f>6352096-2000000+167805+1867580-8879</f>
        <v>6378602</v>
      </c>
      <c r="J12" s="591">
        <v>0</v>
      </c>
      <c r="K12" s="591"/>
      <c r="L12" s="591">
        <v>0</v>
      </c>
      <c r="M12" s="591"/>
      <c r="N12" s="591"/>
      <c r="O12" s="591">
        <v>0</v>
      </c>
      <c r="P12" s="591">
        <v>0</v>
      </c>
      <c r="Q12" s="591">
        <v>0</v>
      </c>
      <c r="R12" s="591"/>
      <c r="S12" s="591"/>
      <c r="T12" s="591">
        <v>0</v>
      </c>
      <c r="U12" s="591">
        <v>0</v>
      </c>
      <c r="V12" s="597">
        <v>0</v>
      </c>
      <c r="W12" s="591">
        <v>0</v>
      </c>
      <c r="X12" s="591">
        <v>0</v>
      </c>
      <c r="Y12" s="591">
        <v>0</v>
      </c>
      <c r="Z12" s="592">
        <f t="shared" si="0"/>
        <v>7609015</v>
      </c>
    </row>
    <row r="13" spans="1:26" s="593" customFormat="1" ht="24">
      <c r="A13" s="562"/>
      <c r="B13" s="563"/>
      <c r="C13" s="563" t="s">
        <v>850</v>
      </c>
      <c r="D13" s="594" t="s">
        <v>412</v>
      </c>
      <c r="E13" s="595" t="s">
        <v>849</v>
      </c>
      <c r="F13" s="596"/>
      <c r="G13" s="597"/>
      <c r="H13" s="597"/>
      <c r="I13" s="597"/>
      <c r="J13" s="597"/>
      <c r="K13" s="597">
        <f>25603463+1419433+33742913+4114026</f>
        <v>64879835</v>
      </c>
      <c r="L13" s="597"/>
      <c r="M13" s="597"/>
      <c r="N13" s="597"/>
      <c r="O13" s="597"/>
      <c r="P13" s="597"/>
      <c r="Q13" s="597"/>
      <c r="R13" s="597"/>
      <c r="S13" s="597"/>
      <c r="T13" s="597"/>
      <c r="U13" s="597"/>
      <c r="V13" s="597"/>
      <c r="W13" s="591"/>
      <c r="X13" s="591"/>
      <c r="Y13" s="591"/>
      <c r="Z13" s="592">
        <f t="shared" si="0"/>
        <v>64879835</v>
      </c>
    </row>
    <row r="14" spans="1:26" s="593" customFormat="1" ht="23.25" customHeight="1">
      <c r="A14" s="562"/>
      <c r="B14" s="563"/>
      <c r="C14" s="563" t="s">
        <v>687</v>
      </c>
      <c r="D14" s="594" t="s">
        <v>413</v>
      </c>
      <c r="E14" s="595" t="s">
        <v>688</v>
      </c>
      <c r="F14" s="596"/>
      <c r="G14" s="597">
        <v>0</v>
      </c>
      <c r="H14" s="597">
        <v>0</v>
      </c>
      <c r="I14" s="597">
        <f>237516+48289+217072</f>
        <v>502877</v>
      </c>
      <c r="J14" s="597">
        <v>0</v>
      </c>
      <c r="K14" s="597"/>
      <c r="L14" s="597">
        <v>0</v>
      </c>
      <c r="M14" s="597"/>
      <c r="N14" s="597"/>
      <c r="O14" s="597">
        <v>0</v>
      </c>
      <c r="P14" s="597">
        <v>0</v>
      </c>
      <c r="Q14" s="597">
        <v>0</v>
      </c>
      <c r="R14" s="597"/>
      <c r="S14" s="597"/>
      <c r="T14" s="597">
        <v>0</v>
      </c>
      <c r="U14" s="597">
        <v>0</v>
      </c>
      <c r="V14" s="597">
        <v>0</v>
      </c>
      <c r="W14" s="591">
        <v>0</v>
      </c>
      <c r="X14" s="591">
        <v>0</v>
      </c>
      <c r="Y14" s="591">
        <f>17567323+18041236</f>
        <v>35608559</v>
      </c>
      <c r="Z14" s="592">
        <f t="shared" si="0"/>
        <v>36111436</v>
      </c>
    </row>
    <row r="15" spans="1:26" s="593" customFormat="1" ht="23.25" customHeight="1">
      <c r="A15" s="562"/>
      <c r="B15" s="563"/>
      <c r="C15" s="563" t="s">
        <v>844</v>
      </c>
      <c r="D15" s="594" t="s">
        <v>414</v>
      </c>
      <c r="E15" s="595" t="s">
        <v>845</v>
      </c>
      <c r="F15" s="596"/>
      <c r="G15" s="597"/>
      <c r="H15" s="597"/>
      <c r="I15" s="597"/>
      <c r="J15" s="597"/>
      <c r="K15" s="597"/>
      <c r="L15" s="597"/>
      <c r="M15" s="597"/>
      <c r="N15" s="597">
        <v>40723</v>
      </c>
      <c r="O15" s="597"/>
      <c r="P15" s="597"/>
      <c r="Q15" s="597"/>
      <c r="R15" s="597"/>
      <c r="S15" s="597"/>
      <c r="T15" s="597"/>
      <c r="U15" s="597"/>
      <c r="V15" s="597"/>
      <c r="W15" s="591"/>
      <c r="X15" s="591"/>
      <c r="Y15" s="591"/>
      <c r="Z15" s="592">
        <f t="shared" si="0"/>
        <v>40723</v>
      </c>
    </row>
    <row r="16" spans="1:26" s="593" customFormat="1" ht="24">
      <c r="A16" s="562">
        <v>20215</v>
      </c>
      <c r="B16" s="563" t="s">
        <v>61</v>
      </c>
      <c r="C16" s="563" t="s">
        <v>71</v>
      </c>
      <c r="D16" s="594" t="s">
        <v>415</v>
      </c>
      <c r="E16" s="595" t="s">
        <v>72</v>
      </c>
      <c r="F16" s="596"/>
      <c r="G16" s="597">
        <f>31329200+13200</f>
        <v>31342400</v>
      </c>
      <c r="H16" s="597">
        <f>6988684+2904</f>
        <v>6991588</v>
      </c>
      <c r="I16" s="591">
        <f>9066178+22851-88773-67850</f>
        <v>8932406</v>
      </c>
      <c r="J16" s="591">
        <v>0</v>
      </c>
      <c r="K16" s="591"/>
      <c r="L16" s="591">
        <v>0</v>
      </c>
      <c r="M16" s="591"/>
      <c r="N16" s="591"/>
      <c r="O16" s="591">
        <v>0</v>
      </c>
      <c r="P16" s="591">
        <v>0</v>
      </c>
      <c r="Q16" s="591">
        <v>0</v>
      </c>
      <c r="R16" s="591"/>
      <c r="S16" s="591"/>
      <c r="T16" s="591">
        <v>0</v>
      </c>
      <c r="U16" s="591">
        <v>0</v>
      </c>
      <c r="V16" s="597">
        <f>88773+67850</f>
        <v>156623</v>
      </c>
      <c r="W16" s="591">
        <v>254000</v>
      </c>
      <c r="X16" s="591">
        <v>0</v>
      </c>
      <c r="Y16" s="591">
        <v>0</v>
      </c>
      <c r="Z16" s="592">
        <f t="shared" si="0"/>
        <v>47677017</v>
      </c>
    </row>
    <row r="17" spans="1:26" s="593" customFormat="1" ht="24" customHeight="1">
      <c r="A17" s="562"/>
      <c r="B17" s="563"/>
      <c r="C17" s="563" t="s">
        <v>936</v>
      </c>
      <c r="D17" s="594" t="s">
        <v>416</v>
      </c>
      <c r="E17" s="595" t="s">
        <v>937</v>
      </c>
      <c r="F17" s="596"/>
      <c r="G17" s="597"/>
      <c r="H17" s="597"/>
      <c r="I17" s="597"/>
      <c r="J17" s="597"/>
      <c r="K17" s="597"/>
      <c r="L17" s="597"/>
      <c r="M17" s="597"/>
      <c r="N17" s="597"/>
      <c r="O17" s="597"/>
      <c r="P17" s="597"/>
      <c r="Q17" s="597"/>
      <c r="R17" s="597"/>
      <c r="S17" s="597"/>
      <c r="T17" s="597"/>
      <c r="U17" s="597"/>
      <c r="V17" s="597">
        <f>242560000+3832400+17861888</f>
        <v>264254288</v>
      </c>
      <c r="W17" s="591"/>
      <c r="X17" s="597"/>
      <c r="Y17" s="591"/>
      <c r="Z17" s="592">
        <f t="shared" si="0"/>
        <v>264254288</v>
      </c>
    </row>
    <row r="18" spans="1:26" s="593" customFormat="1" ht="24">
      <c r="A18" s="562"/>
      <c r="B18" s="563"/>
      <c r="C18" s="563" t="s">
        <v>853</v>
      </c>
      <c r="D18" s="594" t="s">
        <v>417</v>
      </c>
      <c r="E18" s="595" t="s">
        <v>854</v>
      </c>
      <c r="F18" s="596"/>
      <c r="G18" s="597">
        <v>30882431</v>
      </c>
      <c r="H18" s="597">
        <f>3396993+68575</f>
        <v>3465568</v>
      </c>
      <c r="I18" s="597">
        <f>6312014+9659</f>
        <v>6321673</v>
      </c>
      <c r="J18" s="597"/>
      <c r="K18" s="597"/>
      <c r="L18" s="597"/>
      <c r="M18" s="597"/>
      <c r="N18" s="597"/>
      <c r="O18" s="597"/>
      <c r="P18" s="597"/>
      <c r="Q18" s="597"/>
      <c r="R18" s="597"/>
      <c r="S18" s="597"/>
      <c r="T18" s="597"/>
      <c r="U18" s="597"/>
      <c r="V18" s="597">
        <v>1398066</v>
      </c>
      <c r="W18" s="591"/>
      <c r="X18" s="597"/>
      <c r="Y18" s="591"/>
      <c r="Z18" s="592">
        <f t="shared" si="0"/>
        <v>42067738</v>
      </c>
    </row>
    <row r="19" spans="1:26" s="593" customFormat="1" ht="24">
      <c r="A19" s="562"/>
      <c r="B19" s="563"/>
      <c r="C19" s="563" t="s">
        <v>855</v>
      </c>
      <c r="D19" s="594" t="s">
        <v>418</v>
      </c>
      <c r="E19" s="595" t="s">
        <v>856</v>
      </c>
      <c r="F19" s="596"/>
      <c r="G19" s="597">
        <v>89907417</v>
      </c>
      <c r="H19" s="597">
        <f>9889529+219691</f>
        <v>10109220</v>
      </c>
      <c r="I19" s="597">
        <f>8426434+62168</f>
        <v>8488602</v>
      </c>
      <c r="J19" s="597"/>
      <c r="K19" s="597"/>
      <c r="L19" s="597"/>
      <c r="M19" s="597"/>
      <c r="N19" s="597"/>
      <c r="O19" s="597"/>
      <c r="P19" s="597"/>
      <c r="Q19" s="597"/>
      <c r="R19" s="597"/>
      <c r="S19" s="597"/>
      <c r="T19" s="597"/>
      <c r="U19" s="597"/>
      <c r="V19" s="597">
        <v>1707563</v>
      </c>
      <c r="W19" s="591"/>
      <c r="X19" s="597"/>
      <c r="Y19" s="591"/>
      <c r="Z19" s="592">
        <f t="shared" si="0"/>
        <v>110212802</v>
      </c>
    </row>
    <row r="20" spans="1:26" s="593" customFormat="1" ht="22.5" customHeight="1">
      <c r="A20" s="562"/>
      <c r="B20" s="563"/>
      <c r="C20" s="563" t="s">
        <v>690</v>
      </c>
      <c r="D20" s="594" t="s">
        <v>419</v>
      </c>
      <c r="E20" s="595" t="s">
        <v>689</v>
      </c>
      <c r="F20" s="596"/>
      <c r="G20" s="597">
        <v>0</v>
      </c>
      <c r="H20" s="597">
        <v>0</v>
      </c>
      <c r="I20" s="597">
        <v>0</v>
      </c>
      <c r="J20" s="597">
        <v>0</v>
      </c>
      <c r="K20" s="597"/>
      <c r="L20" s="597">
        <v>0</v>
      </c>
      <c r="M20" s="597"/>
      <c r="N20" s="597"/>
      <c r="O20" s="597">
        <v>0</v>
      </c>
      <c r="P20" s="597">
        <v>0</v>
      </c>
      <c r="Q20" s="597">
        <v>0</v>
      </c>
      <c r="R20" s="597"/>
      <c r="S20" s="597"/>
      <c r="T20" s="597">
        <v>0</v>
      </c>
      <c r="U20" s="597">
        <v>0</v>
      </c>
      <c r="V20" s="597">
        <f>17462500+100000</f>
        <v>17562500</v>
      </c>
      <c r="W20" s="591">
        <v>0</v>
      </c>
      <c r="X20" s="597">
        <v>0</v>
      </c>
      <c r="Y20" s="591">
        <v>0</v>
      </c>
      <c r="Z20" s="592">
        <f t="shared" si="0"/>
        <v>17562500</v>
      </c>
    </row>
    <row r="21" spans="2:26" ht="24">
      <c r="B21" s="563" t="s">
        <v>66</v>
      </c>
      <c r="C21" s="563" t="s">
        <v>59</v>
      </c>
      <c r="D21" s="594" t="s">
        <v>420</v>
      </c>
      <c r="E21" s="595" t="s">
        <v>579</v>
      </c>
      <c r="F21" s="596"/>
      <c r="G21" s="597">
        <v>0</v>
      </c>
      <c r="H21" s="597">
        <v>0</v>
      </c>
      <c r="I21" s="591">
        <v>0</v>
      </c>
      <c r="J21" s="591">
        <v>0</v>
      </c>
      <c r="K21" s="591"/>
      <c r="L21" s="591">
        <f>9850000-788000-2645132</f>
        <v>6416868</v>
      </c>
      <c r="M21" s="591"/>
      <c r="N21" s="591"/>
      <c r="O21" s="591">
        <v>0</v>
      </c>
      <c r="P21" s="591">
        <v>0</v>
      </c>
      <c r="Q21" s="591">
        <v>0</v>
      </c>
      <c r="R21" s="591"/>
      <c r="S21" s="591"/>
      <c r="T21" s="591">
        <v>0</v>
      </c>
      <c r="U21" s="591">
        <v>0</v>
      </c>
      <c r="V21" s="591">
        <v>525300</v>
      </c>
      <c r="W21" s="591">
        <f>2645132+14989072</f>
        <v>17634204</v>
      </c>
      <c r="X21" s="591">
        <v>0</v>
      </c>
      <c r="Y21" s="591">
        <v>0</v>
      </c>
      <c r="Z21" s="592">
        <f t="shared" si="0"/>
        <v>24576372</v>
      </c>
    </row>
    <row r="22" spans="2:26" ht="24">
      <c r="B22" s="563" t="s">
        <v>68</v>
      </c>
      <c r="C22" s="563" t="s">
        <v>73</v>
      </c>
      <c r="D22" s="594" t="s">
        <v>421</v>
      </c>
      <c r="E22" s="595" t="s">
        <v>74</v>
      </c>
      <c r="F22" s="596"/>
      <c r="G22" s="597">
        <v>0</v>
      </c>
      <c r="H22" s="597">
        <v>0</v>
      </c>
      <c r="I22" s="591">
        <f>1000000-1000000</f>
        <v>0</v>
      </c>
      <c r="J22" s="591">
        <v>0</v>
      </c>
      <c r="K22" s="591"/>
      <c r="L22" s="591">
        <v>0</v>
      </c>
      <c r="M22" s="591"/>
      <c r="N22" s="591"/>
      <c r="O22" s="591">
        <v>0</v>
      </c>
      <c r="P22" s="591">
        <v>0</v>
      </c>
      <c r="Q22" s="591">
        <v>0</v>
      </c>
      <c r="R22" s="591"/>
      <c r="S22" s="591"/>
      <c r="T22" s="591">
        <v>0</v>
      </c>
      <c r="U22" s="591">
        <v>0</v>
      </c>
      <c r="V22" s="591">
        <f>3225085+6019000</f>
        <v>9244085</v>
      </c>
      <c r="W22" s="591">
        <v>0</v>
      </c>
      <c r="X22" s="591">
        <v>0</v>
      </c>
      <c r="Y22" s="591">
        <v>0</v>
      </c>
      <c r="Z22" s="592">
        <f t="shared" si="0"/>
        <v>9244085</v>
      </c>
    </row>
    <row r="23" spans="3:26" ht="22.5" customHeight="1">
      <c r="C23" s="563" t="s">
        <v>851</v>
      </c>
      <c r="D23" s="594" t="s">
        <v>422</v>
      </c>
      <c r="E23" s="595" t="s">
        <v>852</v>
      </c>
      <c r="F23" s="598"/>
      <c r="G23" s="597"/>
      <c r="H23" s="597"/>
      <c r="I23" s="591"/>
      <c r="J23" s="591"/>
      <c r="K23" s="591"/>
      <c r="L23" s="591">
        <v>6949788</v>
      </c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2">
        <f t="shared" si="0"/>
        <v>6949788</v>
      </c>
    </row>
    <row r="24" spans="1:26" ht="36">
      <c r="A24" s="562">
        <v>751791</v>
      </c>
      <c r="B24" s="563" t="s">
        <v>69</v>
      </c>
      <c r="C24" s="563" t="s">
        <v>55</v>
      </c>
      <c r="D24" s="594" t="s">
        <v>423</v>
      </c>
      <c r="E24" s="595" t="s">
        <v>56</v>
      </c>
      <c r="F24" s="598"/>
      <c r="G24" s="591">
        <v>0</v>
      </c>
      <c r="H24" s="597">
        <v>0</v>
      </c>
      <c r="I24" s="591">
        <v>747243</v>
      </c>
      <c r="J24" s="591">
        <v>0</v>
      </c>
      <c r="K24" s="591"/>
      <c r="L24" s="591">
        <v>2500000</v>
      </c>
      <c r="M24" s="591"/>
      <c r="N24" s="591"/>
      <c r="O24" s="591">
        <v>0</v>
      </c>
      <c r="P24" s="591">
        <v>0</v>
      </c>
      <c r="Q24" s="591">
        <v>0</v>
      </c>
      <c r="R24" s="591"/>
      <c r="S24" s="591"/>
      <c r="T24" s="591">
        <v>0</v>
      </c>
      <c r="U24" s="591">
        <v>0</v>
      </c>
      <c r="V24" s="591">
        <v>0</v>
      </c>
      <c r="W24" s="591">
        <v>0</v>
      </c>
      <c r="X24" s="591">
        <v>0</v>
      </c>
      <c r="Y24" s="591">
        <v>0</v>
      </c>
      <c r="Z24" s="592">
        <f t="shared" si="0"/>
        <v>3247243</v>
      </c>
    </row>
    <row r="25" spans="1:26" ht="24">
      <c r="A25" s="562">
        <v>751834</v>
      </c>
      <c r="B25" s="563" t="s">
        <v>70</v>
      </c>
      <c r="C25" s="563" t="s">
        <v>57</v>
      </c>
      <c r="D25" s="594" t="s">
        <v>424</v>
      </c>
      <c r="E25" s="595" t="s">
        <v>389</v>
      </c>
      <c r="F25" s="596"/>
      <c r="G25" s="597">
        <v>0</v>
      </c>
      <c r="H25" s="597">
        <v>0</v>
      </c>
      <c r="I25" s="591">
        <f>11455754+608965</f>
        <v>12064719</v>
      </c>
      <c r="J25" s="591">
        <v>0</v>
      </c>
      <c r="K25" s="591"/>
      <c r="L25" s="591">
        <v>0</v>
      </c>
      <c r="M25" s="591"/>
      <c r="N25" s="591"/>
      <c r="O25" s="591">
        <v>0</v>
      </c>
      <c r="P25" s="591">
        <v>0</v>
      </c>
      <c r="Q25" s="591">
        <v>0</v>
      </c>
      <c r="R25" s="591"/>
      <c r="S25" s="591"/>
      <c r="T25" s="591">
        <v>0</v>
      </c>
      <c r="U25" s="591">
        <v>0</v>
      </c>
      <c r="V25" s="591">
        <v>0</v>
      </c>
      <c r="W25" s="591">
        <v>0</v>
      </c>
      <c r="X25" s="591">
        <v>0</v>
      </c>
      <c r="Y25" s="591">
        <v>0</v>
      </c>
      <c r="Z25" s="592">
        <f t="shared" si="0"/>
        <v>12064719</v>
      </c>
    </row>
    <row r="26" spans="3:26" ht="24" customHeight="1">
      <c r="C26" s="563" t="s">
        <v>949</v>
      </c>
      <c r="D26" s="712" t="s">
        <v>425</v>
      </c>
      <c r="E26" s="595" t="s">
        <v>950</v>
      </c>
      <c r="F26" s="596"/>
      <c r="G26" s="597">
        <v>0</v>
      </c>
      <c r="H26" s="597">
        <v>0</v>
      </c>
      <c r="I26" s="591">
        <v>0</v>
      </c>
      <c r="J26" s="591">
        <v>0</v>
      </c>
      <c r="K26" s="591">
        <v>0</v>
      </c>
      <c r="L26" s="591">
        <v>0</v>
      </c>
      <c r="M26" s="591">
        <v>0</v>
      </c>
      <c r="N26" s="591">
        <v>0</v>
      </c>
      <c r="O26" s="591">
        <v>0</v>
      </c>
      <c r="P26" s="591">
        <v>0</v>
      </c>
      <c r="Q26" s="591">
        <v>0</v>
      </c>
      <c r="R26" s="591">
        <v>0</v>
      </c>
      <c r="S26" s="591">
        <v>0</v>
      </c>
      <c r="T26" s="591">
        <v>0</v>
      </c>
      <c r="U26" s="591">
        <v>0</v>
      </c>
      <c r="V26" s="597">
        <v>0</v>
      </c>
      <c r="W26" s="591">
        <v>1048906</v>
      </c>
      <c r="X26" s="591">
        <v>0</v>
      </c>
      <c r="Y26" s="591">
        <v>0</v>
      </c>
      <c r="Z26" s="592">
        <f t="shared" si="0"/>
        <v>1048906</v>
      </c>
    </row>
    <row r="27" spans="1:26" ht="24" customHeight="1">
      <c r="A27" s="562">
        <v>751966</v>
      </c>
      <c r="B27" s="563" t="s">
        <v>71</v>
      </c>
      <c r="C27" s="563" t="s">
        <v>69</v>
      </c>
      <c r="D27" s="594" t="s">
        <v>426</v>
      </c>
      <c r="E27" s="595" t="s">
        <v>392</v>
      </c>
      <c r="F27" s="596"/>
      <c r="G27" s="597">
        <v>0</v>
      </c>
      <c r="H27" s="591">
        <v>0</v>
      </c>
      <c r="I27" s="591">
        <v>23114000</v>
      </c>
      <c r="J27" s="591">
        <v>0</v>
      </c>
      <c r="K27" s="591"/>
      <c r="L27" s="591">
        <v>0</v>
      </c>
      <c r="M27" s="591"/>
      <c r="N27" s="591"/>
      <c r="O27" s="591">
        <v>0</v>
      </c>
      <c r="P27" s="591">
        <v>0</v>
      </c>
      <c r="Q27" s="591">
        <v>0</v>
      </c>
      <c r="R27" s="591"/>
      <c r="S27" s="591"/>
      <c r="T27" s="591">
        <v>0</v>
      </c>
      <c r="U27" s="591">
        <v>0</v>
      </c>
      <c r="V27" s="597">
        <v>0</v>
      </c>
      <c r="W27" s="591">
        <v>0</v>
      </c>
      <c r="X27" s="591">
        <v>0</v>
      </c>
      <c r="Y27" s="591">
        <v>0</v>
      </c>
      <c r="Z27" s="592">
        <f t="shared" si="0"/>
        <v>23114000</v>
      </c>
    </row>
    <row r="28" spans="1:26" ht="24" customHeight="1">
      <c r="A28" s="562">
        <v>751999</v>
      </c>
      <c r="B28" s="563" t="s">
        <v>73</v>
      </c>
      <c r="C28" s="563" t="s">
        <v>65</v>
      </c>
      <c r="D28" s="594" t="s">
        <v>427</v>
      </c>
      <c r="E28" s="595" t="s">
        <v>580</v>
      </c>
      <c r="F28" s="596"/>
      <c r="G28" s="597">
        <v>0</v>
      </c>
      <c r="H28" s="597">
        <v>0</v>
      </c>
      <c r="I28" s="591">
        <v>170000</v>
      </c>
      <c r="J28" s="591">
        <v>0</v>
      </c>
      <c r="K28" s="591"/>
      <c r="L28" s="591">
        <f>32626000-854000+854000</f>
        <v>32626000</v>
      </c>
      <c r="M28" s="591"/>
      <c r="N28" s="591"/>
      <c r="O28" s="591">
        <v>0</v>
      </c>
      <c r="P28" s="591">
        <v>0</v>
      </c>
      <c r="Q28" s="591">
        <v>0</v>
      </c>
      <c r="R28" s="591"/>
      <c r="S28" s="591"/>
      <c r="T28" s="591">
        <v>0</v>
      </c>
      <c r="U28" s="591">
        <v>0</v>
      </c>
      <c r="V28" s="597">
        <v>0</v>
      </c>
      <c r="W28" s="591">
        <v>5000000</v>
      </c>
      <c r="X28" s="591">
        <v>0</v>
      </c>
      <c r="Y28" s="591">
        <v>0</v>
      </c>
      <c r="Z28" s="592">
        <f t="shared" si="0"/>
        <v>37796000</v>
      </c>
    </row>
    <row r="29" spans="2:27" ht="24">
      <c r="B29" s="563" t="s">
        <v>75</v>
      </c>
      <c r="C29" s="563" t="s">
        <v>70</v>
      </c>
      <c r="D29" s="594" t="s">
        <v>428</v>
      </c>
      <c r="E29" s="595" t="s">
        <v>581</v>
      </c>
      <c r="F29" s="596"/>
      <c r="G29" s="597">
        <v>217000</v>
      </c>
      <c r="H29" s="597">
        <v>43686</v>
      </c>
      <c r="I29" s="591">
        <f>10729014-550000-148500-209790-500000+1204560+42000+100000-798500-7620</f>
        <v>9861164</v>
      </c>
      <c r="J29" s="591">
        <v>0</v>
      </c>
      <c r="K29" s="591"/>
      <c r="L29" s="591">
        <f>18843000-1200000</f>
        <v>17643000</v>
      </c>
      <c r="M29" s="591"/>
      <c r="N29" s="591"/>
      <c r="O29" s="591">
        <v>0</v>
      </c>
      <c r="P29" s="591">
        <v>0</v>
      </c>
      <c r="Q29" s="591">
        <v>0</v>
      </c>
      <c r="R29" s="591"/>
      <c r="S29" s="591"/>
      <c r="T29" s="591">
        <v>0</v>
      </c>
      <c r="U29" s="591">
        <v>0</v>
      </c>
      <c r="V29" s="597">
        <f>698500+7620</f>
        <v>706120</v>
      </c>
      <c r="W29" s="591">
        <v>0</v>
      </c>
      <c r="X29" s="591">
        <v>0</v>
      </c>
      <c r="Y29" s="591">
        <v>0</v>
      </c>
      <c r="Z29" s="592">
        <f t="shared" si="0"/>
        <v>28470970</v>
      </c>
      <c r="AA29" s="599"/>
    </row>
    <row r="30" spans="2:27" ht="24" customHeight="1">
      <c r="B30" s="563" t="s">
        <v>76</v>
      </c>
      <c r="C30" s="563" t="s">
        <v>76</v>
      </c>
      <c r="D30" s="821" t="s">
        <v>964</v>
      </c>
      <c r="E30" s="595" t="s">
        <v>394</v>
      </c>
      <c r="F30" s="600"/>
      <c r="G30" s="591">
        <v>0</v>
      </c>
      <c r="H30" s="591">
        <v>0</v>
      </c>
      <c r="I30" s="591">
        <v>360000</v>
      </c>
      <c r="J30" s="591">
        <v>0</v>
      </c>
      <c r="K30" s="591"/>
      <c r="L30" s="591">
        <v>0</v>
      </c>
      <c r="M30" s="591"/>
      <c r="N30" s="591"/>
      <c r="O30" s="591">
        <v>0</v>
      </c>
      <c r="P30" s="591">
        <v>0</v>
      </c>
      <c r="Q30" s="591">
        <v>0</v>
      </c>
      <c r="R30" s="591"/>
      <c r="S30" s="591"/>
      <c r="T30" s="591">
        <v>0</v>
      </c>
      <c r="U30" s="591">
        <v>0</v>
      </c>
      <c r="V30" s="591">
        <v>0</v>
      </c>
      <c r="W30" s="591">
        <v>0</v>
      </c>
      <c r="X30" s="591">
        <v>0</v>
      </c>
      <c r="Y30" s="591">
        <v>0</v>
      </c>
      <c r="Z30" s="592">
        <f t="shared" si="0"/>
        <v>360000</v>
      </c>
      <c r="AA30" s="599"/>
    </row>
    <row r="31" spans="2:28" ht="24" customHeight="1">
      <c r="B31" s="563" t="s">
        <v>77</v>
      </c>
      <c r="C31" s="563" t="s">
        <v>77</v>
      </c>
      <c r="D31" s="821"/>
      <c r="E31" s="595" t="s">
        <v>395</v>
      </c>
      <c r="F31" s="600"/>
      <c r="G31" s="591">
        <f>11152853-146050-511475+169300-5800-991502</f>
        <v>9667326</v>
      </c>
      <c r="H31" s="591">
        <f>2491715-32131-112525+37246-1276</f>
        <v>2383029</v>
      </c>
      <c r="I31" s="591">
        <f>18737080+178181+624000+788800+255887+991502</f>
        <v>21575450</v>
      </c>
      <c r="J31" s="591">
        <v>0</v>
      </c>
      <c r="K31" s="591"/>
      <c r="L31" s="591">
        <v>0</v>
      </c>
      <c r="M31" s="591"/>
      <c r="N31" s="591"/>
      <c r="O31" s="591">
        <v>0</v>
      </c>
      <c r="P31" s="591">
        <v>0</v>
      </c>
      <c r="Q31" s="591">
        <v>0</v>
      </c>
      <c r="R31" s="591"/>
      <c r="S31" s="591"/>
      <c r="T31" s="591">
        <v>0</v>
      </c>
      <c r="U31" s="591">
        <v>0</v>
      </c>
      <c r="V31" s="591">
        <v>25400</v>
      </c>
      <c r="W31" s="591">
        <v>0</v>
      </c>
      <c r="X31" s="591">
        <v>0</v>
      </c>
      <c r="Y31" s="591">
        <v>0</v>
      </c>
      <c r="Z31" s="592">
        <f t="shared" si="0"/>
        <v>33651205</v>
      </c>
      <c r="AB31" s="562" t="s">
        <v>837</v>
      </c>
    </row>
    <row r="32" spans="1:28" ht="24" customHeight="1">
      <c r="A32" s="562">
        <v>851286</v>
      </c>
      <c r="B32" s="563" t="s">
        <v>78</v>
      </c>
      <c r="C32" s="563" t="s">
        <v>78</v>
      </c>
      <c r="D32" s="821"/>
      <c r="E32" s="595" t="s">
        <v>396</v>
      </c>
      <c r="F32" s="600"/>
      <c r="G32" s="591">
        <v>0</v>
      </c>
      <c r="H32" s="591">
        <v>0</v>
      </c>
      <c r="I32" s="591">
        <v>120000</v>
      </c>
      <c r="J32" s="591">
        <v>0</v>
      </c>
      <c r="K32" s="591"/>
      <c r="L32" s="591">
        <v>0</v>
      </c>
      <c r="M32" s="591"/>
      <c r="N32" s="591"/>
      <c r="O32" s="591">
        <v>0</v>
      </c>
      <c r="P32" s="591">
        <v>0</v>
      </c>
      <c r="Q32" s="591">
        <v>0</v>
      </c>
      <c r="R32" s="591"/>
      <c r="S32" s="591"/>
      <c r="T32" s="591">
        <v>0</v>
      </c>
      <c r="U32" s="591">
        <v>0</v>
      </c>
      <c r="V32" s="591">
        <v>0</v>
      </c>
      <c r="W32" s="591">
        <v>0</v>
      </c>
      <c r="X32" s="591">
        <v>0</v>
      </c>
      <c r="Y32" s="591">
        <v>0</v>
      </c>
      <c r="Z32" s="592">
        <f t="shared" si="0"/>
        <v>120000</v>
      </c>
      <c r="AB32" s="599">
        <f>SUM(Z30:Z33)</f>
        <v>57290889</v>
      </c>
    </row>
    <row r="33" spans="1:26" s="593" customFormat="1" ht="27" customHeight="1">
      <c r="A33" s="562">
        <v>851297</v>
      </c>
      <c r="B33" s="563" t="s">
        <v>79</v>
      </c>
      <c r="C33" s="563" t="s">
        <v>79</v>
      </c>
      <c r="D33" s="821"/>
      <c r="E33" s="595" t="s">
        <v>456</v>
      </c>
      <c r="F33" s="600"/>
      <c r="G33" s="591">
        <f>14479866+110000+135246</f>
        <v>14725112</v>
      </c>
      <c r="H33" s="591">
        <f>3242433+24200+29754</f>
        <v>3296387</v>
      </c>
      <c r="I33" s="591">
        <f>2735180+17100</f>
        <v>2752280</v>
      </c>
      <c r="J33" s="591">
        <v>0</v>
      </c>
      <c r="K33" s="591"/>
      <c r="L33" s="591">
        <v>0</v>
      </c>
      <c r="M33" s="591"/>
      <c r="N33" s="591"/>
      <c r="O33" s="591">
        <v>0</v>
      </c>
      <c r="P33" s="591">
        <v>0</v>
      </c>
      <c r="Q33" s="591">
        <v>0</v>
      </c>
      <c r="R33" s="591"/>
      <c r="S33" s="591"/>
      <c r="T33" s="591">
        <v>0</v>
      </c>
      <c r="U33" s="591">
        <v>0</v>
      </c>
      <c r="V33" s="591">
        <f>4445000-2059095</f>
        <v>2385905</v>
      </c>
      <c r="W33" s="591">
        <v>0</v>
      </c>
      <c r="X33" s="591">
        <v>0</v>
      </c>
      <c r="Y33" s="591">
        <v>0</v>
      </c>
      <c r="Z33" s="592">
        <f t="shared" si="0"/>
        <v>23159684</v>
      </c>
    </row>
    <row r="34" spans="1:26" s="593" customFormat="1" ht="24" customHeight="1">
      <c r="A34" s="562">
        <v>853322</v>
      </c>
      <c r="B34" s="563" t="s">
        <v>80</v>
      </c>
      <c r="C34" s="563" t="s">
        <v>95</v>
      </c>
      <c r="D34" s="594" t="s">
        <v>515</v>
      </c>
      <c r="E34" s="595" t="s">
        <v>96</v>
      </c>
      <c r="F34" s="601"/>
      <c r="G34" s="591">
        <v>0</v>
      </c>
      <c r="H34" s="591">
        <v>0</v>
      </c>
      <c r="I34" s="591">
        <v>0</v>
      </c>
      <c r="J34" s="591">
        <v>0</v>
      </c>
      <c r="K34" s="591"/>
      <c r="L34" s="591">
        <f>37833000-8393000-1607000</f>
        <v>27833000</v>
      </c>
      <c r="M34" s="591"/>
      <c r="N34" s="591"/>
      <c r="O34" s="591">
        <v>0</v>
      </c>
      <c r="P34" s="591">
        <v>0</v>
      </c>
      <c r="Q34" s="591">
        <v>0</v>
      </c>
      <c r="R34" s="591"/>
      <c r="S34" s="591"/>
      <c r="T34" s="591">
        <v>0</v>
      </c>
      <c r="U34" s="591">
        <v>0</v>
      </c>
      <c r="V34" s="591">
        <f>11201400+200000+540000</f>
        <v>11941400</v>
      </c>
      <c r="W34" s="591">
        <v>0</v>
      </c>
      <c r="X34" s="591">
        <v>0</v>
      </c>
      <c r="Y34" s="591">
        <v>0</v>
      </c>
      <c r="Z34" s="592">
        <f t="shared" si="0"/>
        <v>39774400</v>
      </c>
    </row>
    <row r="35" spans="1:26" s="593" customFormat="1" ht="36">
      <c r="A35" s="562"/>
      <c r="B35" s="563" t="s">
        <v>82</v>
      </c>
      <c r="C35" s="563" t="s">
        <v>575</v>
      </c>
      <c r="D35" s="594" t="s">
        <v>516</v>
      </c>
      <c r="E35" s="602" t="s">
        <v>658</v>
      </c>
      <c r="F35" s="601"/>
      <c r="G35" s="591">
        <v>80000</v>
      </c>
      <c r="H35" s="591">
        <v>44359</v>
      </c>
      <c r="I35" s="591">
        <v>1752750</v>
      </c>
      <c r="J35" s="591">
        <v>0</v>
      </c>
      <c r="K35" s="591"/>
      <c r="L35" s="591">
        <v>0</v>
      </c>
      <c r="M35" s="591"/>
      <c r="N35" s="591"/>
      <c r="O35" s="591">
        <v>0</v>
      </c>
      <c r="P35" s="591">
        <v>0</v>
      </c>
      <c r="Q35" s="591">
        <v>0</v>
      </c>
      <c r="R35" s="591"/>
      <c r="S35" s="591"/>
      <c r="T35" s="591">
        <v>0</v>
      </c>
      <c r="U35" s="591">
        <v>0</v>
      </c>
      <c r="V35" s="591">
        <v>0</v>
      </c>
      <c r="W35" s="591">
        <f>4087500+19779919</f>
        <v>23867419</v>
      </c>
      <c r="X35" s="591">
        <v>0</v>
      </c>
      <c r="Y35" s="591">
        <v>0</v>
      </c>
      <c r="Z35" s="592">
        <f t="shared" si="0"/>
        <v>25744528</v>
      </c>
    </row>
    <row r="36" spans="1:26" ht="25.5" customHeight="1">
      <c r="A36" s="562">
        <v>853333</v>
      </c>
      <c r="B36" s="563" t="s">
        <v>86</v>
      </c>
      <c r="C36" s="563" t="s">
        <v>92</v>
      </c>
      <c r="D36" s="594" t="s">
        <v>482</v>
      </c>
      <c r="E36" s="602" t="s">
        <v>99</v>
      </c>
      <c r="F36" s="600"/>
      <c r="G36" s="591">
        <v>0</v>
      </c>
      <c r="H36" s="591">
        <v>0</v>
      </c>
      <c r="I36" s="591">
        <v>49530</v>
      </c>
      <c r="J36" s="591">
        <v>0</v>
      </c>
      <c r="K36" s="591"/>
      <c r="L36" s="603">
        <v>0</v>
      </c>
      <c r="M36" s="603"/>
      <c r="N36" s="603"/>
      <c r="O36" s="591">
        <v>0</v>
      </c>
      <c r="P36" s="591">
        <v>0</v>
      </c>
      <c r="Q36" s="591">
        <v>0</v>
      </c>
      <c r="R36" s="591"/>
      <c r="S36" s="591"/>
      <c r="T36" s="591">
        <v>0</v>
      </c>
      <c r="U36" s="591">
        <v>0</v>
      </c>
      <c r="V36" s="591">
        <v>0</v>
      </c>
      <c r="W36" s="591">
        <v>0</v>
      </c>
      <c r="X36" s="591">
        <v>0</v>
      </c>
      <c r="Y36" s="591">
        <v>0</v>
      </c>
      <c r="Z36" s="592">
        <f t="shared" si="0"/>
        <v>49530</v>
      </c>
    </row>
    <row r="37" spans="1:26" s="593" customFormat="1" ht="23.25" customHeight="1">
      <c r="A37" s="562"/>
      <c r="B37" s="563"/>
      <c r="C37" s="563" t="s">
        <v>891</v>
      </c>
      <c r="D37" s="594" t="s">
        <v>517</v>
      </c>
      <c r="E37" s="602" t="s">
        <v>892</v>
      </c>
      <c r="F37" s="601"/>
      <c r="G37" s="591"/>
      <c r="H37" s="591"/>
      <c r="I37" s="591">
        <v>978201</v>
      </c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2">
        <f t="shared" si="0"/>
        <v>978201</v>
      </c>
    </row>
    <row r="38" spans="1:26" s="593" customFormat="1" ht="24" customHeight="1">
      <c r="A38" s="562"/>
      <c r="B38" s="563" t="s">
        <v>83</v>
      </c>
      <c r="C38" s="563" t="s">
        <v>576</v>
      </c>
      <c r="D38" s="827" t="s">
        <v>965</v>
      </c>
      <c r="E38" s="602" t="s">
        <v>582</v>
      </c>
      <c r="F38" s="601"/>
      <c r="G38" s="591">
        <v>0</v>
      </c>
      <c r="H38" s="591">
        <v>0</v>
      </c>
      <c r="I38" s="591">
        <v>0</v>
      </c>
      <c r="J38" s="591">
        <v>0</v>
      </c>
      <c r="K38" s="591"/>
      <c r="L38" s="591">
        <v>1100000</v>
      </c>
      <c r="M38" s="591"/>
      <c r="N38" s="591"/>
      <c r="O38" s="591">
        <v>0</v>
      </c>
      <c r="P38" s="591">
        <v>0</v>
      </c>
      <c r="Q38" s="591">
        <v>0</v>
      </c>
      <c r="R38" s="591"/>
      <c r="S38" s="591"/>
      <c r="T38" s="591">
        <v>0</v>
      </c>
      <c r="U38" s="591">
        <v>0</v>
      </c>
      <c r="V38" s="591">
        <v>0</v>
      </c>
      <c r="W38" s="591">
        <v>0</v>
      </c>
      <c r="X38" s="591">
        <v>0</v>
      </c>
      <c r="Y38" s="591">
        <v>0</v>
      </c>
      <c r="Z38" s="592">
        <f t="shared" si="0"/>
        <v>1100000</v>
      </c>
    </row>
    <row r="39" spans="1:26" s="593" customFormat="1" ht="23.25" customHeight="1">
      <c r="A39" s="562"/>
      <c r="B39" s="563" t="s">
        <v>84</v>
      </c>
      <c r="C39" s="563" t="s">
        <v>91</v>
      </c>
      <c r="D39" s="828"/>
      <c r="E39" s="602" t="s">
        <v>397</v>
      </c>
      <c r="F39" s="601"/>
      <c r="G39" s="591">
        <v>0</v>
      </c>
      <c r="H39" s="591">
        <v>0</v>
      </c>
      <c r="I39" s="591">
        <v>0</v>
      </c>
      <c r="J39" s="591">
        <v>0</v>
      </c>
      <c r="K39" s="591"/>
      <c r="L39" s="591">
        <f>3374212-50329</f>
        <v>3323883</v>
      </c>
      <c r="M39" s="591"/>
      <c r="N39" s="591"/>
      <c r="O39" s="591">
        <v>0</v>
      </c>
      <c r="P39" s="591">
        <v>0</v>
      </c>
      <c r="Q39" s="591">
        <v>0</v>
      </c>
      <c r="R39" s="591"/>
      <c r="S39" s="591"/>
      <c r="T39" s="591">
        <v>0</v>
      </c>
      <c r="U39" s="591">
        <v>0</v>
      </c>
      <c r="V39" s="591">
        <v>0</v>
      </c>
      <c r="W39" s="591">
        <v>0</v>
      </c>
      <c r="X39" s="591">
        <v>788000</v>
      </c>
      <c r="Y39" s="591">
        <v>0</v>
      </c>
      <c r="Z39" s="592">
        <f t="shared" si="0"/>
        <v>4111883</v>
      </c>
    </row>
    <row r="40" spans="2:28" ht="36">
      <c r="B40" s="563" t="s">
        <v>87</v>
      </c>
      <c r="C40" s="563" t="s">
        <v>93</v>
      </c>
      <c r="D40" s="828"/>
      <c r="E40" s="595" t="s">
        <v>583</v>
      </c>
      <c r="F40" s="600"/>
      <c r="G40" s="591">
        <v>0</v>
      </c>
      <c r="H40" s="591">
        <v>0</v>
      </c>
      <c r="I40" s="591">
        <v>0</v>
      </c>
      <c r="J40" s="591">
        <v>0</v>
      </c>
      <c r="K40" s="591"/>
      <c r="L40" s="603">
        <f>13435298-262038-1500000</f>
        <v>11673260</v>
      </c>
      <c r="M40" s="603"/>
      <c r="N40" s="603"/>
      <c r="O40" s="591">
        <v>0</v>
      </c>
      <c r="P40" s="591">
        <v>0</v>
      </c>
      <c r="Q40" s="591">
        <v>0</v>
      </c>
      <c r="R40" s="591"/>
      <c r="S40" s="591"/>
      <c r="T40" s="591">
        <v>0</v>
      </c>
      <c r="U40" s="591">
        <v>0</v>
      </c>
      <c r="V40" s="591"/>
      <c r="W40" s="591">
        <v>0</v>
      </c>
      <c r="X40" s="591">
        <v>50000</v>
      </c>
      <c r="Y40" s="591">
        <v>0</v>
      </c>
      <c r="Z40" s="592">
        <f t="shared" si="0"/>
        <v>11723260</v>
      </c>
      <c r="AB40" s="562" t="s">
        <v>836</v>
      </c>
    </row>
    <row r="41" spans="2:28" ht="24">
      <c r="B41" s="563" t="s">
        <v>88</v>
      </c>
      <c r="C41" s="563" t="s">
        <v>653</v>
      </c>
      <c r="D41" s="829"/>
      <c r="E41" s="595" t="s">
        <v>654</v>
      </c>
      <c r="F41" s="600"/>
      <c r="G41" s="591">
        <v>0</v>
      </c>
      <c r="H41" s="591">
        <v>0</v>
      </c>
      <c r="I41" s="591">
        <v>0</v>
      </c>
      <c r="J41" s="591">
        <v>0</v>
      </c>
      <c r="K41" s="591"/>
      <c r="L41" s="603">
        <f>6711326-267633</f>
        <v>6443693</v>
      </c>
      <c r="M41" s="603"/>
      <c r="N41" s="603"/>
      <c r="O41" s="591">
        <v>0</v>
      </c>
      <c r="P41" s="591">
        <v>0</v>
      </c>
      <c r="Q41" s="591">
        <v>0</v>
      </c>
      <c r="R41" s="591"/>
      <c r="S41" s="591"/>
      <c r="T41" s="591">
        <v>0</v>
      </c>
      <c r="U41" s="591">
        <v>0</v>
      </c>
      <c r="V41" s="591">
        <v>0</v>
      </c>
      <c r="W41" s="591">
        <v>0</v>
      </c>
      <c r="X41" s="591">
        <v>0</v>
      </c>
      <c r="Y41" s="591">
        <v>0</v>
      </c>
      <c r="Z41" s="592">
        <f t="shared" si="0"/>
        <v>6443693</v>
      </c>
      <c r="AB41" s="599">
        <f>SUM(Z38:Z41)</f>
        <v>23378836</v>
      </c>
    </row>
    <row r="42" spans="1:26" s="593" customFormat="1" ht="23.25" customHeight="1">
      <c r="A42" s="562"/>
      <c r="B42" s="563"/>
      <c r="C42" s="563" t="s">
        <v>75</v>
      </c>
      <c r="D42" s="594" t="s">
        <v>430</v>
      </c>
      <c r="E42" s="602" t="s">
        <v>692</v>
      </c>
      <c r="F42" s="601"/>
      <c r="G42" s="591">
        <v>0</v>
      </c>
      <c r="H42" s="591">
        <v>0</v>
      </c>
      <c r="I42" s="591">
        <v>0</v>
      </c>
      <c r="J42" s="591">
        <v>0</v>
      </c>
      <c r="K42" s="591"/>
      <c r="L42" s="591">
        <v>0</v>
      </c>
      <c r="M42" s="591"/>
      <c r="N42" s="591"/>
      <c r="O42" s="591">
        <v>0</v>
      </c>
      <c r="P42" s="591">
        <v>0</v>
      </c>
      <c r="Q42" s="591">
        <v>0</v>
      </c>
      <c r="R42" s="591"/>
      <c r="S42" s="591"/>
      <c r="T42" s="591">
        <v>0</v>
      </c>
      <c r="U42" s="591">
        <v>0</v>
      </c>
      <c r="V42" s="591">
        <f>1237243-3</f>
        <v>1237240</v>
      </c>
      <c r="W42" s="591">
        <f>11154409+3</f>
        <v>11154412</v>
      </c>
      <c r="X42" s="591">
        <v>0</v>
      </c>
      <c r="Y42" s="591">
        <v>0</v>
      </c>
      <c r="Z42" s="592">
        <f t="shared" si="0"/>
        <v>12391652</v>
      </c>
    </row>
    <row r="43" spans="3:26" ht="24">
      <c r="C43" s="563" t="s">
        <v>700</v>
      </c>
      <c r="D43" s="604" t="s">
        <v>431</v>
      </c>
      <c r="E43" s="595" t="s">
        <v>701</v>
      </c>
      <c r="F43" s="600"/>
      <c r="G43" s="591">
        <v>1782000</v>
      </c>
      <c r="H43" s="591">
        <v>392040</v>
      </c>
      <c r="I43" s="591">
        <v>57328858</v>
      </c>
      <c r="J43" s="591">
        <v>0</v>
      </c>
      <c r="K43" s="591"/>
      <c r="L43" s="591">
        <v>0</v>
      </c>
      <c r="M43" s="591"/>
      <c r="N43" s="591"/>
      <c r="O43" s="591">
        <v>0</v>
      </c>
      <c r="P43" s="591">
        <v>0</v>
      </c>
      <c r="Q43" s="591">
        <v>0</v>
      </c>
      <c r="R43" s="591"/>
      <c r="S43" s="591"/>
      <c r="T43" s="591">
        <v>0</v>
      </c>
      <c r="U43" s="591">
        <v>0</v>
      </c>
      <c r="V43" s="591">
        <v>0</v>
      </c>
      <c r="W43" s="591">
        <v>0</v>
      </c>
      <c r="X43" s="591">
        <v>0</v>
      </c>
      <c r="Y43" s="591">
        <v>0</v>
      </c>
      <c r="Z43" s="592">
        <f t="shared" si="0"/>
        <v>59502898</v>
      </c>
    </row>
    <row r="44" spans="3:26" ht="25.5" customHeight="1">
      <c r="C44" s="563" t="s">
        <v>889</v>
      </c>
      <c r="D44" s="604" t="s">
        <v>518</v>
      </c>
      <c r="E44" s="595" t="s">
        <v>890</v>
      </c>
      <c r="F44" s="600"/>
      <c r="G44" s="591"/>
      <c r="H44" s="591"/>
      <c r="I44" s="591">
        <v>24000</v>
      </c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2">
        <f t="shared" si="0"/>
        <v>24000</v>
      </c>
    </row>
    <row r="45" spans="3:26" ht="24">
      <c r="C45" s="563" t="s">
        <v>702</v>
      </c>
      <c r="D45" s="604" t="s">
        <v>432</v>
      </c>
      <c r="E45" s="595" t="s">
        <v>703</v>
      </c>
      <c r="F45" s="600"/>
      <c r="G45" s="591">
        <v>0</v>
      </c>
      <c r="H45" s="591">
        <v>0</v>
      </c>
      <c r="I45" s="591">
        <v>2254350</v>
      </c>
      <c r="J45" s="591">
        <v>0</v>
      </c>
      <c r="K45" s="591"/>
      <c r="L45" s="591">
        <v>0</v>
      </c>
      <c r="M45" s="591"/>
      <c r="N45" s="591"/>
      <c r="O45" s="591">
        <v>0</v>
      </c>
      <c r="P45" s="591">
        <v>0</v>
      </c>
      <c r="Q45" s="591">
        <v>0</v>
      </c>
      <c r="R45" s="591"/>
      <c r="S45" s="591"/>
      <c r="T45" s="591">
        <v>0</v>
      </c>
      <c r="U45" s="591">
        <v>0</v>
      </c>
      <c r="V45" s="591">
        <v>0</v>
      </c>
      <c r="W45" s="591">
        <v>0</v>
      </c>
      <c r="X45" s="591">
        <v>0</v>
      </c>
      <c r="Y45" s="591">
        <v>0</v>
      </c>
      <c r="Z45" s="592">
        <f t="shared" si="0"/>
        <v>2254350</v>
      </c>
    </row>
    <row r="46" spans="3:26" ht="24">
      <c r="C46" s="563" t="s">
        <v>89</v>
      </c>
      <c r="D46" s="604" t="s">
        <v>455</v>
      </c>
      <c r="E46" s="595" t="s">
        <v>893</v>
      </c>
      <c r="F46" s="600"/>
      <c r="G46" s="591">
        <v>7051200</v>
      </c>
      <c r="H46" s="591">
        <v>1898910</v>
      </c>
      <c r="I46" s="591">
        <v>7185532</v>
      </c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2">
        <f t="shared" si="0"/>
        <v>16135642</v>
      </c>
    </row>
    <row r="47" spans="3:26" ht="24">
      <c r="C47" s="563" t="s">
        <v>655</v>
      </c>
      <c r="D47" s="604" t="s">
        <v>519</v>
      </c>
      <c r="E47" s="595" t="s">
        <v>656</v>
      </c>
      <c r="F47" s="600"/>
      <c r="G47" s="591">
        <v>5250</v>
      </c>
      <c r="H47" s="591">
        <v>2292</v>
      </c>
      <c r="I47" s="591">
        <f>25488+100000</f>
        <v>125488</v>
      </c>
      <c r="J47" s="591">
        <v>0</v>
      </c>
      <c r="K47" s="591"/>
      <c r="L47" s="603">
        <v>0</v>
      </c>
      <c r="M47" s="603"/>
      <c r="N47" s="603"/>
      <c r="O47" s="591">
        <v>0</v>
      </c>
      <c r="P47" s="591">
        <v>0</v>
      </c>
      <c r="Q47" s="591">
        <v>0</v>
      </c>
      <c r="R47" s="591"/>
      <c r="S47" s="591"/>
      <c r="T47" s="591">
        <v>0</v>
      </c>
      <c r="U47" s="591">
        <v>0</v>
      </c>
      <c r="V47" s="591"/>
      <c r="W47" s="591">
        <v>0</v>
      </c>
      <c r="X47" s="591">
        <v>0</v>
      </c>
      <c r="Y47" s="591">
        <v>0</v>
      </c>
      <c r="Z47" s="592">
        <f t="shared" si="0"/>
        <v>133030</v>
      </c>
    </row>
    <row r="48" spans="2:26" ht="24" customHeight="1">
      <c r="B48" s="563" t="s">
        <v>89</v>
      </c>
      <c r="C48" s="563" t="s">
        <v>693</v>
      </c>
      <c r="D48" s="822" t="s">
        <v>966</v>
      </c>
      <c r="E48" s="595" t="s">
        <v>695</v>
      </c>
      <c r="F48" s="600"/>
      <c r="G48" s="591">
        <v>0</v>
      </c>
      <c r="H48" s="591">
        <v>0</v>
      </c>
      <c r="I48" s="591">
        <f>14500000+1176540-676541</f>
        <v>14999999</v>
      </c>
      <c r="J48" s="591">
        <v>0</v>
      </c>
      <c r="K48" s="591"/>
      <c r="L48" s="591">
        <f>25701000-9876000</f>
        <v>15825000</v>
      </c>
      <c r="M48" s="591"/>
      <c r="N48" s="591"/>
      <c r="O48" s="591">
        <v>0</v>
      </c>
      <c r="P48" s="591">
        <v>0</v>
      </c>
      <c r="Q48" s="591">
        <v>0</v>
      </c>
      <c r="R48" s="591"/>
      <c r="S48" s="591"/>
      <c r="T48" s="591">
        <v>0</v>
      </c>
      <c r="U48" s="591">
        <v>0</v>
      </c>
      <c r="V48" s="591">
        <v>0</v>
      </c>
      <c r="W48" s="591">
        <v>0</v>
      </c>
      <c r="X48" s="591">
        <v>0</v>
      </c>
      <c r="Y48" s="591">
        <v>0</v>
      </c>
      <c r="Z48" s="592">
        <f t="shared" si="0"/>
        <v>30824999</v>
      </c>
    </row>
    <row r="49" spans="2:26" ht="24" customHeight="1">
      <c r="B49" s="563" t="s">
        <v>90</v>
      </c>
      <c r="C49" s="563" t="s">
        <v>694</v>
      </c>
      <c r="D49" s="823"/>
      <c r="E49" s="595" t="s">
        <v>696</v>
      </c>
      <c r="F49" s="600"/>
      <c r="G49" s="591">
        <v>0</v>
      </c>
      <c r="H49" s="591">
        <v>0</v>
      </c>
      <c r="I49" s="591">
        <v>0</v>
      </c>
      <c r="J49" s="591">
        <v>0</v>
      </c>
      <c r="K49" s="591"/>
      <c r="L49" s="603">
        <f>11294000-2249000</f>
        <v>9045000</v>
      </c>
      <c r="M49" s="603"/>
      <c r="N49" s="603"/>
      <c r="O49" s="591">
        <v>0</v>
      </c>
      <c r="P49" s="591">
        <v>0</v>
      </c>
      <c r="Q49" s="591">
        <v>0</v>
      </c>
      <c r="R49" s="591"/>
      <c r="S49" s="591"/>
      <c r="T49" s="591">
        <v>0</v>
      </c>
      <c r="U49" s="591">
        <v>0</v>
      </c>
      <c r="V49" s="591">
        <v>0</v>
      </c>
      <c r="W49" s="591">
        <v>0</v>
      </c>
      <c r="X49" s="591">
        <v>0</v>
      </c>
      <c r="Y49" s="591">
        <v>0</v>
      </c>
      <c r="Z49" s="592">
        <f t="shared" si="0"/>
        <v>9045000</v>
      </c>
    </row>
    <row r="50" spans="3:28" ht="24" customHeight="1">
      <c r="C50" s="563" t="s">
        <v>81</v>
      </c>
      <c r="D50" s="823"/>
      <c r="E50" s="595" t="s">
        <v>697</v>
      </c>
      <c r="F50" s="600"/>
      <c r="G50" s="591">
        <v>0</v>
      </c>
      <c r="H50" s="591">
        <v>0</v>
      </c>
      <c r="I50" s="591">
        <v>0</v>
      </c>
      <c r="J50" s="591">
        <v>0</v>
      </c>
      <c r="K50" s="591"/>
      <c r="L50" s="591">
        <f>3419000-653000</f>
        <v>2766000</v>
      </c>
      <c r="M50" s="591"/>
      <c r="N50" s="591"/>
      <c r="O50" s="591">
        <v>0</v>
      </c>
      <c r="P50" s="591">
        <v>0</v>
      </c>
      <c r="Q50" s="591">
        <v>0</v>
      </c>
      <c r="R50" s="591"/>
      <c r="S50" s="591"/>
      <c r="T50" s="591">
        <v>0</v>
      </c>
      <c r="U50" s="591">
        <v>0</v>
      </c>
      <c r="V50" s="591">
        <v>0</v>
      </c>
      <c r="W50" s="591">
        <v>0</v>
      </c>
      <c r="X50" s="591">
        <v>0</v>
      </c>
      <c r="Y50" s="591">
        <v>0</v>
      </c>
      <c r="Z50" s="592">
        <f t="shared" si="0"/>
        <v>2766000</v>
      </c>
      <c r="AB50" s="599"/>
    </row>
    <row r="51" spans="3:26" ht="24" customHeight="1">
      <c r="C51" s="563" t="s">
        <v>84</v>
      </c>
      <c r="D51" s="823"/>
      <c r="E51" s="595" t="s">
        <v>698</v>
      </c>
      <c r="F51" s="600"/>
      <c r="G51" s="591">
        <v>0</v>
      </c>
      <c r="H51" s="591">
        <v>0</v>
      </c>
      <c r="I51" s="591">
        <v>0</v>
      </c>
      <c r="J51" s="591">
        <v>0</v>
      </c>
      <c r="K51" s="591"/>
      <c r="L51" s="591">
        <f>5394000-1203000</f>
        <v>4191000</v>
      </c>
      <c r="M51" s="591"/>
      <c r="N51" s="591"/>
      <c r="O51" s="591">
        <v>0</v>
      </c>
      <c r="P51" s="591">
        <v>0</v>
      </c>
      <c r="Q51" s="591">
        <v>0</v>
      </c>
      <c r="R51" s="591"/>
      <c r="S51" s="591"/>
      <c r="T51" s="591">
        <v>0</v>
      </c>
      <c r="U51" s="591">
        <v>0</v>
      </c>
      <c r="V51" s="591">
        <v>0</v>
      </c>
      <c r="W51" s="591">
        <v>0</v>
      </c>
      <c r="X51" s="591">
        <v>0</v>
      </c>
      <c r="Y51" s="591">
        <v>0</v>
      </c>
      <c r="Z51" s="592">
        <f t="shared" si="0"/>
        <v>4191000</v>
      </c>
    </row>
    <row r="52" spans="2:26" ht="24" customHeight="1">
      <c r="B52" s="563" t="s">
        <v>91</v>
      </c>
      <c r="C52" s="563" t="s">
        <v>86</v>
      </c>
      <c r="D52" s="823"/>
      <c r="E52" s="595" t="s">
        <v>477</v>
      </c>
      <c r="F52" s="600"/>
      <c r="G52" s="591">
        <v>0</v>
      </c>
      <c r="H52" s="591">
        <v>0</v>
      </c>
      <c r="I52" s="591">
        <f>2200000+214270+676541</f>
        <v>3090811</v>
      </c>
      <c r="J52" s="591">
        <v>0</v>
      </c>
      <c r="K52" s="591"/>
      <c r="L52" s="591">
        <f>8971000-2187000</f>
        <v>6784000</v>
      </c>
      <c r="M52" s="591"/>
      <c r="N52" s="591"/>
      <c r="O52" s="591">
        <v>0</v>
      </c>
      <c r="P52" s="591">
        <v>0</v>
      </c>
      <c r="Q52" s="591">
        <v>0</v>
      </c>
      <c r="R52" s="591"/>
      <c r="S52" s="591"/>
      <c r="T52" s="591">
        <v>0</v>
      </c>
      <c r="U52" s="591">
        <v>0</v>
      </c>
      <c r="V52" s="591">
        <v>0</v>
      </c>
      <c r="W52" s="591">
        <v>0</v>
      </c>
      <c r="X52" s="591">
        <v>0</v>
      </c>
      <c r="Y52" s="591">
        <v>0</v>
      </c>
      <c r="Z52" s="592">
        <f t="shared" si="0"/>
        <v>9874811</v>
      </c>
    </row>
    <row r="53" spans="2:26" ht="24" customHeight="1">
      <c r="B53" s="563" t="s">
        <v>92</v>
      </c>
      <c r="C53" s="563" t="s">
        <v>87</v>
      </c>
      <c r="D53" s="824"/>
      <c r="E53" s="595" t="s">
        <v>478</v>
      </c>
      <c r="F53" s="600"/>
      <c r="G53" s="591">
        <v>0</v>
      </c>
      <c r="H53" s="591">
        <v>0</v>
      </c>
      <c r="I53" s="591">
        <v>0</v>
      </c>
      <c r="J53" s="591">
        <v>0</v>
      </c>
      <c r="K53" s="591"/>
      <c r="L53" s="591">
        <f>5744000-868000</f>
        <v>4876000</v>
      </c>
      <c r="M53" s="591"/>
      <c r="N53" s="591"/>
      <c r="O53" s="591">
        <v>0</v>
      </c>
      <c r="P53" s="591">
        <v>0</v>
      </c>
      <c r="Q53" s="591">
        <v>0</v>
      </c>
      <c r="R53" s="591"/>
      <c r="S53" s="591"/>
      <c r="T53" s="591">
        <v>0</v>
      </c>
      <c r="U53" s="591">
        <v>0</v>
      </c>
      <c r="V53" s="591">
        <v>0</v>
      </c>
      <c r="W53" s="591">
        <v>0</v>
      </c>
      <c r="X53" s="591">
        <v>0</v>
      </c>
      <c r="Y53" s="591">
        <v>0</v>
      </c>
      <c r="Z53" s="592">
        <f t="shared" si="0"/>
        <v>4876000</v>
      </c>
    </row>
    <row r="54" spans="2:26" ht="24">
      <c r="B54" s="563" t="s">
        <v>95</v>
      </c>
      <c r="C54" s="563" t="s">
        <v>90</v>
      </c>
      <c r="D54" s="604" t="s">
        <v>521</v>
      </c>
      <c r="E54" s="595" t="s">
        <v>699</v>
      </c>
      <c r="F54" s="600"/>
      <c r="G54" s="591">
        <v>0</v>
      </c>
      <c r="H54" s="591">
        <v>0</v>
      </c>
      <c r="I54" s="591">
        <v>0</v>
      </c>
      <c r="J54" s="591">
        <v>3804900</v>
      </c>
      <c r="K54" s="591"/>
      <c r="L54" s="591">
        <v>0</v>
      </c>
      <c r="M54" s="591"/>
      <c r="N54" s="591"/>
      <c r="O54" s="591">
        <v>0</v>
      </c>
      <c r="P54" s="591">
        <v>0</v>
      </c>
      <c r="Q54" s="591">
        <v>0</v>
      </c>
      <c r="R54" s="591"/>
      <c r="S54" s="591"/>
      <c r="T54" s="591">
        <v>0</v>
      </c>
      <c r="U54" s="591">
        <v>0</v>
      </c>
      <c r="V54" s="591">
        <v>0</v>
      </c>
      <c r="W54" s="591">
        <v>0</v>
      </c>
      <c r="X54" s="605">
        <v>0</v>
      </c>
      <c r="Y54" s="591">
        <v>0</v>
      </c>
      <c r="Z54" s="592">
        <f t="shared" si="0"/>
        <v>3804900</v>
      </c>
    </row>
    <row r="55" spans="4:26" ht="24">
      <c r="D55" s="604" t="s">
        <v>522</v>
      </c>
      <c r="E55" s="595" t="s">
        <v>393</v>
      </c>
      <c r="F55" s="606"/>
      <c r="G55" s="607">
        <v>0</v>
      </c>
      <c r="H55" s="605">
        <v>0</v>
      </c>
      <c r="I55" s="605">
        <v>0</v>
      </c>
      <c r="J55" s="605">
        <v>0</v>
      </c>
      <c r="K55" s="605"/>
      <c r="L55" s="605">
        <v>0</v>
      </c>
      <c r="M55" s="605"/>
      <c r="N55" s="605"/>
      <c r="O55" s="605">
        <f>1000000-1000000</f>
        <v>0</v>
      </c>
      <c r="P55" s="605">
        <f>300000+153824</f>
        <v>453824</v>
      </c>
      <c r="Q55" s="605">
        <f>1000000-40723-500000+1553784+750000-668467-1467722-100000-130000-50000-217072+35571-165371</f>
        <v>0</v>
      </c>
      <c r="R55" s="605">
        <f>6865581-6762752-102829</f>
        <v>0</v>
      </c>
      <c r="S55" s="605">
        <f>30016102-50995-5512457-430000-379000-4649000-255887-18738763</f>
        <v>0</v>
      </c>
      <c r="T55" s="605">
        <f>3550000-680000-2870000</f>
        <v>0</v>
      </c>
      <c r="U55" s="605">
        <f>389000+4649000-35571-825910</f>
        <v>4176519</v>
      </c>
      <c r="V55" s="605">
        <v>0</v>
      </c>
      <c r="W55" s="605">
        <v>0</v>
      </c>
      <c r="X55" s="607">
        <v>0</v>
      </c>
      <c r="Y55" s="605">
        <v>0</v>
      </c>
      <c r="Z55" s="592">
        <f t="shared" si="0"/>
        <v>4630343</v>
      </c>
    </row>
    <row r="56" spans="3:26" ht="24" customHeight="1">
      <c r="C56" s="608" t="s">
        <v>577</v>
      </c>
      <c r="D56" s="604" t="s">
        <v>523</v>
      </c>
      <c r="E56" s="609" t="s">
        <v>374</v>
      </c>
      <c r="F56" s="606"/>
      <c r="G56" s="607">
        <v>2645200</v>
      </c>
      <c r="H56" s="605">
        <v>713024</v>
      </c>
      <c r="I56" s="605">
        <f>781050+1479371+1143687+20948</f>
        <v>3425056</v>
      </c>
      <c r="J56" s="605">
        <v>0</v>
      </c>
      <c r="K56" s="605"/>
      <c r="L56" s="605">
        <v>0</v>
      </c>
      <c r="M56" s="605"/>
      <c r="N56" s="605"/>
      <c r="O56" s="605">
        <v>0</v>
      </c>
      <c r="P56" s="607">
        <v>0</v>
      </c>
      <c r="Q56" s="607">
        <v>0</v>
      </c>
      <c r="R56" s="607"/>
      <c r="S56" s="607"/>
      <c r="T56" s="607">
        <v>0</v>
      </c>
      <c r="U56" s="607">
        <v>0</v>
      </c>
      <c r="V56" s="605">
        <v>0</v>
      </c>
      <c r="W56" s="605">
        <v>0</v>
      </c>
      <c r="X56" s="605">
        <v>0</v>
      </c>
      <c r="Y56" s="605">
        <v>0</v>
      </c>
      <c r="Z56" s="592">
        <f t="shared" si="0"/>
        <v>6783280</v>
      </c>
    </row>
    <row r="57" spans="3:26" ht="24">
      <c r="C57" s="608"/>
      <c r="D57" s="604" t="s">
        <v>790</v>
      </c>
      <c r="E57" s="609" t="s">
        <v>657</v>
      </c>
      <c r="F57" s="606"/>
      <c r="G57" s="607">
        <v>0</v>
      </c>
      <c r="H57" s="607">
        <v>0</v>
      </c>
      <c r="I57" s="607">
        <f>7848600+222286</f>
        <v>8070886</v>
      </c>
      <c r="J57" s="607">
        <v>0</v>
      </c>
      <c r="K57" s="607"/>
      <c r="L57" s="607">
        <v>0</v>
      </c>
      <c r="M57" s="607"/>
      <c r="N57" s="607"/>
      <c r="O57" s="607">
        <v>0</v>
      </c>
      <c r="P57" s="607">
        <v>0</v>
      </c>
      <c r="Q57" s="607">
        <v>0</v>
      </c>
      <c r="R57" s="607"/>
      <c r="S57" s="607"/>
      <c r="T57" s="607">
        <v>0</v>
      </c>
      <c r="U57" s="607">
        <v>0</v>
      </c>
      <c r="V57" s="607">
        <v>0</v>
      </c>
      <c r="W57" s="607">
        <v>0</v>
      </c>
      <c r="X57" s="607">
        <v>0</v>
      </c>
      <c r="Y57" s="668">
        <v>0</v>
      </c>
      <c r="Z57" s="592">
        <f t="shared" si="0"/>
        <v>8070886</v>
      </c>
    </row>
    <row r="58" spans="1:29" s="610" customFormat="1" ht="24" customHeight="1" thickBot="1">
      <c r="A58" s="610">
        <v>999997</v>
      </c>
      <c r="B58" s="608"/>
      <c r="D58" s="611" t="s">
        <v>791</v>
      </c>
      <c r="E58" s="612" t="s">
        <v>379</v>
      </c>
      <c r="F58" s="613">
        <f>SUM(F8:F54)</f>
        <v>0</v>
      </c>
      <c r="G58" s="614">
        <f aca="true" t="shared" si="1" ref="G58:Z58">SUM(G8:G57)</f>
        <v>217696543</v>
      </c>
      <c r="H58" s="614">
        <f t="shared" si="1"/>
        <v>36877944</v>
      </c>
      <c r="I58" s="614">
        <f t="shared" si="1"/>
        <v>262520686</v>
      </c>
      <c r="J58" s="614">
        <f t="shared" si="1"/>
        <v>3804900</v>
      </c>
      <c r="K58" s="614">
        <f t="shared" si="1"/>
        <v>64879835</v>
      </c>
      <c r="L58" s="614">
        <f t="shared" si="1"/>
        <v>260170999</v>
      </c>
      <c r="M58" s="614">
        <f t="shared" si="1"/>
        <v>9314000</v>
      </c>
      <c r="N58" s="614">
        <f t="shared" si="1"/>
        <v>40723</v>
      </c>
      <c r="O58" s="614">
        <f t="shared" si="1"/>
        <v>0</v>
      </c>
      <c r="P58" s="614">
        <f t="shared" si="1"/>
        <v>453824</v>
      </c>
      <c r="Q58" s="614">
        <f t="shared" si="1"/>
        <v>0</v>
      </c>
      <c r="R58" s="614">
        <f t="shared" si="1"/>
        <v>0</v>
      </c>
      <c r="S58" s="614">
        <f t="shared" si="1"/>
        <v>0</v>
      </c>
      <c r="T58" s="614">
        <f t="shared" si="1"/>
        <v>0</v>
      </c>
      <c r="U58" s="614">
        <f t="shared" si="1"/>
        <v>4176519</v>
      </c>
      <c r="V58" s="614">
        <f t="shared" si="1"/>
        <v>331011480</v>
      </c>
      <c r="W58" s="614">
        <f t="shared" si="1"/>
        <v>62458941</v>
      </c>
      <c r="X58" s="614">
        <f t="shared" si="1"/>
        <v>46542179</v>
      </c>
      <c r="Y58" s="676">
        <f t="shared" si="1"/>
        <v>35608559</v>
      </c>
      <c r="Z58" s="677">
        <f t="shared" si="1"/>
        <v>1335557132</v>
      </c>
      <c r="AA58" s="615">
        <f>SUM(G58:Y58)</f>
        <v>1335557132</v>
      </c>
      <c r="AB58" s="616"/>
      <c r="AC58" s="616"/>
    </row>
    <row r="59" ht="12.75">
      <c r="E59" s="711"/>
    </row>
    <row r="63" ht="12">
      <c r="F63" s="618"/>
    </row>
  </sheetData>
  <sheetProtection/>
  <mergeCells count="12">
    <mergeCell ref="G4:Y4"/>
    <mergeCell ref="Z4:Z6"/>
    <mergeCell ref="D30:D33"/>
    <mergeCell ref="D48:D53"/>
    <mergeCell ref="L5:U5"/>
    <mergeCell ref="D38:D41"/>
    <mergeCell ref="C1:C2"/>
    <mergeCell ref="U1:Z1"/>
    <mergeCell ref="E2:Z2"/>
    <mergeCell ref="D4:D7"/>
    <mergeCell ref="E4:E6"/>
    <mergeCell ref="F4:F6"/>
  </mergeCells>
  <printOptions horizontalCentered="1"/>
  <pageMargins left="0" right="0" top="0.7874015748031497" bottom="0.7874015748031497" header="0.11811023622047245" footer="0.196850393700787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A84"/>
  <sheetViews>
    <sheetView workbookViewId="0" topLeftCell="A1">
      <selection activeCell="A3" sqref="A3:M84"/>
    </sheetView>
  </sheetViews>
  <sheetFormatPr defaultColWidth="9.00390625" defaultRowHeight="12.75"/>
  <cols>
    <col min="1" max="1" width="7.75390625" style="156" customWidth="1"/>
    <col min="2" max="2" width="31.75390625" style="156" customWidth="1"/>
    <col min="3" max="3" width="14.375" style="156" customWidth="1"/>
    <col min="4" max="4" width="16.25390625" style="156" bestFit="1" customWidth="1"/>
    <col min="5" max="5" width="13.75390625" style="156" bestFit="1" customWidth="1"/>
    <col min="6" max="6" width="16.25390625" style="156" bestFit="1" customWidth="1"/>
    <col min="7" max="8" width="12.875" style="156" customWidth="1"/>
    <col min="9" max="9" width="14.375" style="156" bestFit="1" customWidth="1"/>
    <col min="10" max="11" width="12.875" style="156" customWidth="1"/>
    <col min="12" max="12" width="15.00390625" style="156" customWidth="1"/>
    <col min="13" max="13" width="17.00390625" style="156" bestFit="1" customWidth="1"/>
    <col min="14" max="15" width="9.125" style="156" customWidth="1"/>
    <col min="16" max="16" width="12.875" style="156" bestFit="1" customWidth="1"/>
    <col min="17" max="16384" width="9.125" style="156" customWidth="1"/>
  </cols>
  <sheetData>
    <row r="1" spans="1:21" ht="15">
      <c r="A1" s="223"/>
      <c r="B1" s="224"/>
      <c r="C1" s="225"/>
      <c r="D1" s="225"/>
      <c r="E1" s="225"/>
      <c r="F1" s="225"/>
      <c r="G1" s="849" t="s">
        <v>1066</v>
      </c>
      <c r="H1" s="849"/>
      <c r="I1" s="850"/>
      <c r="J1" s="850"/>
      <c r="K1" s="850"/>
      <c r="L1" s="850"/>
      <c r="M1" s="850"/>
      <c r="N1" s="224"/>
      <c r="O1" s="224"/>
      <c r="P1" s="224"/>
      <c r="Q1" s="224"/>
      <c r="R1" s="226"/>
      <c r="S1" s="226"/>
      <c r="T1" s="226"/>
      <c r="U1" s="224"/>
    </row>
    <row r="2" spans="1:21" ht="12.75">
      <c r="A2" s="223"/>
      <c r="B2" s="224"/>
      <c r="C2" s="225"/>
      <c r="D2" s="225"/>
      <c r="E2" s="225"/>
      <c r="F2" s="225"/>
      <c r="G2" s="227"/>
      <c r="H2" s="227"/>
      <c r="I2" s="228"/>
      <c r="J2" s="228"/>
      <c r="K2" s="228"/>
      <c r="L2" s="228"/>
      <c r="M2" s="228"/>
      <c r="N2" s="224"/>
      <c r="O2" s="224"/>
      <c r="P2" s="224"/>
      <c r="Q2" s="224"/>
      <c r="R2" s="226"/>
      <c r="S2" s="226"/>
      <c r="T2" s="226"/>
      <c r="U2" s="224"/>
    </row>
    <row r="3" spans="1:27" ht="15.75" customHeight="1">
      <c r="A3" s="854" t="s">
        <v>764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</row>
    <row r="4" spans="1:27" ht="13.5" thickBot="1">
      <c r="A4" s="854"/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</row>
    <row r="5" spans="1:27" ht="16.5" thickBot="1">
      <c r="A5" s="876" t="s">
        <v>452</v>
      </c>
      <c r="B5" s="873" t="s">
        <v>375</v>
      </c>
      <c r="C5" s="879" t="s">
        <v>509</v>
      </c>
      <c r="D5" s="879"/>
      <c r="E5" s="879"/>
      <c r="F5" s="879"/>
      <c r="G5" s="879"/>
      <c r="H5" s="879"/>
      <c r="I5" s="879"/>
      <c r="J5" s="879"/>
      <c r="K5" s="879"/>
      <c r="L5" s="879"/>
      <c r="M5" s="880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31"/>
    </row>
    <row r="6" spans="1:13" ht="12.75" customHeight="1">
      <c r="A6" s="877"/>
      <c r="B6" s="874"/>
      <c r="C6" s="855" t="s">
        <v>510</v>
      </c>
      <c r="D6" s="858" t="s">
        <v>511</v>
      </c>
      <c r="E6" s="859"/>
      <c r="F6" s="860"/>
      <c r="G6" s="858" t="s">
        <v>512</v>
      </c>
      <c r="H6" s="859"/>
      <c r="I6" s="860"/>
      <c r="J6" s="858" t="s">
        <v>513</v>
      </c>
      <c r="K6" s="859"/>
      <c r="L6" s="860"/>
      <c r="M6" s="851" t="s">
        <v>384</v>
      </c>
    </row>
    <row r="7" spans="1:13" ht="12.75" customHeight="1">
      <c r="A7" s="877"/>
      <c r="B7" s="874"/>
      <c r="C7" s="856"/>
      <c r="D7" s="861"/>
      <c r="E7" s="862"/>
      <c r="F7" s="863"/>
      <c r="G7" s="861"/>
      <c r="H7" s="862"/>
      <c r="I7" s="863"/>
      <c r="J7" s="861"/>
      <c r="K7" s="862"/>
      <c r="L7" s="863"/>
      <c r="M7" s="852"/>
    </row>
    <row r="8" spans="1:13" ht="24" customHeight="1" thickBot="1">
      <c r="A8" s="878"/>
      <c r="B8" s="875"/>
      <c r="C8" s="857"/>
      <c r="D8" s="232" t="s">
        <v>100</v>
      </c>
      <c r="E8" s="233" t="s">
        <v>101</v>
      </c>
      <c r="F8" s="234" t="s">
        <v>102</v>
      </c>
      <c r="G8" s="235" t="s">
        <v>100</v>
      </c>
      <c r="H8" s="233" t="s">
        <v>101</v>
      </c>
      <c r="I8" s="234" t="s">
        <v>102</v>
      </c>
      <c r="J8" s="235" t="s">
        <v>100</v>
      </c>
      <c r="K8" s="233" t="s">
        <v>101</v>
      </c>
      <c r="L8" s="234" t="s">
        <v>102</v>
      </c>
      <c r="M8" s="853"/>
    </row>
    <row r="9" spans="1:13" ht="29.25" customHeight="1">
      <c r="A9" s="236" t="s">
        <v>407</v>
      </c>
      <c r="B9" s="237" t="s">
        <v>67</v>
      </c>
      <c r="C9" s="238" t="s">
        <v>788</v>
      </c>
      <c r="D9" s="239">
        <f>63491442-304800-8000000+35026110+9314000+3850000+500000+4000000-1500000+904841+430000+379000+3000000+1250944+275208+1094000+24300+2000000-2000000+381000+1594595-16990</f>
        <v>115693650</v>
      </c>
      <c r="E9" s="240">
        <f>83026110-35026110+3150000+500000+500000+16990</f>
        <v>52166990</v>
      </c>
      <c r="F9" s="241">
        <f aca="true" t="shared" si="0" ref="F9:F58">SUM(D9:E9)</f>
        <v>167860640</v>
      </c>
      <c r="G9" s="242"/>
      <c r="H9" s="240"/>
      <c r="I9" s="241">
        <f aca="true" t="shared" si="1" ref="I9:I58">SUM(G9:H9)</f>
        <v>0</v>
      </c>
      <c r="J9" s="243"/>
      <c r="K9" s="244"/>
      <c r="L9" s="241">
        <f aca="true" t="shared" si="2" ref="L9:L72">SUM(J9:K9)</f>
        <v>0</v>
      </c>
      <c r="M9" s="245">
        <f aca="true" t="shared" si="3" ref="M9:M72">SUM(F9+I9+L9)</f>
        <v>167860640</v>
      </c>
    </row>
    <row r="10" spans="1:13" ht="21.75" customHeight="1">
      <c r="A10" s="246" t="s">
        <v>408</v>
      </c>
      <c r="B10" s="265" t="s">
        <v>686</v>
      </c>
      <c r="C10" s="247" t="s">
        <v>773</v>
      </c>
      <c r="D10" s="251">
        <v>100000</v>
      </c>
      <c r="E10" s="252"/>
      <c r="F10" s="241">
        <f t="shared" si="0"/>
        <v>100000</v>
      </c>
      <c r="G10" s="253"/>
      <c r="H10" s="252"/>
      <c r="I10" s="241">
        <f t="shared" si="1"/>
        <v>0</v>
      </c>
      <c r="J10" s="254"/>
      <c r="K10" s="255"/>
      <c r="L10" s="241">
        <f t="shared" si="2"/>
        <v>0</v>
      </c>
      <c r="M10" s="245">
        <f t="shared" si="3"/>
        <v>100000</v>
      </c>
    </row>
    <row r="11" spans="1:13" ht="29.25" customHeight="1">
      <c r="A11" s="246" t="s">
        <v>409</v>
      </c>
      <c r="B11" s="248" t="s">
        <v>62</v>
      </c>
      <c r="C11" s="247" t="s">
        <v>771</v>
      </c>
      <c r="D11" s="239">
        <f>78280594-317500-782000+782000+6762752</f>
        <v>84725846</v>
      </c>
      <c r="E11" s="240">
        <f>1000000+449520+2500000</f>
        <v>3949520</v>
      </c>
      <c r="F11" s="241">
        <f t="shared" si="0"/>
        <v>88675366</v>
      </c>
      <c r="G11" s="242"/>
      <c r="H11" s="240">
        <f>3700000+1159500-904841+9000000</f>
        <v>12954659</v>
      </c>
      <c r="I11" s="241">
        <f t="shared" si="1"/>
        <v>12954659</v>
      </c>
      <c r="J11" s="243"/>
      <c r="K11" s="244"/>
      <c r="L11" s="241">
        <f t="shared" si="2"/>
        <v>0</v>
      </c>
      <c r="M11" s="245">
        <f t="shared" si="3"/>
        <v>101630025</v>
      </c>
    </row>
    <row r="12" spans="1:13" ht="29.25" customHeight="1">
      <c r="A12" s="246" t="s">
        <v>410</v>
      </c>
      <c r="B12" s="248" t="s">
        <v>64</v>
      </c>
      <c r="C12" s="247" t="s">
        <v>771</v>
      </c>
      <c r="D12" s="239">
        <f>6302579+1686276-1094000+32740-32740-115000-266000+28052-22993-5059</f>
        <v>6513855</v>
      </c>
      <c r="E12" s="240"/>
      <c r="F12" s="241">
        <f t="shared" si="0"/>
        <v>6513855</v>
      </c>
      <c r="G12" s="242"/>
      <c r="H12" s="240"/>
      <c r="I12" s="241">
        <f t="shared" si="1"/>
        <v>0</v>
      </c>
      <c r="J12" s="243"/>
      <c r="K12" s="244"/>
      <c r="L12" s="241">
        <f t="shared" si="2"/>
        <v>0</v>
      </c>
      <c r="M12" s="245">
        <f t="shared" si="3"/>
        <v>6513855</v>
      </c>
    </row>
    <row r="13" spans="1:13" ht="29.25" customHeight="1">
      <c r="A13" s="246" t="s">
        <v>411</v>
      </c>
      <c r="B13" s="248" t="s">
        <v>391</v>
      </c>
      <c r="C13" s="249"/>
      <c r="D13" s="239"/>
      <c r="E13" s="240"/>
      <c r="F13" s="241">
        <f t="shared" si="0"/>
        <v>0</v>
      </c>
      <c r="G13" s="242">
        <f>9441210-2000000+167805+1867580-1300000-567580+8879-8879</f>
        <v>7609015</v>
      </c>
      <c r="H13" s="240"/>
      <c r="I13" s="241">
        <f t="shared" si="1"/>
        <v>7609015</v>
      </c>
      <c r="J13" s="243"/>
      <c r="K13" s="244"/>
      <c r="L13" s="241">
        <f t="shared" si="2"/>
        <v>0</v>
      </c>
      <c r="M13" s="245">
        <f t="shared" si="3"/>
        <v>7609015</v>
      </c>
    </row>
    <row r="14" spans="1:13" ht="29.25" customHeight="1">
      <c r="A14" s="246" t="s">
        <v>412</v>
      </c>
      <c r="B14" s="248" t="s">
        <v>849</v>
      </c>
      <c r="C14" s="249"/>
      <c r="D14" s="239">
        <f>25603463+1419433+33742913+4114026</f>
        <v>64879835</v>
      </c>
      <c r="E14" s="240"/>
      <c r="F14" s="241">
        <f t="shared" si="0"/>
        <v>64879835</v>
      </c>
      <c r="G14" s="242"/>
      <c r="H14" s="240"/>
      <c r="I14" s="241">
        <f t="shared" si="1"/>
        <v>0</v>
      </c>
      <c r="J14" s="243"/>
      <c r="K14" s="244"/>
      <c r="L14" s="241">
        <f t="shared" si="2"/>
        <v>0</v>
      </c>
      <c r="M14" s="245">
        <f t="shared" si="3"/>
        <v>64879835</v>
      </c>
    </row>
    <row r="15" spans="1:13" ht="21.75" customHeight="1">
      <c r="A15" s="246" t="s">
        <v>413</v>
      </c>
      <c r="B15" s="265" t="s">
        <v>688</v>
      </c>
      <c r="C15" s="260"/>
      <c r="D15" s="251">
        <f>17567323+237516+48289+217072+18041236</f>
        <v>36111436</v>
      </c>
      <c r="E15" s="252"/>
      <c r="F15" s="241">
        <f t="shared" si="0"/>
        <v>36111436</v>
      </c>
      <c r="G15" s="253"/>
      <c r="H15" s="252"/>
      <c r="I15" s="241">
        <f t="shared" si="1"/>
        <v>0</v>
      </c>
      <c r="J15" s="254"/>
      <c r="K15" s="255"/>
      <c r="L15" s="241">
        <f t="shared" si="2"/>
        <v>0</v>
      </c>
      <c r="M15" s="245">
        <f t="shared" si="3"/>
        <v>36111436</v>
      </c>
    </row>
    <row r="16" spans="1:13" ht="21.75" customHeight="1">
      <c r="A16" s="246" t="s">
        <v>414</v>
      </c>
      <c r="B16" s="265" t="s">
        <v>845</v>
      </c>
      <c r="C16" s="260"/>
      <c r="D16" s="239">
        <v>40723</v>
      </c>
      <c r="E16" s="240"/>
      <c r="F16" s="241">
        <f t="shared" si="0"/>
        <v>40723</v>
      </c>
      <c r="G16" s="242"/>
      <c r="H16" s="240"/>
      <c r="I16" s="241">
        <f t="shared" si="1"/>
        <v>0</v>
      </c>
      <c r="J16" s="243"/>
      <c r="K16" s="244"/>
      <c r="L16" s="241">
        <f t="shared" si="2"/>
        <v>0</v>
      </c>
      <c r="M16" s="245">
        <f t="shared" si="3"/>
        <v>40723</v>
      </c>
    </row>
    <row r="17" spans="1:13" ht="29.25" customHeight="1">
      <c r="A17" s="246" t="s">
        <v>415</v>
      </c>
      <c r="B17" s="248" t="s">
        <v>72</v>
      </c>
      <c r="C17" s="241" t="s">
        <v>772</v>
      </c>
      <c r="D17" s="239"/>
      <c r="E17" s="240"/>
      <c r="F17" s="241">
        <f t="shared" si="0"/>
        <v>0</v>
      </c>
      <c r="G17" s="242"/>
      <c r="H17" s="240"/>
      <c r="I17" s="241">
        <f t="shared" si="1"/>
        <v>0</v>
      </c>
      <c r="J17" s="243">
        <f>47384062+22851+13200+2904-88773-67850</f>
        <v>47266394</v>
      </c>
      <c r="K17" s="244">
        <f>254000+88773+67850</f>
        <v>410623</v>
      </c>
      <c r="L17" s="241">
        <f t="shared" si="2"/>
        <v>47677017</v>
      </c>
      <c r="M17" s="245">
        <f t="shared" si="3"/>
        <v>47677017</v>
      </c>
    </row>
    <row r="18" spans="1:13" ht="29.25" customHeight="1">
      <c r="A18" s="246" t="s">
        <v>416</v>
      </c>
      <c r="B18" s="248" t="s">
        <v>937</v>
      </c>
      <c r="C18" s="247"/>
      <c r="D18" s="239"/>
      <c r="E18" s="240"/>
      <c r="F18" s="241">
        <f t="shared" si="0"/>
        <v>0</v>
      </c>
      <c r="G18" s="242"/>
      <c r="H18" s="240">
        <f>242560000+3832400+17861888</f>
        <v>264254288</v>
      </c>
      <c r="I18" s="241">
        <f t="shared" si="1"/>
        <v>264254288</v>
      </c>
      <c r="J18" s="243"/>
      <c r="K18" s="244"/>
      <c r="L18" s="241">
        <f t="shared" si="2"/>
        <v>0</v>
      </c>
      <c r="M18" s="245">
        <f t="shared" si="3"/>
        <v>264254288</v>
      </c>
    </row>
    <row r="19" spans="1:13" ht="29.25" customHeight="1">
      <c r="A19" s="246" t="s">
        <v>417</v>
      </c>
      <c r="B19" s="248" t="s">
        <v>857</v>
      </c>
      <c r="C19" s="247"/>
      <c r="D19" s="239">
        <f>30882431+3396993+6312014+9659+68575</f>
        <v>40669672</v>
      </c>
      <c r="E19" s="240">
        <v>1398066</v>
      </c>
      <c r="F19" s="241">
        <f t="shared" si="0"/>
        <v>42067738</v>
      </c>
      <c r="G19" s="242"/>
      <c r="H19" s="240"/>
      <c r="I19" s="241">
        <f t="shared" si="1"/>
        <v>0</v>
      </c>
      <c r="J19" s="243"/>
      <c r="K19" s="244"/>
      <c r="L19" s="241">
        <f t="shared" si="2"/>
        <v>0</v>
      </c>
      <c r="M19" s="245">
        <f t="shared" si="3"/>
        <v>42067738</v>
      </c>
    </row>
    <row r="20" spans="1:13" ht="29.25" customHeight="1">
      <c r="A20" s="246" t="s">
        <v>418</v>
      </c>
      <c r="B20" s="248" t="s">
        <v>856</v>
      </c>
      <c r="C20" s="247"/>
      <c r="D20" s="239">
        <f>89907417+9889529+8426434+62168+219691</f>
        <v>108505239</v>
      </c>
      <c r="E20" s="240">
        <v>1707563</v>
      </c>
      <c r="F20" s="241">
        <f t="shared" si="0"/>
        <v>110212802</v>
      </c>
      <c r="G20" s="242"/>
      <c r="H20" s="240"/>
      <c r="I20" s="241">
        <f t="shared" si="1"/>
        <v>0</v>
      </c>
      <c r="J20" s="243"/>
      <c r="K20" s="244"/>
      <c r="L20" s="241">
        <f t="shared" si="2"/>
        <v>0</v>
      </c>
      <c r="M20" s="245">
        <f t="shared" si="3"/>
        <v>110212802</v>
      </c>
    </row>
    <row r="21" spans="1:13" ht="21.75" customHeight="1">
      <c r="A21" s="246" t="s">
        <v>419</v>
      </c>
      <c r="B21" s="265" t="s">
        <v>689</v>
      </c>
      <c r="C21" s="247" t="s">
        <v>773</v>
      </c>
      <c r="D21" s="251"/>
      <c r="E21" s="252"/>
      <c r="F21" s="241">
        <f t="shared" si="0"/>
        <v>0</v>
      </c>
      <c r="G21" s="253"/>
      <c r="H21" s="252">
        <f>17462500+100000</f>
        <v>17562500</v>
      </c>
      <c r="I21" s="241">
        <f t="shared" si="1"/>
        <v>17562500</v>
      </c>
      <c r="J21" s="254"/>
      <c r="K21" s="255"/>
      <c r="L21" s="241">
        <f t="shared" si="2"/>
        <v>0</v>
      </c>
      <c r="M21" s="245">
        <f t="shared" si="3"/>
        <v>17562500</v>
      </c>
    </row>
    <row r="22" spans="1:13" ht="29.25" customHeight="1">
      <c r="A22" s="250" t="s">
        <v>420</v>
      </c>
      <c r="B22" s="248" t="s">
        <v>371</v>
      </c>
      <c r="C22" s="247" t="s">
        <v>773</v>
      </c>
      <c r="D22" s="239">
        <f>9850000-788000-2645132</f>
        <v>6416868</v>
      </c>
      <c r="E22" s="240">
        <f>525300+2645132+14989072</f>
        <v>18159504</v>
      </c>
      <c r="F22" s="241">
        <f t="shared" si="0"/>
        <v>24576372</v>
      </c>
      <c r="G22" s="242"/>
      <c r="H22" s="240"/>
      <c r="I22" s="241">
        <f t="shared" si="1"/>
        <v>0</v>
      </c>
      <c r="J22" s="243"/>
      <c r="K22" s="244"/>
      <c r="L22" s="241">
        <f t="shared" si="2"/>
        <v>0</v>
      </c>
      <c r="M22" s="245">
        <f t="shared" si="3"/>
        <v>24576372</v>
      </c>
    </row>
    <row r="23" spans="1:13" ht="29.25" customHeight="1">
      <c r="A23" s="246" t="s">
        <v>421</v>
      </c>
      <c r="B23" s="248" t="s">
        <v>74</v>
      </c>
      <c r="C23" s="247" t="s">
        <v>774</v>
      </c>
      <c r="D23" s="239">
        <f>1000000-1000000</f>
        <v>0</v>
      </c>
      <c r="E23" s="240">
        <v>6019000</v>
      </c>
      <c r="F23" s="241">
        <f t="shared" si="0"/>
        <v>6019000</v>
      </c>
      <c r="G23" s="242"/>
      <c r="H23" s="240">
        <v>3225085</v>
      </c>
      <c r="I23" s="241">
        <f t="shared" si="1"/>
        <v>3225085</v>
      </c>
      <c r="J23" s="243"/>
      <c r="K23" s="244"/>
      <c r="L23" s="241">
        <f t="shared" si="2"/>
        <v>0</v>
      </c>
      <c r="M23" s="245">
        <f t="shared" si="3"/>
        <v>9244085</v>
      </c>
    </row>
    <row r="24" spans="1:13" ht="29.25" customHeight="1">
      <c r="A24" s="246" t="s">
        <v>422</v>
      </c>
      <c r="B24" s="248" t="s">
        <v>852</v>
      </c>
      <c r="C24" s="247"/>
      <c r="D24" s="239">
        <v>6949788</v>
      </c>
      <c r="E24" s="240"/>
      <c r="F24" s="241">
        <f t="shared" si="0"/>
        <v>6949788</v>
      </c>
      <c r="G24" s="242"/>
      <c r="H24" s="240"/>
      <c r="I24" s="241"/>
      <c r="J24" s="243"/>
      <c r="K24" s="244"/>
      <c r="L24" s="241">
        <f t="shared" si="2"/>
        <v>0</v>
      </c>
      <c r="M24" s="245">
        <f t="shared" si="3"/>
        <v>6949788</v>
      </c>
    </row>
    <row r="25" spans="1:13" ht="30.75" customHeight="1">
      <c r="A25" s="246" t="s">
        <v>423</v>
      </c>
      <c r="B25" s="248" t="s">
        <v>56</v>
      </c>
      <c r="C25" s="247" t="s">
        <v>775</v>
      </c>
      <c r="D25" s="251">
        <v>3247243</v>
      </c>
      <c r="E25" s="252"/>
      <c r="F25" s="241">
        <f t="shared" si="0"/>
        <v>3247243</v>
      </c>
      <c r="G25" s="253"/>
      <c r="H25" s="252"/>
      <c r="I25" s="241">
        <f t="shared" si="1"/>
        <v>0</v>
      </c>
      <c r="J25" s="254"/>
      <c r="K25" s="255"/>
      <c r="L25" s="241">
        <f t="shared" si="2"/>
        <v>0</v>
      </c>
      <c r="M25" s="245">
        <f t="shared" si="3"/>
        <v>3247243</v>
      </c>
    </row>
    <row r="26" spans="1:13" ht="31.5" customHeight="1">
      <c r="A26" s="246" t="s">
        <v>424</v>
      </c>
      <c r="B26" s="248" t="s">
        <v>389</v>
      </c>
      <c r="C26" s="247" t="s">
        <v>776</v>
      </c>
      <c r="D26" s="251">
        <f>11455754+608965</f>
        <v>12064719</v>
      </c>
      <c r="E26" s="252"/>
      <c r="F26" s="241">
        <f t="shared" si="0"/>
        <v>12064719</v>
      </c>
      <c r="G26" s="253"/>
      <c r="H26" s="252"/>
      <c r="I26" s="241">
        <f t="shared" si="1"/>
        <v>0</v>
      </c>
      <c r="J26" s="254"/>
      <c r="K26" s="255"/>
      <c r="L26" s="241">
        <f t="shared" si="2"/>
        <v>0</v>
      </c>
      <c r="M26" s="245">
        <f t="shared" si="3"/>
        <v>12064719</v>
      </c>
    </row>
    <row r="27" spans="1:13" ht="31.5" customHeight="1">
      <c r="A27" s="246" t="s">
        <v>425</v>
      </c>
      <c r="B27" s="248" t="s">
        <v>951</v>
      </c>
      <c r="C27" s="247" t="s">
        <v>952</v>
      </c>
      <c r="D27" s="251"/>
      <c r="E27" s="252">
        <v>1048906</v>
      </c>
      <c r="F27" s="241">
        <f t="shared" si="0"/>
        <v>1048906</v>
      </c>
      <c r="G27" s="253"/>
      <c r="H27" s="252"/>
      <c r="I27" s="241">
        <f t="shared" si="1"/>
        <v>0</v>
      </c>
      <c r="J27" s="254"/>
      <c r="K27" s="255"/>
      <c r="L27" s="241">
        <f t="shared" si="2"/>
        <v>0</v>
      </c>
      <c r="M27" s="245">
        <f t="shared" si="3"/>
        <v>1048906</v>
      </c>
    </row>
    <row r="28" spans="1:13" ht="21.75" customHeight="1">
      <c r="A28" s="246" t="s">
        <v>426</v>
      </c>
      <c r="B28" s="265" t="s">
        <v>392</v>
      </c>
      <c r="C28" s="260" t="s">
        <v>773</v>
      </c>
      <c r="D28" s="251">
        <v>23114000</v>
      </c>
      <c r="E28" s="252"/>
      <c r="F28" s="241">
        <f t="shared" si="0"/>
        <v>23114000</v>
      </c>
      <c r="G28" s="253"/>
      <c r="H28" s="252"/>
      <c r="I28" s="241">
        <f t="shared" si="1"/>
        <v>0</v>
      </c>
      <c r="J28" s="254"/>
      <c r="K28" s="255"/>
      <c r="L28" s="241">
        <f t="shared" si="2"/>
        <v>0</v>
      </c>
      <c r="M28" s="245">
        <f t="shared" si="3"/>
        <v>23114000</v>
      </c>
    </row>
    <row r="29" spans="1:13" ht="21.75" customHeight="1">
      <c r="A29" s="246" t="s">
        <v>427</v>
      </c>
      <c r="B29" s="265" t="s">
        <v>390</v>
      </c>
      <c r="C29" s="260" t="s">
        <v>773</v>
      </c>
      <c r="D29" s="251">
        <f>32796000-854000+854000</f>
        <v>32796000</v>
      </c>
      <c r="E29" s="252">
        <v>5000000</v>
      </c>
      <c r="F29" s="241">
        <f t="shared" si="0"/>
        <v>37796000</v>
      </c>
      <c r="G29" s="253"/>
      <c r="H29" s="252"/>
      <c r="I29" s="241">
        <f t="shared" si="1"/>
        <v>0</v>
      </c>
      <c r="J29" s="254"/>
      <c r="K29" s="255"/>
      <c r="L29" s="241">
        <f t="shared" si="2"/>
        <v>0</v>
      </c>
      <c r="M29" s="245">
        <f t="shared" si="3"/>
        <v>37796000</v>
      </c>
    </row>
    <row r="30" spans="1:13" ht="22.5" customHeight="1">
      <c r="A30" s="246" t="s">
        <v>428</v>
      </c>
      <c r="B30" s="265" t="s">
        <v>97</v>
      </c>
      <c r="C30" s="260" t="s">
        <v>777</v>
      </c>
      <c r="D30" s="251">
        <f>29832700-1200000-2592152-209790-1200000-500000+454465+42000+100000-798500-7620</f>
        <v>23921103</v>
      </c>
      <c r="E30" s="252">
        <f>698500+7620</f>
        <v>706120</v>
      </c>
      <c r="F30" s="241">
        <f t="shared" si="0"/>
        <v>24627223</v>
      </c>
      <c r="G30" s="253">
        <f>1200000+2592152-550000-148500+750095</f>
        <v>3843747</v>
      </c>
      <c r="H30" s="252"/>
      <c r="I30" s="241">
        <f t="shared" si="1"/>
        <v>3843747</v>
      </c>
      <c r="J30" s="254"/>
      <c r="K30" s="255"/>
      <c r="L30" s="241">
        <f t="shared" si="2"/>
        <v>0</v>
      </c>
      <c r="M30" s="245">
        <f t="shared" si="3"/>
        <v>28470970</v>
      </c>
    </row>
    <row r="31" spans="1:13" ht="23.25" customHeight="1">
      <c r="A31" s="246" t="s">
        <v>514</v>
      </c>
      <c r="B31" s="265" t="s">
        <v>394</v>
      </c>
      <c r="C31" s="260" t="s">
        <v>778</v>
      </c>
      <c r="D31" s="251">
        <v>360000</v>
      </c>
      <c r="E31" s="252"/>
      <c r="F31" s="241">
        <f t="shared" si="0"/>
        <v>360000</v>
      </c>
      <c r="G31" s="253"/>
      <c r="H31" s="252"/>
      <c r="I31" s="241">
        <f t="shared" si="1"/>
        <v>0</v>
      </c>
      <c r="J31" s="254"/>
      <c r="K31" s="255"/>
      <c r="L31" s="241">
        <f t="shared" si="2"/>
        <v>0</v>
      </c>
      <c r="M31" s="245">
        <f t="shared" si="3"/>
        <v>360000</v>
      </c>
    </row>
    <row r="32" spans="1:13" ht="22.5" customHeight="1">
      <c r="A32" s="246" t="s">
        <v>515</v>
      </c>
      <c r="B32" s="265" t="s">
        <v>395</v>
      </c>
      <c r="C32" s="260" t="s">
        <v>778</v>
      </c>
      <c r="D32" s="251">
        <f>32381648+178181-146050-32131+624000-511475-112525+788800+255887+169300+37246-5800-1276+991502-991502</f>
        <v>33625805</v>
      </c>
      <c r="E32" s="252">
        <v>25400</v>
      </c>
      <c r="F32" s="241">
        <f t="shared" si="0"/>
        <v>33651205</v>
      </c>
      <c r="G32" s="253"/>
      <c r="H32" s="252"/>
      <c r="I32" s="241">
        <f t="shared" si="1"/>
        <v>0</v>
      </c>
      <c r="J32" s="254"/>
      <c r="K32" s="255"/>
      <c r="L32" s="241">
        <f t="shared" si="2"/>
        <v>0</v>
      </c>
      <c r="M32" s="245">
        <f t="shared" si="3"/>
        <v>33651205</v>
      </c>
    </row>
    <row r="33" spans="1:13" ht="22.5" customHeight="1">
      <c r="A33" s="246" t="s">
        <v>516</v>
      </c>
      <c r="B33" s="265" t="s">
        <v>396</v>
      </c>
      <c r="C33" s="260" t="s">
        <v>778</v>
      </c>
      <c r="D33" s="251">
        <v>120000</v>
      </c>
      <c r="E33" s="252"/>
      <c r="F33" s="241">
        <f t="shared" si="0"/>
        <v>120000</v>
      </c>
      <c r="G33" s="253"/>
      <c r="H33" s="252"/>
      <c r="I33" s="241">
        <f t="shared" si="1"/>
        <v>0</v>
      </c>
      <c r="J33" s="254"/>
      <c r="K33" s="255"/>
      <c r="L33" s="241">
        <f t="shared" si="2"/>
        <v>0</v>
      </c>
      <c r="M33" s="245">
        <f t="shared" si="3"/>
        <v>120000</v>
      </c>
    </row>
    <row r="34" spans="1:13" ht="29.25" customHeight="1">
      <c r="A34" s="246" t="s">
        <v>482</v>
      </c>
      <c r="B34" s="248" t="s">
        <v>792</v>
      </c>
      <c r="C34" s="247" t="s">
        <v>778</v>
      </c>
      <c r="D34" s="251">
        <f>20457479+17100+110000+24200+135246+29754</f>
        <v>20773779</v>
      </c>
      <c r="E34" s="252">
        <f>4445000-2059095</f>
        <v>2385905</v>
      </c>
      <c r="F34" s="241">
        <f t="shared" si="0"/>
        <v>23159684</v>
      </c>
      <c r="G34" s="253"/>
      <c r="H34" s="252"/>
      <c r="I34" s="241">
        <f t="shared" si="1"/>
        <v>0</v>
      </c>
      <c r="J34" s="254"/>
      <c r="K34" s="255"/>
      <c r="L34" s="241">
        <f t="shared" si="2"/>
        <v>0</v>
      </c>
      <c r="M34" s="245">
        <f t="shared" si="3"/>
        <v>23159684</v>
      </c>
    </row>
    <row r="35" spans="1:13" ht="29.25" customHeight="1">
      <c r="A35" s="246" t="s">
        <v>517</v>
      </c>
      <c r="B35" s="257" t="s">
        <v>96</v>
      </c>
      <c r="C35" s="241" t="s">
        <v>779</v>
      </c>
      <c r="D35" s="251">
        <f>37833000-8393000-1607000</f>
        <v>27833000</v>
      </c>
      <c r="E35" s="252"/>
      <c r="F35" s="241">
        <f t="shared" si="0"/>
        <v>27833000</v>
      </c>
      <c r="G35" s="256"/>
      <c r="H35" s="252">
        <f>11201400+200000+540000</f>
        <v>11941400</v>
      </c>
      <c r="I35" s="241">
        <f t="shared" si="1"/>
        <v>11941400</v>
      </c>
      <c r="J35" s="254"/>
      <c r="K35" s="255"/>
      <c r="L35" s="241">
        <f t="shared" si="2"/>
        <v>0</v>
      </c>
      <c r="M35" s="245">
        <f t="shared" si="3"/>
        <v>39774400</v>
      </c>
    </row>
    <row r="36" spans="1:13" ht="30.75" customHeight="1">
      <c r="A36" s="246" t="s">
        <v>429</v>
      </c>
      <c r="B36" s="273" t="s">
        <v>659</v>
      </c>
      <c r="C36" s="241"/>
      <c r="D36" s="251"/>
      <c r="E36" s="252"/>
      <c r="F36" s="241">
        <f t="shared" si="0"/>
        <v>0</v>
      </c>
      <c r="G36" s="259">
        <v>1877109</v>
      </c>
      <c r="H36" s="252">
        <f>4087500+19779919</f>
        <v>23867419</v>
      </c>
      <c r="I36" s="241">
        <f t="shared" si="1"/>
        <v>25744528</v>
      </c>
      <c r="J36" s="254"/>
      <c r="K36" s="255"/>
      <c r="L36" s="241">
        <f t="shared" si="2"/>
        <v>0</v>
      </c>
      <c r="M36" s="245">
        <f t="shared" si="3"/>
        <v>25744528</v>
      </c>
    </row>
    <row r="37" spans="1:13" ht="32.25" customHeight="1">
      <c r="A37" s="246" t="s">
        <v>430</v>
      </c>
      <c r="B37" s="257" t="s">
        <v>582</v>
      </c>
      <c r="C37" s="247" t="s">
        <v>780</v>
      </c>
      <c r="D37" s="251">
        <v>1100000</v>
      </c>
      <c r="E37" s="252"/>
      <c r="F37" s="241">
        <f t="shared" si="0"/>
        <v>1100000</v>
      </c>
      <c r="G37" s="253"/>
      <c r="H37" s="252"/>
      <c r="I37" s="241">
        <f t="shared" si="1"/>
        <v>0</v>
      </c>
      <c r="J37" s="254"/>
      <c r="K37" s="255"/>
      <c r="L37" s="241">
        <f t="shared" si="2"/>
        <v>0</v>
      </c>
      <c r="M37" s="245">
        <f t="shared" si="3"/>
        <v>1100000</v>
      </c>
    </row>
    <row r="38" spans="1:13" ht="22.5" customHeight="1">
      <c r="A38" s="246" t="s">
        <v>431</v>
      </c>
      <c r="B38" s="265" t="s">
        <v>397</v>
      </c>
      <c r="C38" s="260" t="s">
        <v>780</v>
      </c>
      <c r="D38" s="251">
        <f>3374212-50329</f>
        <v>3323883</v>
      </c>
      <c r="E38" s="252"/>
      <c r="F38" s="241">
        <f t="shared" si="0"/>
        <v>3323883</v>
      </c>
      <c r="G38" s="253"/>
      <c r="H38" s="252">
        <v>788000</v>
      </c>
      <c r="I38" s="241">
        <f t="shared" si="1"/>
        <v>788000</v>
      </c>
      <c r="J38" s="254"/>
      <c r="K38" s="255"/>
      <c r="L38" s="241">
        <f t="shared" si="2"/>
        <v>0</v>
      </c>
      <c r="M38" s="245">
        <f t="shared" si="3"/>
        <v>4111883</v>
      </c>
    </row>
    <row r="39" spans="1:13" ht="21.75" customHeight="1">
      <c r="A39" s="246" t="s">
        <v>518</v>
      </c>
      <c r="B39" s="265" t="s">
        <v>99</v>
      </c>
      <c r="C39" s="260" t="s">
        <v>781</v>
      </c>
      <c r="D39" s="251"/>
      <c r="E39" s="252"/>
      <c r="F39" s="241">
        <f t="shared" si="0"/>
        <v>0</v>
      </c>
      <c r="G39" s="253">
        <v>49530</v>
      </c>
      <c r="H39" s="252"/>
      <c r="I39" s="241">
        <f t="shared" si="1"/>
        <v>49530</v>
      </c>
      <c r="J39" s="254"/>
      <c r="K39" s="255"/>
      <c r="L39" s="241">
        <f t="shared" si="2"/>
        <v>0</v>
      </c>
      <c r="M39" s="245">
        <f t="shared" si="3"/>
        <v>49530</v>
      </c>
    </row>
    <row r="40" spans="1:13" ht="27.75" customHeight="1">
      <c r="A40" s="246" t="s">
        <v>432</v>
      </c>
      <c r="B40" s="265" t="s">
        <v>892</v>
      </c>
      <c r="C40" s="695"/>
      <c r="D40" s="251"/>
      <c r="E40" s="252"/>
      <c r="F40" s="241">
        <f t="shared" si="0"/>
        <v>0</v>
      </c>
      <c r="G40" s="253">
        <v>978201</v>
      </c>
      <c r="H40" s="252"/>
      <c r="I40" s="241">
        <f t="shared" si="1"/>
        <v>978201</v>
      </c>
      <c r="J40" s="254"/>
      <c r="K40" s="255"/>
      <c r="L40" s="241">
        <f t="shared" si="2"/>
        <v>0</v>
      </c>
      <c r="M40" s="245">
        <f t="shared" si="3"/>
        <v>978201</v>
      </c>
    </row>
    <row r="41" spans="1:13" ht="33.75" customHeight="1">
      <c r="A41" s="246" t="s">
        <v>455</v>
      </c>
      <c r="B41" s="248" t="s">
        <v>94</v>
      </c>
      <c r="C41" s="264" t="s">
        <v>782</v>
      </c>
      <c r="D41" s="261">
        <f>13435298-262038-1500000</f>
        <v>11673260</v>
      </c>
      <c r="E41" s="262">
        <v>50000</v>
      </c>
      <c r="F41" s="241">
        <f t="shared" si="0"/>
        <v>11723260</v>
      </c>
      <c r="G41" s="263"/>
      <c r="H41" s="262"/>
      <c r="I41" s="241">
        <f t="shared" si="1"/>
        <v>0</v>
      </c>
      <c r="J41" s="254"/>
      <c r="K41" s="255"/>
      <c r="L41" s="241">
        <f t="shared" si="2"/>
        <v>0</v>
      </c>
      <c r="M41" s="245">
        <f t="shared" si="3"/>
        <v>11723260</v>
      </c>
    </row>
    <row r="42" spans="1:13" ht="23.25" customHeight="1">
      <c r="A42" s="246" t="s">
        <v>519</v>
      </c>
      <c r="B42" s="248" t="s">
        <v>654</v>
      </c>
      <c r="C42" s="264"/>
      <c r="D42" s="261"/>
      <c r="E42" s="262"/>
      <c r="F42" s="241">
        <f t="shared" si="0"/>
        <v>0</v>
      </c>
      <c r="G42" s="263">
        <f>6711326-267633</f>
        <v>6443693</v>
      </c>
      <c r="H42" s="262"/>
      <c r="I42" s="241">
        <f t="shared" si="1"/>
        <v>6443693</v>
      </c>
      <c r="J42" s="254"/>
      <c r="K42" s="255"/>
      <c r="L42" s="241">
        <f t="shared" si="2"/>
        <v>0</v>
      </c>
      <c r="M42" s="245">
        <f t="shared" si="3"/>
        <v>6443693</v>
      </c>
    </row>
    <row r="43" spans="1:13" ht="24" customHeight="1">
      <c r="A43" s="250" t="s">
        <v>520</v>
      </c>
      <c r="B43" s="248" t="s">
        <v>765</v>
      </c>
      <c r="C43" s="258" t="s">
        <v>789</v>
      </c>
      <c r="D43" s="261"/>
      <c r="E43" s="262">
        <f>12391652+3-3</f>
        <v>12391652</v>
      </c>
      <c r="F43" s="241">
        <f t="shared" si="0"/>
        <v>12391652</v>
      </c>
      <c r="G43" s="263"/>
      <c r="H43" s="262"/>
      <c r="I43" s="241">
        <f t="shared" si="1"/>
        <v>0</v>
      </c>
      <c r="J43" s="254"/>
      <c r="K43" s="255"/>
      <c r="L43" s="241">
        <f t="shared" si="2"/>
        <v>0</v>
      </c>
      <c r="M43" s="245">
        <f t="shared" si="3"/>
        <v>12391652</v>
      </c>
    </row>
    <row r="44" spans="1:13" ht="27.75" customHeight="1">
      <c r="A44" s="246" t="s">
        <v>521</v>
      </c>
      <c r="B44" s="248" t="s">
        <v>890</v>
      </c>
      <c r="C44" s="293" t="s">
        <v>804</v>
      </c>
      <c r="D44" s="261"/>
      <c r="E44" s="262"/>
      <c r="F44" s="241">
        <f t="shared" si="0"/>
        <v>0</v>
      </c>
      <c r="G44" s="263">
        <v>24000</v>
      </c>
      <c r="H44" s="262"/>
      <c r="I44" s="241">
        <f t="shared" si="1"/>
        <v>24000</v>
      </c>
      <c r="J44" s="254"/>
      <c r="K44" s="255"/>
      <c r="L44" s="241">
        <f t="shared" si="2"/>
        <v>0</v>
      </c>
      <c r="M44" s="245">
        <f t="shared" si="3"/>
        <v>24000</v>
      </c>
    </row>
    <row r="45" spans="1:13" ht="24" customHeight="1">
      <c r="A45" s="246" t="s">
        <v>522</v>
      </c>
      <c r="B45" s="248" t="s">
        <v>701</v>
      </c>
      <c r="C45" s="258" t="s">
        <v>800</v>
      </c>
      <c r="D45" s="261">
        <v>59502898</v>
      </c>
      <c r="E45" s="262"/>
      <c r="F45" s="241">
        <f t="shared" si="0"/>
        <v>59502898</v>
      </c>
      <c r="G45" s="263"/>
      <c r="H45" s="262"/>
      <c r="I45" s="241">
        <f t="shared" si="1"/>
        <v>0</v>
      </c>
      <c r="J45" s="254"/>
      <c r="K45" s="255"/>
      <c r="L45" s="241">
        <f t="shared" si="2"/>
        <v>0</v>
      </c>
      <c r="M45" s="245">
        <f t="shared" si="3"/>
        <v>59502898</v>
      </c>
    </row>
    <row r="46" spans="1:13" ht="24" customHeight="1">
      <c r="A46" s="246" t="s">
        <v>523</v>
      </c>
      <c r="B46" s="248" t="s">
        <v>703</v>
      </c>
      <c r="C46" s="258" t="s">
        <v>806</v>
      </c>
      <c r="D46" s="261">
        <v>2254350</v>
      </c>
      <c r="E46" s="262"/>
      <c r="F46" s="241">
        <f t="shared" si="0"/>
        <v>2254350</v>
      </c>
      <c r="G46" s="263"/>
      <c r="H46" s="262"/>
      <c r="I46" s="241">
        <f t="shared" si="1"/>
        <v>0</v>
      </c>
      <c r="J46" s="254"/>
      <c r="K46" s="255"/>
      <c r="L46" s="241">
        <f t="shared" si="2"/>
        <v>0</v>
      </c>
      <c r="M46" s="245">
        <f t="shared" si="3"/>
        <v>2254350</v>
      </c>
    </row>
    <row r="47" spans="1:13" ht="27" customHeight="1">
      <c r="A47" s="246" t="s">
        <v>790</v>
      </c>
      <c r="B47" s="248" t="s">
        <v>893</v>
      </c>
      <c r="C47" s="696"/>
      <c r="D47" s="261"/>
      <c r="E47" s="262"/>
      <c r="F47" s="241">
        <f t="shared" si="0"/>
        <v>0</v>
      </c>
      <c r="G47" s="263">
        <f>7051200+1898910+7185532</f>
        <v>16135642</v>
      </c>
      <c r="H47" s="262"/>
      <c r="I47" s="241">
        <f t="shared" si="1"/>
        <v>16135642</v>
      </c>
      <c r="J47" s="254"/>
      <c r="K47" s="255"/>
      <c r="L47" s="241">
        <f t="shared" si="2"/>
        <v>0</v>
      </c>
      <c r="M47" s="245">
        <f t="shared" si="3"/>
        <v>16135642</v>
      </c>
    </row>
    <row r="48" spans="1:13" ht="24">
      <c r="A48" s="246" t="s">
        <v>791</v>
      </c>
      <c r="B48" s="248" t="s">
        <v>656</v>
      </c>
      <c r="C48" s="247" t="s">
        <v>807</v>
      </c>
      <c r="D48" s="261"/>
      <c r="E48" s="262"/>
      <c r="F48" s="241">
        <f t="shared" si="0"/>
        <v>0</v>
      </c>
      <c r="G48" s="263">
        <f>98679-65649+100000</f>
        <v>133030</v>
      </c>
      <c r="H48" s="262"/>
      <c r="I48" s="241">
        <f t="shared" si="1"/>
        <v>133030</v>
      </c>
      <c r="J48" s="254"/>
      <c r="K48" s="255"/>
      <c r="L48" s="241">
        <f t="shared" si="2"/>
        <v>0</v>
      </c>
      <c r="M48" s="245">
        <f t="shared" si="3"/>
        <v>133030</v>
      </c>
    </row>
    <row r="49" spans="1:13" ht="21.75" customHeight="1">
      <c r="A49" s="246" t="s">
        <v>858</v>
      </c>
      <c r="B49" s="265" t="s">
        <v>766</v>
      </c>
      <c r="C49" s="260"/>
      <c r="D49" s="251"/>
      <c r="E49" s="252"/>
      <c r="F49" s="241">
        <f t="shared" si="0"/>
        <v>0</v>
      </c>
      <c r="G49" s="253">
        <f>40201000-9876000+1176540</f>
        <v>31501540</v>
      </c>
      <c r="H49" s="252"/>
      <c r="I49" s="241">
        <f t="shared" si="1"/>
        <v>31501540</v>
      </c>
      <c r="J49" s="254"/>
      <c r="K49" s="255"/>
      <c r="L49" s="241">
        <f t="shared" si="2"/>
        <v>0</v>
      </c>
      <c r="M49" s="245">
        <f t="shared" si="3"/>
        <v>31501540</v>
      </c>
    </row>
    <row r="50" spans="1:13" ht="21.75" customHeight="1">
      <c r="A50" s="246" t="s">
        <v>859</v>
      </c>
      <c r="B50" s="265" t="s">
        <v>808</v>
      </c>
      <c r="C50" s="260" t="s">
        <v>783</v>
      </c>
      <c r="D50" s="251">
        <f>11294000-2249000-676541</f>
        <v>8368459</v>
      </c>
      <c r="E50" s="252"/>
      <c r="F50" s="241">
        <f t="shared" si="0"/>
        <v>8368459</v>
      </c>
      <c r="G50" s="253"/>
      <c r="H50" s="252">
        <v>0</v>
      </c>
      <c r="I50" s="241">
        <f t="shared" si="1"/>
        <v>0</v>
      </c>
      <c r="J50" s="254"/>
      <c r="K50" s="255"/>
      <c r="L50" s="241">
        <f t="shared" si="2"/>
        <v>0</v>
      </c>
      <c r="M50" s="245">
        <f t="shared" si="3"/>
        <v>8368459</v>
      </c>
    </row>
    <row r="51" spans="1:13" ht="21.75" customHeight="1">
      <c r="A51" s="246" t="s">
        <v>860</v>
      </c>
      <c r="B51" s="265" t="s">
        <v>98</v>
      </c>
      <c r="C51" s="260" t="s">
        <v>784</v>
      </c>
      <c r="D51" s="251"/>
      <c r="E51" s="252"/>
      <c r="F51" s="241">
        <f t="shared" si="0"/>
        <v>0</v>
      </c>
      <c r="G51" s="253">
        <f>3419000-653000</f>
        <v>2766000</v>
      </c>
      <c r="H51" s="252"/>
      <c r="I51" s="241">
        <f t="shared" si="1"/>
        <v>2766000</v>
      </c>
      <c r="J51" s="254"/>
      <c r="K51" s="255"/>
      <c r="L51" s="241">
        <f t="shared" si="2"/>
        <v>0</v>
      </c>
      <c r="M51" s="245">
        <f t="shared" si="3"/>
        <v>2766000</v>
      </c>
    </row>
    <row r="52" spans="1:13" ht="21.75" customHeight="1">
      <c r="A52" s="246" t="s">
        <v>861</v>
      </c>
      <c r="B52" s="265" t="s">
        <v>85</v>
      </c>
      <c r="C52" s="260" t="s">
        <v>784</v>
      </c>
      <c r="D52" s="251"/>
      <c r="E52" s="252"/>
      <c r="F52" s="241">
        <f t="shared" si="0"/>
        <v>0</v>
      </c>
      <c r="G52" s="253">
        <f>5394000-1203000</f>
        <v>4191000</v>
      </c>
      <c r="H52" s="252"/>
      <c r="I52" s="241">
        <f t="shared" si="1"/>
        <v>4191000</v>
      </c>
      <c r="J52" s="254"/>
      <c r="K52" s="255"/>
      <c r="L52" s="241">
        <f t="shared" si="2"/>
        <v>0</v>
      </c>
      <c r="M52" s="245">
        <f t="shared" si="3"/>
        <v>4191000</v>
      </c>
    </row>
    <row r="53" spans="1:13" ht="21.75" customHeight="1">
      <c r="A53" s="246" t="s">
        <v>862</v>
      </c>
      <c r="B53" s="265" t="s">
        <v>477</v>
      </c>
      <c r="C53" s="260" t="s">
        <v>785</v>
      </c>
      <c r="D53" s="251">
        <f>11171000-2187000+214270+676541</f>
        <v>9874811</v>
      </c>
      <c r="E53" s="252"/>
      <c r="F53" s="241">
        <f t="shared" si="0"/>
        <v>9874811</v>
      </c>
      <c r="G53" s="253"/>
      <c r="H53" s="252"/>
      <c r="I53" s="241">
        <f t="shared" si="1"/>
        <v>0</v>
      </c>
      <c r="J53" s="254"/>
      <c r="K53" s="255"/>
      <c r="L53" s="241">
        <f t="shared" si="2"/>
        <v>0</v>
      </c>
      <c r="M53" s="245">
        <f t="shared" si="3"/>
        <v>9874811</v>
      </c>
    </row>
    <row r="54" spans="1:13" ht="21.75" customHeight="1">
      <c r="A54" s="250" t="s">
        <v>895</v>
      </c>
      <c r="B54" s="265" t="s">
        <v>478</v>
      </c>
      <c r="C54" s="260" t="s">
        <v>786</v>
      </c>
      <c r="D54" s="251">
        <f>5744000-868000</f>
        <v>4876000</v>
      </c>
      <c r="E54" s="252"/>
      <c r="F54" s="241">
        <f t="shared" si="0"/>
        <v>4876000</v>
      </c>
      <c r="G54" s="253"/>
      <c r="H54" s="252"/>
      <c r="I54" s="241">
        <f t="shared" si="1"/>
        <v>0</v>
      </c>
      <c r="J54" s="254"/>
      <c r="K54" s="255"/>
      <c r="L54" s="241">
        <f t="shared" si="2"/>
        <v>0</v>
      </c>
      <c r="M54" s="245">
        <f t="shared" si="3"/>
        <v>4876000</v>
      </c>
    </row>
    <row r="55" spans="1:13" ht="26.25" customHeight="1">
      <c r="A55" s="246" t="s">
        <v>896</v>
      </c>
      <c r="B55" s="248" t="s">
        <v>660</v>
      </c>
      <c r="C55" s="241" t="s">
        <v>801</v>
      </c>
      <c r="D55" s="251">
        <v>3804900</v>
      </c>
      <c r="E55" s="252"/>
      <c r="F55" s="241">
        <f t="shared" si="0"/>
        <v>3804900</v>
      </c>
      <c r="G55" s="253"/>
      <c r="H55" s="252"/>
      <c r="I55" s="241">
        <f t="shared" si="1"/>
        <v>0</v>
      </c>
      <c r="J55" s="254"/>
      <c r="K55" s="255"/>
      <c r="L55" s="241">
        <f t="shared" si="2"/>
        <v>0</v>
      </c>
      <c r="M55" s="245">
        <f t="shared" si="3"/>
        <v>3804900</v>
      </c>
    </row>
    <row r="56" spans="1:13" s="217" customFormat="1" ht="27.75" customHeight="1">
      <c r="A56" s="246" t="s">
        <v>897</v>
      </c>
      <c r="B56" s="248" t="s">
        <v>393</v>
      </c>
      <c r="C56" s="247" t="s">
        <v>787</v>
      </c>
      <c r="D56" s="251">
        <f>2300000-40723-500000-1000000+6865581+25367102-6762752+153824-102829-50995-5512457-430000-379000-255887-18738763+1553784+750000-668467-1467722-100000-130000-50000-217072+35571-165371</f>
        <v>453824</v>
      </c>
      <c r="E56" s="252">
        <f>389000+4649000+4649000-4649000-35571-825910</f>
        <v>4176519</v>
      </c>
      <c r="F56" s="241">
        <f t="shared" si="0"/>
        <v>4630343</v>
      </c>
      <c r="G56" s="267"/>
      <c r="H56" s="252">
        <f>3550000-680000-2870000</f>
        <v>0</v>
      </c>
      <c r="I56" s="241">
        <f t="shared" si="1"/>
        <v>0</v>
      </c>
      <c r="J56" s="268"/>
      <c r="K56" s="268"/>
      <c r="L56" s="241">
        <f t="shared" si="2"/>
        <v>0</v>
      </c>
      <c r="M56" s="245">
        <f t="shared" si="3"/>
        <v>4630343</v>
      </c>
    </row>
    <row r="57" spans="1:13" ht="23.25" customHeight="1">
      <c r="A57" s="246" t="s">
        <v>938</v>
      </c>
      <c r="B57" s="248" t="s">
        <v>374</v>
      </c>
      <c r="C57" s="293" t="s">
        <v>802</v>
      </c>
      <c r="D57" s="261">
        <f>4139274+1479371+1143687+20948</f>
        <v>6783280</v>
      </c>
      <c r="E57" s="262"/>
      <c r="F57" s="241">
        <f t="shared" si="0"/>
        <v>6783280</v>
      </c>
      <c r="G57" s="269"/>
      <c r="H57" s="266"/>
      <c r="I57" s="241">
        <f t="shared" si="1"/>
        <v>0</v>
      </c>
      <c r="J57" s="254"/>
      <c r="K57" s="254"/>
      <c r="L57" s="241">
        <f t="shared" si="2"/>
        <v>0</v>
      </c>
      <c r="M57" s="245">
        <f t="shared" si="3"/>
        <v>6783280</v>
      </c>
    </row>
    <row r="58" spans="1:13" ht="24.75" customHeight="1" thickBot="1">
      <c r="A58" s="246" t="s">
        <v>953</v>
      </c>
      <c r="B58" s="248" t="s">
        <v>657</v>
      </c>
      <c r="C58" s="270" t="s">
        <v>898</v>
      </c>
      <c r="D58" s="669"/>
      <c r="E58" s="670"/>
      <c r="F58" s="277">
        <f t="shared" si="0"/>
        <v>0</v>
      </c>
      <c r="G58" s="671">
        <f>7848600+222286</f>
        <v>8070886</v>
      </c>
      <c r="H58" s="672"/>
      <c r="I58" s="277">
        <f t="shared" si="1"/>
        <v>8070886</v>
      </c>
      <c r="J58" s="673"/>
      <c r="K58" s="673"/>
      <c r="L58" s="241">
        <f t="shared" si="2"/>
        <v>0</v>
      </c>
      <c r="M58" s="245">
        <f t="shared" si="3"/>
        <v>8070886</v>
      </c>
    </row>
    <row r="59" spans="1:16" s="217" customFormat="1" ht="14.25" thickBot="1">
      <c r="A59" s="867" t="s">
        <v>767</v>
      </c>
      <c r="B59" s="868"/>
      <c r="C59" s="869"/>
      <c r="D59" s="275">
        <f aca="true" t="shared" si="4" ref="D59:K59">SUM(D9:D58)</f>
        <v>760478226</v>
      </c>
      <c r="E59" s="674">
        <f t="shared" si="4"/>
        <v>109185145</v>
      </c>
      <c r="F59" s="675">
        <f t="shared" si="4"/>
        <v>869663371</v>
      </c>
      <c r="G59" s="674">
        <f t="shared" si="4"/>
        <v>83623393</v>
      </c>
      <c r="H59" s="674">
        <f t="shared" si="4"/>
        <v>334593351</v>
      </c>
      <c r="I59" s="675">
        <f t="shared" si="4"/>
        <v>418216744</v>
      </c>
      <c r="J59" s="674">
        <f t="shared" si="4"/>
        <v>47266394</v>
      </c>
      <c r="K59" s="674">
        <f t="shared" si="4"/>
        <v>410623</v>
      </c>
      <c r="L59" s="674">
        <f t="shared" si="2"/>
        <v>47677017</v>
      </c>
      <c r="M59" s="245">
        <f t="shared" si="3"/>
        <v>1335557132</v>
      </c>
      <c r="P59" s="560">
        <f>SUM(L59,I59,F59)</f>
        <v>1335557132</v>
      </c>
    </row>
    <row r="60" spans="1:13" ht="30.75" customHeight="1">
      <c r="A60" s="250" t="s">
        <v>407</v>
      </c>
      <c r="B60" s="248" t="s">
        <v>67</v>
      </c>
      <c r="C60" s="238" t="s">
        <v>788</v>
      </c>
      <c r="D60" s="271">
        <f>118490946-2363520-519974+2363520+519974+492700+108394+146050-1250944-275208+483000+106260-6900-1518-885000-50000-5201448</f>
        <v>112156332</v>
      </c>
      <c r="E60" s="272">
        <v>500000</v>
      </c>
      <c r="F60" s="241">
        <f>SUM(D60:E60)</f>
        <v>112656332</v>
      </c>
      <c r="G60" s="271"/>
      <c r="H60" s="272"/>
      <c r="I60" s="238">
        <f>SUM(G60:H60)</f>
        <v>0</v>
      </c>
      <c r="J60" s="271"/>
      <c r="K60" s="272"/>
      <c r="L60" s="241">
        <f t="shared" si="2"/>
        <v>0</v>
      </c>
      <c r="M60" s="245">
        <f t="shared" si="3"/>
        <v>112656332</v>
      </c>
    </row>
    <row r="61" spans="1:13" ht="36.75" customHeight="1">
      <c r="A61" s="246" t="s">
        <v>408</v>
      </c>
      <c r="B61" s="248" t="s">
        <v>894</v>
      </c>
      <c r="C61" s="293" t="s">
        <v>901</v>
      </c>
      <c r="D61" s="261">
        <v>67767</v>
      </c>
      <c r="E61" s="262"/>
      <c r="F61" s="277">
        <f>SUM(D61:E61)</f>
        <v>67767</v>
      </c>
      <c r="G61" s="269"/>
      <c r="H61" s="266"/>
      <c r="I61" s="277">
        <f>SUM(G61:H61)</f>
        <v>0</v>
      </c>
      <c r="J61" s="254"/>
      <c r="K61" s="254"/>
      <c r="L61" s="241">
        <f t="shared" si="2"/>
        <v>0</v>
      </c>
      <c r="M61" s="245">
        <f t="shared" si="3"/>
        <v>67767</v>
      </c>
    </row>
    <row r="62" spans="1:13" ht="36.75" thickBot="1">
      <c r="A62" s="250" t="s">
        <v>409</v>
      </c>
      <c r="B62" s="273" t="s">
        <v>663</v>
      </c>
      <c r="C62" s="274" t="s">
        <v>665</v>
      </c>
      <c r="D62" s="251">
        <f>12486120-4379345</f>
        <v>8106775</v>
      </c>
      <c r="E62" s="252"/>
      <c r="F62" s="241">
        <f>SUM(D62:E62)</f>
        <v>8106775</v>
      </c>
      <c r="G62" s="251"/>
      <c r="H62" s="252"/>
      <c r="I62" s="241">
        <f>SUM(G62:H62)</f>
        <v>0</v>
      </c>
      <c r="J62" s="251"/>
      <c r="K62" s="252"/>
      <c r="L62" s="241">
        <f t="shared" si="2"/>
        <v>0</v>
      </c>
      <c r="M62" s="245">
        <f t="shared" si="3"/>
        <v>8106775</v>
      </c>
    </row>
    <row r="63" spans="1:13" s="217" customFormat="1" ht="14.25" thickBot="1">
      <c r="A63" s="867" t="s">
        <v>524</v>
      </c>
      <c r="B63" s="868"/>
      <c r="C63" s="869"/>
      <c r="D63" s="275">
        <f aca="true" t="shared" si="5" ref="D63:K63">SUM(D60:D62)</f>
        <v>120330874</v>
      </c>
      <c r="E63" s="275">
        <f t="shared" si="5"/>
        <v>500000</v>
      </c>
      <c r="F63" s="275">
        <f t="shared" si="5"/>
        <v>120830874</v>
      </c>
      <c r="G63" s="275">
        <f t="shared" si="5"/>
        <v>0</v>
      </c>
      <c r="H63" s="275">
        <f t="shared" si="5"/>
        <v>0</v>
      </c>
      <c r="I63" s="275">
        <f t="shared" si="5"/>
        <v>0</v>
      </c>
      <c r="J63" s="275">
        <f t="shared" si="5"/>
        <v>0</v>
      </c>
      <c r="K63" s="275">
        <f t="shared" si="5"/>
        <v>0</v>
      </c>
      <c r="L63" s="275">
        <f t="shared" si="2"/>
        <v>0</v>
      </c>
      <c r="M63" s="245">
        <f t="shared" si="3"/>
        <v>120830874</v>
      </c>
    </row>
    <row r="64" spans="1:13" ht="23.25" customHeight="1">
      <c r="A64" s="236" t="s">
        <v>407</v>
      </c>
      <c r="B64" s="278" t="s">
        <v>525</v>
      </c>
      <c r="C64" s="258" t="s">
        <v>800</v>
      </c>
      <c r="D64" s="746">
        <v>27555347</v>
      </c>
      <c r="E64" s="747"/>
      <c r="F64" s="748">
        <f>SUM(D64:E64)</f>
        <v>27555347</v>
      </c>
      <c r="G64" s="746"/>
      <c r="H64" s="747"/>
      <c r="I64" s="748">
        <f>SUM(G64:H64)</f>
        <v>0</v>
      </c>
      <c r="J64" s="746"/>
      <c r="K64" s="279"/>
      <c r="L64" s="241">
        <f t="shared" si="2"/>
        <v>0</v>
      </c>
      <c r="M64" s="245">
        <f t="shared" si="3"/>
        <v>27555347</v>
      </c>
    </row>
    <row r="65" spans="1:13" ht="23.25" customHeight="1">
      <c r="A65" s="246" t="s">
        <v>408</v>
      </c>
      <c r="B65" s="248" t="s">
        <v>526</v>
      </c>
      <c r="C65" s="293" t="s">
        <v>789</v>
      </c>
      <c r="D65" s="749">
        <v>133677964</v>
      </c>
      <c r="E65" s="750">
        <v>312174</v>
      </c>
      <c r="F65" s="751">
        <f aca="true" t="shared" si="6" ref="F65:F70">SUM(D65:E65)</f>
        <v>133990138</v>
      </c>
      <c r="G65" s="752"/>
      <c r="H65" s="753"/>
      <c r="I65" s="751">
        <f aca="true" t="shared" si="7" ref="I65:I70">SUM(G65:H65)</f>
        <v>0</v>
      </c>
      <c r="J65" s="754"/>
      <c r="K65" s="254"/>
      <c r="L65" s="241">
        <f t="shared" si="2"/>
        <v>0</v>
      </c>
      <c r="M65" s="245">
        <f t="shared" si="3"/>
        <v>133990138</v>
      </c>
    </row>
    <row r="66" spans="1:13" ht="23.25" customHeight="1">
      <c r="A66" s="246" t="s">
        <v>409</v>
      </c>
      <c r="B66" s="248" t="s">
        <v>527</v>
      </c>
      <c r="C66" s="258" t="s">
        <v>789</v>
      </c>
      <c r="D66" s="749">
        <v>12202851</v>
      </c>
      <c r="E66" s="750"/>
      <c r="F66" s="751">
        <f t="shared" si="6"/>
        <v>12202851</v>
      </c>
      <c r="G66" s="752"/>
      <c r="H66" s="753"/>
      <c r="I66" s="751">
        <f t="shared" si="7"/>
        <v>0</v>
      </c>
      <c r="J66" s="754"/>
      <c r="K66" s="254"/>
      <c r="L66" s="241">
        <f t="shared" si="2"/>
        <v>0</v>
      </c>
      <c r="M66" s="245">
        <f t="shared" si="3"/>
        <v>12202851</v>
      </c>
    </row>
    <row r="67" spans="1:13" ht="23.25" customHeight="1">
      <c r="A67" s="246" t="s">
        <v>410</v>
      </c>
      <c r="B67" s="248" t="s">
        <v>624</v>
      </c>
      <c r="C67" s="293" t="s">
        <v>664</v>
      </c>
      <c r="D67" s="749">
        <v>25073655</v>
      </c>
      <c r="E67" s="750">
        <v>69291</v>
      </c>
      <c r="F67" s="751">
        <f t="shared" si="6"/>
        <v>25142946</v>
      </c>
      <c r="G67" s="752"/>
      <c r="H67" s="753"/>
      <c r="I67" s="751">
        <f t="shared" si="7"/>
        <v>0</v>
      </c>
      <c r="J67" s="754"/>
      <c r="K67" s="254"/>
      <c r="L67" s="241">
        <f t="shared" si="2"/>
        <v>0</v>
      </c>
      <c r="M67" s="245">
        <f t="shared" si="3"/>
        <v>25142946</v>
      </c>
    </row>
    <row r="68" spans="1:13" ht="23.25" customHeight="1">
      <c r="A68" s="246" t="s">
        <v>411</v>
      </c>
      <c r="B68" s="248" t="s">
        <v>768</v>
      </c>
      <c r="C68" s="293" t="s">
        <v>803</v>
      </c>
      <c r="D68" s="749">
        <v>15937878</v>
      </c>
      <c r="E68" s="750">
        <v>76200</v>
      </c>
      <c r="F68" s="751">
        <f t="shared" si="6"/>
        <v>16014078</v>
      </c>
      <c r="G68" s="752"/>
      <c r="H68" s="753"/>
      <c r="I68" s="751">
        <f t="shared" si="7"/>
        <v>0</v>
      </c>
      <c r="J68" s="754"/>
      <c r="K68" s="254"/>
      <c r="L68" s="241">
        <f t="shared" si="2"/>
        <v>0</v>
      </c>
      <c r="M68" s="245">
        <f t="shared" si="3"/>
        <v>16014078</v>
      </c>
    </row>
    <row r="69" spans="1:13" ht="23.25" customHeight="1">
      <c r="A69" s="246" t="s">
        <v>412</v>
      </c>
      <c r="B69" s="248" t="s">
        <v>769</v>
      </c>
      <c r="C69" s="293" t="s">
        <v>804</v>
      </c>
      <c r="D69" s="749"/>
      <c r="E69" s="750"/>
      <c r="F69" s="751">
        <f t="shared" si="6"/>
        <v>0</v>
      </c>
      <c r="G69" s="755">
        <v>2723308</v>
      </c>
      <c r="H69" s="750"/>
      <c r="I69" s="751">
        <f t="shared" si="7"/>
        <v>2723308</v>
      </c>
      <c r="J69" s="754"/>
      <c r="K69" s="254"/>
      <c r="L69" s="241">
        <f t="shared" si="2"/>
        <v>0</v>
      </c>
      <c r="M69" s="245">
        <f t="shared" si="3"/>
        <v>2723308</v>
      </c>
    </row>
    <row r="70" spans="1:13" ht="23.25" customHeight="1">
      <c r="A70" s="246" t="s">
        <v>413</v>
      </c>
      <c r="B70" s="248" t="s">
        <v>770</v>
      </c>
      <c r="C70" s="258" t="s">
        <v>800</v>
      </c>
      <c r="D70" s="749"/>
      <c r="E70" s="750"/>
      <c r="F70" s="751">
        <f t="shared" si="6"/>
        <v>0</v>
      </c>
      <c r="G70" s="755">
        <v>679480</v>
      </c>
      <c r="H70" s="750"/>
      <c r="I70" s="751">
        <f t="shared" si="7"/>
        <v>679480</v>
      </c>
      <c r="J70" s="754"/>
      <c r="K70" s="254"/>
      <c r="L70" s="241">
        <f t="shared" si="2"/>
        <v>0</v>
      </c>
      <c r="M70" s="245">
        <f t="shared" si="3"/>
        <v>679480</v>
      </c>
    </row>
    <row r="71" spans="1:13" ht="23.25" customHeight="1">
      <c r="A71" s="250" t="s">
        <v>414</v>
      </c>
      <c r="B71" s="278" t="s">
        <v>584</v>
      </c>
      <c r="C71" s="258" t="s">
        <v>805</v>
      </c>
      <c r="D71" s="746"/>
      <c r="E71" s="747"/>
      <c r="F71" s="748">
        <f>SUM(D71:E71)</f>
        <v>0</v>
      </c>
      <c r="G71" s="746">
        <v>6972272</v>
      </c>
      <c r="H71" s="747">
        <v>9525</v>
      </c>
      <c r="I71" s="748">
        <f>SUM(G71:H71)</f>
        <v>6981797</v>
      </c>
      <c r="J71" s="746"/>
      <c r="K71" s="279"/>
      <c r="L71" s="241">
        <f t="shared" si="2"/>
        <v>0</v>
      </c>
      <c r="M71" s="245">
        <f t="shared" si="3"/>
        <v>6981797</v>
      </c>
    </row>
    <row r="72" spans="1:13" ht="24">
      <c r="A72" s="707" t="s">
        <v>415</v>
      </c>
      <c r="B72" s="257" t="s">
        <v>982</v>
      </c>
      <c r="C72" s="293"/>
      <c r="D72" s="746"/>
      <c r="E72" s="747"/>
      <c r="F72" s="748">
        <f>SUM(D72:E72)</f>
        <v>0</v>
      </c>
      <c r="G72" s="755">
        <v>36764697</v>
      </c>
      <c r="H72" s="747">
        <v>3853622</v>
      </c>
      <c r="I72" s="748">
        <f>SUM(G72:H72)</f>
        <v>40618319</v>
      </c>
      <c r="J72" s="755"/>
      <c r="K72" s="706"/>
      <c r="L72" s="241">
        <f t="shared" si="2"/>
        <v>0</v>
      </c>
      <c r="M72" s="245">
        <f t="shared" si="3"/>
        <v>40618319</v>
      </c>
    </row>
    <row r="73" spans="1:13" ht="36.75" customHeight="1" thickBot="1">
      <c r="A73" s="697" t="s">
        <v>416</v>
      </c>
      <c r="B73" s="248" t="s">
        <v>894</v>
      </c>
      <c r="C73" s="293" t="s">
        <v>901</v>
      </c>
      <c r="D73" s="749">
        <v>1486017</v>
      </c>
      <c r="E73" s="750"/>
      <c r="F73" s="748">
        <f>SUM(D73:E73)</f>
        <v>1486017</v>
      </c>
      <c r="G73" s="752"/>
      <c r="H73" s="753"/>
      <c r="I73" s="748">
        <f>SUM(G73:H73)</f>
        <v>0</v>
      </c>
      <c r="J73" s="754"/>
      <c r="K73" s="254"/>
      <c r="L73" s="277">
        <f>SUM(J73:K73)</f>
        <v>0</v>
      </c>
      <c r="M73" s="245">
        <f>SUM(L73,I73,F73)</f>
        <v>1486017</v>
      </c>
    </row>
    <row r="74" spans="1:16" ht="27.75" customHeight="1" thickBot="1">
      <c r="A74" s="870" t="s">
        <v>918</v>
      </c>
      <c r="B74" s="871"/>
      <c r="C74" s="872"/>
      <c r="D74" s="756">
        <f>SUM(D64:D73)</f>
        <v>215933712</v>
      </c>
      <c r="E74" s="757">
        <f aca="true" t="shared" si="8" ref="E74:L74">SUM(E64:E73)</f>
        <v>457665</v>
      </c>
      <c r="F74" s="758">
        <f>SUM(D74:E74)</f>
        <v>216391377</v>
      </c>
      <c r="G74" s="756">
        <f t="shared" si="8"/>
        <v>47139757</v>
      </c>
      <c r="H74" s="757">
        <f t="shared" si="8"/>
        <v>3863147</v>
      </c>
      <c r="I74" s="758">
        <f t="shared" si="8"/>
        <v>51002904</v>
      </c>
      <c r="J74" s="756">
        <f t="shared" si="8"/>
        <v>0</v>
      </c>
      <c r="K74" s="559">
        <f t="shared" si="8"/>
        <v>0</v>
      </c>
      <c r="L74" s="558">
        <f t="shared" si="8"/>
        <v>0</v>
      </c>
      <c r="M74" s="276">
        <v>267394281</v>
      </c>
      <c r="P74" s="561">
        <f>SUM(L74,I74,F74)</f>
        <v>267394281</v>
      </c>
    </row>
    <row r="75" spans="1:13" s="221" customFormat="1" ht="16.5" thickBot="1">
      <c r="A75" s="864" t="s">
        <v>528</v>
      </c>
      <c r="B75" s="865"/>
      <c r="C75" s="866"/>
      <c r="D75" s="759">
        <f aca="true" t="shared" si="9" ref="D75:M75">D59+D63+D74</f>
        <v>1096742812</v>
      </c>
      <c r="E75" s="759">
        <f t="shared" si="9"/>
        <v>110142810</v>
      </c>
      <c r="F75" s="760">
        <f t="shared" si="9"/>
        <v>1206885622</v>
      </c>
      <c r="G75" s="761">
        <f t="shared" si="9"/>
        <v>130763150</v>
      </c>
      <c r="H75" s="759">
        <f t="shared" si="9"/>
        <v>338456498</v>
      </c>
      <c r="I75" s="760">
        <f t="shared" si="9"/>
        <v>469219648</v>
      </c>
      <c r="J75" s="761">
        <f t="shared" si="9"/>
        <v>47266394</v>
      </c>
      <c r="K75" s="280">
        <f t="shared" si="9"/>
        <v>410623</v>
      </c>
      <c r="L75" s="281">
        <f t="shared" si="9"/>
        <v>47677017</v>
      </c>
      <c r="M75" s="282">
        <f t="shared" si="9"/>
        <v>1723782287</v>
      </c>
    </row>
    <row r="78" spans="1:2" ht="12.75">
      <c r="A78" s="156" t="s">
        <v>529</v>
      </c>
      <c r="B78" s="156" t="s">
        <v>530</v>
      </c>
    </row>
    <row r="79" spans="1:2" ht="12.75">
      <c r="A79" s="156" t="s">
        <v>531</v>
      </c>
      <c r="B79" s="156" t="s">
        <v>532</v>
      </c>
    </row>
    <row r="80" spans="1:2" ht="12.75">
      <c r="A80" s="156" t="s">
        <v>533</v>
      </c>
      <c r="B80" s="156" t="s">
        <v>534</v>
      </c>
    </row>
    <row r="81" spans="1:2" ht="12.75">
      <c r="A81" s="156" t="s">
        <v>535</v>
      </c>
      <c r="B81" s="156" t="s">
        <v>536</v>
      </c>
    </row>
    <row r="82" spans="1:2" ht="12.75">
      <c r="A82" s="156" t="s">
        <v>537</v>
      </c>
      <c r="B82" s="156" t="s">
        <v>538</v>
      </c>
    </row>
    <row r="83" spans="1:2" ht="12.75">
      <c r="A83" s="156" t="s">
        <v>662</v>
      </c>
      <c r="B83" s="156" t="s">
        <v>661</v>
      </c>
    </row>
    <row r="84" spans="1:2" ht="12.75">
      <c r="A84" s="156" t="s">
        <v>899</v>
      </c>
      <c r="B84" s="156" t="s">
        <v>900</v>
      </c>
    </row>
  </sheetData>
  <sheetProtection/>
  <mergeCells count="14">
    <mergeCell ref="A75:C75"/>
    <mergeCell ref="A63:C63"/>
    <mergeCell ref="D6:F7"/>
    <mergeCell ref="A74:C74"/>
    <mergeCell ref="B5:B8"/>
    <mergeCell ref="A5:A8"/>
    <mergeCell ref="C5:M5"/>
    <mergeCell ref="A59:C59"/>
    <mergeCell ref="G1:M1"/>
    <mergeCell ref="M6:M8"/>
    <mergeCell ref="A3:M4"/>
    <mergeCell ref="C6:C8"/>
    <mergeCell ref="G6:I7"/>
    <mergeCell ref="J6:L7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62" r:id="rId1"/>
  <rowBreaks count="2" manualBreakCount="2">
    <brk id="30" max="12" man="1"/>
    <brk id="59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O90"/>
  <sheetViews>
    <sheetView zoomScalePageLayoutView="0" workbookViewId="0" topLeftCell="A1">
      <selection activeCell="A3" sqref="A3:AC65"/>
    </sheetView>
  </sheetViews>
  <sheetFormatPr defaultColWidth="9.00390625" defaultRowHeight="12.75"/>
  <cols>
    <col min="1" max="2" width="9.125" style="156" customWidth="1"/>
    <col min="3" max="3" width="19.125" style="156" customWidth="1"/>
    <col min="4" max="4" width="18.00390625" style="156" bestFit="1" customWidth="1"/>
    <col min="5" max="5" width="15.75390625" style="156" bestFit="1" customWidth="1"/>
    <col min="6" max="6" width="18.00390625" style="156" bestFit="1" customWidth="1"/>
    <col min="7" max="7" width="12.625" style="156" customWidth="1"/>
    <col min="8" max="8" width="18.875" style="156" customWidth="1"/>
    <col min="9" max="9" width="9.25390625" style="156" bestFit="1" customWidth="1"/>
    <col min="10" max="10" width="11.375" style="156" bestFit="1" customWidth="1"/>
    <col min="11" max="11" width="18.125" style="156" customWidth="1"/>
    <col min="12" max="12" width="9.75390625" style="156" customWidth="1"/>
    <col min="13" max="13" width="9.125" style="156" customWidth="1"/>
    <col min="14" max="14" width="12.625" style="156" customWidth="1"/>
    <col min="15" max="15" width="9.125" style="156" customWidth="1"/>
    <col min="16" max="16" width="11.375" style="156" bestFit="1" customWidth="1"/>
    <col min="17" max="17" width="12.375" style="156" bestFit="1" customWidth="1"/>
    <col min="18" max="20" width="9.125" style="156" customWidth="1"/>
    <col min="21" max="21" width="9.875" style="156" customWidth="1"/>
    <col min="22" max="22" width="13.125" style="156" customWidth="1"/>
    <col min="23" max="23" width="16.625" style="156" bestFit="1" customWidth="1"/>
    <col min="24" max="24" width="18.00390625" style="294" bestFit="1" customWidth="1"/>
    <col min="25" max="25" width="18.25390625" style="294" customWidth="1"/>
    <col min="26" max="26" width="18.75390625" style="294" customWidth="1"/>
    <col min="27" max="27" width="19.75390625" style="294" bestFit="1" customWidth="1"/>
    <col min="28" max="28" width="17.375" style="294" bestFit="1" customWidth="1"/>
    <col min="29" max="29" width="19.75390625" style="294" bestFit="1" customWidth="1"/>
    <col min="30" max="223" width="9.125" style="294" customWidth="1"/>
    <col min="224" max="16384" width="9.125" style="156" customWidth="1"/>
  </cols>
  <sheetData>
    <row r="1" spans="1:28" ht="15">
      <c r="A1" s="223"/>
      <c r="B1" s="224"/>
      <c r="C1" s="225"/>
      <c r="H1" s="224"/>
      <c r="I1" s="224"/>
      <c r="J1" s="224"/>
      <c r="K1" s="226"/>
      <c r="L1" s="226"/>
      <c r="M1" s="226"/>
      <c r="N1" s="224"/>
      <c r="T1" s="849" t="s">
        <v>1067</v>
      </c>
      <c r="U1" s="850"/>
      <c r="V1" s="850"/>
      <c r="W1" s="850"/>
      <c r="X1" s="1005"/>
      <c r="Y1" s="1005"/>
      <c r="Z1" s="1005"/>
      <c r="AA1" s="1005"/>
      <c r="AB1" s="1005"/>
    </row>
    <row r="2" spans="1:14" ht="12.75">
      <c r="A2" s="223"/>
      <c r="B2" s="224"/>
      <c r="C2" s="225"/>
      <c r="D2" s="227"/>
      <c r="E2" s="228"/>
      <c r="F2" s="228"/>
      <c r="G2" s="228"/>
      <c r="H2" s="224"/>
      <c r="I2" s="224"/>
      <c r="J2" s="224"/>
      <c r="K2" s="226"/>
      <c r="L2" s="226"/>
      <c r="M2" s="226"/>
      <c r="N2" s="224"/>
    </row>
    <row r="3" spans="1:29" ht="15.75" customHeight="1">
      <c r="A3" s="1004" t="s">
        <v>809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4"/>
      <c r="R3" s="1004"/>
      <c r="S3" s="1004"/>
      <c r="T3" s="1004"/>
      <c r="U3" s="1004"/>
      <c r="V3" s="1004"/>
      <c r="W3" s="1004"/>
      <c r="X3" s="1004"/>
      <c r="Y3" s="1004"/>
      <c r="Z3" s="1004"/>
      <c r="AA3" s="1004"/>
      <c r="AB3" s="1004"/>
      <c r="AC3" s="1004"/>
    </row>
    <row r="4" spans="1:29" ht="15.75" customHeight="1">
      <c r="A4" s="552"/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</row>
    <row r="5" spans="1:29" ht="13.5" customHeight="1" thickBot="1">
      <c r="A5" s="553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</row>
    <row r="6" spans="1:223" s="295" customFormat="1" ht="15" customHeight="1" thickBot="1" thickTop="1">
      <c r="A6" s="1007" t="s">
        <v>103</v>
      </c>
      <c r="B6" s="1008"/>
      <c r="C6" s="1008"/>
      <c r="D6" s="953" t="s">
        <v>376</v>
      </c>
      <c r="E6" s="954"/>
      <c r="F6" s="955"/>
      <c r="G6" s="956" t="s">
        <v>539</v>
      </c>
      <c r="H6" s="1011"/>
      <c r="I6" s="1011"/>
      <c r="J6" s="1011"/>
      <c r="K6" s="1012"/>
      <c r="L6" s="910" t="s">
        <v>540</v>
      </c>
      <c r="M6" s="911"/>
      <c r="N6" s="911"/>
      <c r="O6" s="911"/>
      <c r="P6" s="911"/>
      <c r="Q6" s="942"/>
      <c r="R6" s="910" t="s">
        <v>541</v>
      </c>
      <c r="S6" s="911"/>
      <c r="T6" s="911"/>
      <c r="U6" s="911"/>
      <c r="V6" s="911"/>
      <c r="W6" s="911"/>
      <c r="X6" s="1006" t="s">
        <v>542</v>
      </c>
      <c r="Y6" s="977"/>
      <c r="Z6" s="977"/>
      <c r="AA6" s="971" t="s">
        <v>104</v>
      </c>
      <c r="AB6" s="972"/>
      <c r="AC6" s="973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294"/>
      <c r="DX6" s="294"/>
      <c r="DY6" s="294"/>
      <c r="DZ6" s="294"/>
      <c r="EA6" s="294"/>
      <c r="EB6" s="294"/>
      <c r="EC6" s="294"/>
      <c r="ED6" s="294"/>
      <c r="EE6" s="294"/>
      <c r="EF6" s="294"/>
      <c r="EG6" s="294"/>
      <c r="EH6" s="294"/>
      <c r="EI6" s="294"/>
      <c r="EJ6" s="294"/>
      <c r="EK6" s="294"/>
      <c r="EL6" s="294"/>
      <c r="EM6" s="294"/>
      <c r="EN6" s="294"/>
      <c r="EO6" s="294"/>
      <c r="EP6" s="294"/>
      <c r="EQ6" s="294"/>
      <c r="ER6" s="294"/>
      <c r="ES6" s="294"/>
      <c r="ET6" s="294"/>
      <c r="EU6" s="294"/>
      <c r="EV6" s="294"/>
      <c r="EW6" s="294"/>
      <c r="EX6" s="294"/>
      <c r="EY6" s="294"/>
      <c r="EZ6" s="294"/>
      <c r="FA6" s="294"/>
      <c r="FB6" s="294"/>
      <c r="FC6" s="294"/>
      <c r="FD6" s="294"/>
      <c r="FE6" s="294"/>
      <c r="FF6" s="294"/>
      <c r="FG6" s="294"/>
      <c r="FH6" s="294"/>
      <c r="FI6" s="294"/>
      <c r="FJ6" s="294"/>
      <c r="FK6" s="294"/>
      <c r="FL6" s="294"/>
      <c r="FM6" s="294"/>
      <c r="FN6" s="294"/>
      <c r="FO6" s="294"/>
      <c r="FP6" s="294"/>
      <c r="FQ6" s="294"/>
      <c r="FR6" s="294"/>
      <c r="FS6" s="294"/>
      <c r="FT6" s="294"/>
      <c r="FU6" s="294"/>
      <c r="FV6" s="294"/>
      <c r="FW6" s="294"/>
      <c r="FX6" s="294"/>
      <c r="FY6" s="294"/>
      <c r="FZ6" s="294"/>
      <c r="GA6" s="294"/>
      <c r="GB6" s="294"/>
      <c r="GC6" s="294"/>
      <c r="GD6" s="294"/>
      <c r="GE6" s="294"/>
      <c r="GF6" s="294"/>
      <c r="GG6" s="294"/>
      <c r="GH6" s="294"/>
      <c r="GI6" s="294"/>
      <c r="GJ6" s="294"/>
      <c r="GK6" s="294"/>
      <c r="GL6" s="294"/>
      <c r="GM6" s="294"/>
      <c r="GN6" s="294"/>
      <c r="GO6" s="294"/>
      <c r="GP6" s="294"/>
      <c r="GQ6" s="294"/>
      <c r="GR6" s="294"/>
      <c r="GS6" s="294"/>
      <c r="GT6" s="294"/>
      <c r="GU6" s="294"/>
      <c r="GV6" s="294"/>
      <c r="GW6" s="294"/>
      <c r="GX6" s="294"/>
      <c r="GY6" s="294"/>
      <c r="GZ6" s="294"/>
      <c r="HA6" s="294"/>
      <c r="HB6" s="294"/>
      <c r="HC6" s="294"/>
      <c r="HD6" s="294"/>
      <c r="HE6" s="294"/>
      <c r="HF6" s="294"/>
      <c r="HG6" s="294"/>
      <c r="HH6" s="294"/>
      <c r="HI6" s="294"/>
      <c r="HJ6" s="294"/>
      <c r="HK6" s="294"/>
      <c r="HL6" s="294"/>
      <c r="HM6" s="294"/>
      <c r="HN6" s="294"/>
      <c r="HO6" s="294"/>
    </row>
    <row r="7" spans="1:29" s="294" customFormat="1" ht="16.5" customHeight="1" thickBot="1">
      <c r="A7" s="1009"/>
      <c r="B7" s="1010"/>
      <c r="C7" s="1010"/>
      <c r="D7" s="296" t="s">
        <v>105</v>
      </c>
      <c r="E7" s="394" t="s">
        <v>101</v>
      </c>
      <c r="F7" s="297" t="s">
        <v>106</v>
      </c>
      <c r="G7" s="1013"/>
      <c r="H7" s="1014"/>
      <c r="I7" s="1014"/>
      <c r="J7" s="1014"/>
      <c r="K7" s="1015"/>
      <c r="L7" s="913"/>
      <c r="M7" s="914"/>
      <c r="N7" s="914"/>
      <c r="O7" s="914"/>
      <c r="P7" s="914"/>
      <c r="Q7" s="943"/>
      <c r="R7" s="913"/>
      <c r="S7" s="914"/>
      <c r="T7" s="914"/>
      <c r="U7" s="914"/>
      <c r="V7" s="914"/>
      <c r="W7" s="914"/>
      <c r="X7" s="298" t="s">
        <v>105</v>
      </c>
      <c r="Y7" s="493" t="s">
        <v>101</v>
      </c>
      <c r="Z7" s="299" t="s">
        <v>106</v>
      </c>
      <c r="AA7" s="300" t="s">
        <v>105</v>
      </c>
      <c r="AB7" s="494" t="s">
        <v>101</v>
      </c>
      <c r="AC7" s="301" t="s">
        <v>106</v>
      </c>
    </row>
    <row r="8" spans="1:29" s="317" customFormat="1" ht="26.25" customHeight="1">
      <c r="A8" s="302"/>
      <c r="B8" s="303"/>
      <c r="C8" s="304"/>
      <c r="D8" s="305"/>
      <c r="E8" s="303"/>
      <c r="F8" s="306"/>
      <c r="G8" s="1016" t="s">
        <v>543</v>
      </c>
      <c r="H8" s="900"/>
      <c r="I8" s="900"/>
      <c r="J8" s="307">
        <f>63536320+13776653+765000+1000000</f>
        <v>79077973</v>
      </c>
      <c r="K8" s="901">
        <f>SUM(J8:J22)</f>
        <v>247891523</v>
      </c>
      <c r="L8" s="885"/>
      <c r="M8" s="886"/>
      <c r="N8" s="886"/>
      <c r="O8" s="886"/>
      <c r="P8" s="308"/>
      <c r="Q8" s="1017">
        <f>SUM(P8:P22)</f>
        <v>188137328</v>
      </c>
      <c r="R8" s="892" t="s">
        <v>261</v>
      </c>
      <c r="S8" s="893"/>
      <c r="T8" s="893"/>
      <c r="U8" s="893"/>
      <c r="V8" s="550">
        <f>182000000+50000-50000</f>
        <v>182000000</v>
      </c>
      <c r="W8" s="889">
        <f>SUM(V8:V22)</f>
        <v>291785293</v>
      </c>
      <c r="X8" s="311"/>
      <c r="Y8" s="312"/>
      <c r="Z8" s="313"/>
      <c r="AA8" s="314"/>
      <c r="AB8" s="315"/>
      <c r="AC8" s="316"/>
    </row>
    <row r="9" spans="1:29" s="317" customFormat="1" ht="27" customHeight="1">
      <c r="A9" s="302"/>
      <c r="B9" s="303"/>
      <c r="C9" s="305"/>
      <c r="D9" s="305"/>
      <c r="E9" s="303"/>
      <c r="F9" s="306"/>
      <c r="G9" s="896" t="s">
        <v>571</v>
      </c>
      <c r="H9" s="882"/>
      <c r="I9" s="882"/>
      <c r="J9" s="307">
        <v>10164240</v>
      </c>
      <c r="K9" s="902"/>
      <c r="L9" s="881" t="s">
        <v>544</v>
      </c>
      <c r="M9" s="882"/>
      <c r="N9" s="882"/>
      <c r="O9" s="882"/>
      <c r="P9" s="307">
        <v>3339510</v>
      </c>
      <c r="Q9" s="1018"/>
      <c r="R9" s="883" t="s">
        <v>987</v>
      </c>
      <c r="S9" s="884"/>
      <c r="T9" s="884"/>
      <c r="U9" s="884"/>
      <c r="V9" s="550">
        <f>500000+135000+1850953+451243+360093</f>
        <v>3297289</v>
      </c>
      <c r="W9" s="890"/>
      <c r="X9" s="318"/>
      <c r="Y9" s="312"/>
      <c r="Z9" s="319"/>
      <c r="AA9" s="302"/>
      <c r="AB9" s="320"/>
      <c r="AC9" s="321"/>
    </row>
    <row r="10" spans="1:29" s="317" customFormat="1" ht="24.75" customHeight="1">
      <c r="A10" s="322"/>
      <c r="B10" s="323"/>
      <c r="C10" s="324" t="s">
        <v>511</v>
      </c>
      <c r="D10" s="325">
        <f>SUM('5. kiadások megbontása'!D59)</f>
        <v>760478226</v>
      </c>
      <c r="E10" s="326">
        <f>SUM('5. kiadások megbontása'!E59)</f>
        <v>109185145</v>
      </c>
      <c r="F10" s="327">
        <f>SUM(D10:E10)</f>
        <v>869663371</v>
      </c>
      <c r="G10" s="896" t="s">
        <v>834</v>
      </c>
      <c r="H10" s="882"/>
      <c r="I10" s="882"/>
      <c r="J10" s="307">
        <v>53176031</v>
      </c>
      <c r="K10" s="902"/>
      <c r="L10" s="892" t="s">
        <v>545</v>
      </c>
      <c r="M10" s="893"/>
      <c r="N10" s="893"/>
      <c r="O10" s="893"/>
      <c r="P10" s="550">
        <v>12348000</v>
      </c>
      <c r="Q10" s="1018"/>
      <c r="R10" s="892" t="s">
        <v>829</v>
      </c>
      <c r="S10" s="893"/>
      <c r="T10" s="893"/>
      <c r="U10" s="893"/>
      <c r="V10" s="550">
        <f>3030380+818203</f>
        <v>3848583</v>
      </c>
      <c r="W10" s="890"/>
      <c r="X10" s="328"/>
      <c r="Y10" s="329"/>
      <c r="Z10" s="319"/>
      <c r="AA10" s="330"/>
      <c r="AB10" s="331"/>
      <c r="AC10" s="332"/>
    </row>
    <row r="11" spans="1:29" s="317" customFormat="1" ht="25.5" customHeight="1">
      <c r="A11" s="333"/>
      <c r="B11" s="334"/>
      <c r="C11" s="335"/>
      <c r="D11" s="335"/>
      <c r="E11" s="303"/>
      <c r="F11" s="306"/>
      <c r="G11" s="896" t="s">
        <v>868</v>
      </c>
      <c r="H11" s="882"/>
      <c r="I11" s="882"/>
      <c r="J11" s="307">
        <v>6949788</v>
      </c>
      <c r="K11" s="902"/>
      <c r="L11" s="881" t="s">
        <v>546</v>
      </c>
      <c r="M11" s="882"/>
      <c r="N11" s="882"/>
      <c r="O11" s="882"/>
      <c r="P11" s="550">
        <f>19620000+165000</f>
        <v>19785000</v>
      </c>
      <c r="Q11" s="1018"/>
      <c r="R11" s="883" t="s">
        <v>129</v>
      </c>
      <c r="S11" s="884"/>
      <c r="T11" s="884"/>
      <c r="U11" s="884"/>
      <c r="V11" s="550">
        <f>9016325+4800000+1296000+67100</f>
        <v>15179425</v>
      </c>
      <c r="W11" s="890"/>
      <c r="X11" s="328"/>
      <c r="Y11" s="329"/>
      <c r="Z11" s="319"/>
      <c r="AA11" s="330"/>
      <c r="AB11" s="331"/>
      <c r="AC11" s="332"/>
    </row>
    <row r="12" spans="1:29" s="317" customFormat="1" ht="24.75" customHeight="1">
      <c r="A12" s="333"/>
      <c r="B12" s="334"/>
      <c r="C12" s="335"/>
      <c r="D12" s="335"/>
      <c r="E12" s="303"/>
      <c r="F12" s="306"/>
      <c r="G12" s="896" t="s">
        <v>667</v>
      </c>
      <c r="H12" s="882"/>
      <c r="I12" s="882"/>
      <c r="J12" s="307">
        <f>2254350-38760-725610</f>
        <v>1489980</v>
      </c>
      <c r="K12" s="902"/>
      <c r="L12" s="881" t="s">
        <v>863</v>
      </c>
      <c r="M12" s="882"/>
      <c r="N12" s="882"/>
      <c r="O12" s="882"/>
      <c r="P12" s="307">
        <v>3850000</v>
      </c>
      <c r="Q12" s="1018"/>
      <c r="R12" s="883" t="s">
        <v>826</v>
      </c>
      <c r="S12" s="884"/>
      <c r="T12" s="884"/>
      <c r="U12" s="884"/>
      <c r="V12" s="550">
        <v>50000</v>
      </c>
      <c r="W12" s="890"/>
      <c r="X12" s="328"/>
      <c r="Y12" s="329"/>
      <c r="Z12" s="319"/>
      <c r="AA12" s="330"/>
      <c r="AB12" s="331"/>
      <c r="AC12" s="332"/>
    </row>
    <row r="13" spans="1:29" s="317" customFormat="1" ht="15.75" customHeight="1">
      <c r="A13" s="333"/>
      <c r="B13" s="334"/>
      <c r="C13" s="335"/>
      <c r="D13" s="335"/>
      <c r="E13" s="303"/>
      <c r="F13" s="306"/>
      <c r="G13" s="898" t="s">
        <v>585</v>
      </c>
      <c r="H13" s="898"/>
      <c r="I13" s="898"/>
      <c r="J13" s="307">
        <f>54007000-J56</f>
        <v>32391954</v>
      </c>
      <c r="K13" s="902"/>
      <c r="L13" s="897" t="s">
        <v>869</v>
      </c>
      <c r="M13" s="898"/>
      <c r="N13" s="898"/>
      <c r="O13" s="898"/>
      <c r="P13" s="336">
        <v>108223380</v>
      </c>
      <c r="Q13" s="1018"/>
      <c r="R13" s="881" t="s">
        <v>302</v>
      </c>
      <c r="S13" s="882"/>
      <c r="T13" s="882"/>
      <c r="U13" s="882"/>
      <c r="V13" s="307">
        <f>639000+105030</f>
        <v>744030</v>
      </c>
      <c r="W13" s="890"/>
      <c r="X13" s="328"/>
      <c r="Y13" s="329"/>
      <c r="Z13" s="319"/>
      <c r="AA13" s="330"/>
      <c r="AB13" s="331"/>
      <c r="AC13" s="332"/>
    </row>
    <row r="14" spans="1:29" s="317" customFormat="1" ht="16.5" customHeight="1">
      <c r="A14" s="333"/>
      <c r="B14" s="334"/>
      <c r="C14" s="335"/>
      <c r="D14" s="335"/>
      <c r="E14" s="303"/>
      <c r="F14" s="337"/>
      <c r="G14" s="898" t="s">
        <v>823</v>
      </c>
      <c r="H14" s="898"/>
      <c r="I14" s="898"/>
      <c r="J14" s="307">
        <v>95885</v>
      </c>
      <c r="K14" s="902"/>
      <c r="L14" s="897" t="s">
        <v>871</v>
      </c>
      <c r="M14" s="898"/>
      <c r="N14" s="898"/>
      <c r="O14" s="898"/>
      <c r="P14" s="338">
        <v>40591438</v>
      </c>
      <c r="Q14" s="1018"/>
      <c r="R14" s="881" t="s">
        <v>830</v>
      </c>
      <c r="S14" s="882"/>
      <c r="T14" s="882"/>
      <c r="U14" s="882"/>
      <c r="V14" s="307">
        <f>3145064+175500+540+444395+32122+20948+80928+19072</f>
        <v>3918569</v>
      </c>
      <c r="W14" s="890"/>
      <c r="X14" s="339">
        <f>SUM(W8,Q8,K8)</f>
        <v>727814144</v>
      </c>
      <c r="Y14" s="340">
        <f>SUM(Q23,W23,K23)</f>
        <v>191239029</v>
      </c>
      <c r="Z14" s="341">
        <f>SUM(Y14,X14)</f>
        <v>919053173</v>
      </c>
      <c r="AA14" s="339">
        <f>X14-D10</f>
        <v>-32664082</v>
      </c>
      <c r="AB14" s="340">
        <f>Y14-E10</f>
        <v>82053884</v>
      </c>
      <c r="AC14" s="342">
        <f>SUM(AA14:AB14)</f>
        <v>49389802</v>
      </c>
    </row>
    <row r="15" spans="1:29" s="294" customFormat="1" ht="24" customHeight="1">
      <c r="A15" s="343"/>
      <c r="B15" s="344"/>
      <c r="C15" s="345"/>
      <c r="D15" s="345"/>
      <c r="E15" s="346"/>
      <c r="F15" s="347"/>
      <c r="G15" s="896" t="s">
        <v>866</v>
      </c>
      <c r="H15" s="882"/>
      <c r="I15" s="882"/>
      <c r="J15" s="307">
        <f>340746-7076</f>
        <v>333670</v>
      </c>
      <c r="K15" s="902"/>
      <c r="L15" s="881"/>
      <c r="M15" s="882"/>
      <c r="N15" s="882"/>
      <c r="O15" s="882"/>
      <c r="P15" s="338"/>
      <c r="Q15" s="1018"/>
      <c r="R15" s="897" t="s">
        <v>833</v>
      </c>
      <c r="S15" s="898"/>
      <c r="T15" s="898"/>
      <c r="U15" s="898"/>
      <c r="V15" s="348">
        <f>4247600+1146852</f>
        <v>5394452</v>
      </c>
      <c r="W15" s="890"/>
      <c r="X15" s="328"/>
      <c r="Y15" s="329"/>
      <c r="Z15" s="319"/>
      <c r="AA15" s="330"/>
      <c r="AB15" s="331"/>
      <c r="AC15" s="332"/>
    </row>
    <row r="16" spans="1:29" s="294" customFormat="1" ht="25.5" customHeight="1">
      <c r="A16" s="343"/>
      <c r="B16" s="344"/>
      <c r="C16" s="345"/>
      <c r="D16" s="345"/>
      <c r="E16" s="346"/>
      <c r="F16" s="347"/>
      <c r="G16" s="896" t="s">
        <v>906</v>
      </c>
      <c r="H16" s="882"/>
      <c r="I16" s="882"/>
      <c r="J16" s="307">
        <v>4556666</v>
      </c>
      <c r="K16" s="902"/>
      <c r="L16" s="881"/>
      <c r="M16" s="882"/>
      <c r="N16" s="882"/>
      <c r="O16" s="882"/>
      <c r="P16" s="307"/>
      <c r="Q16" s="1018"/>
      <c r="R16" s="897" t="s">
        <v>831</v>
      </c>
      <c r="S16" s="898"/>
      <c r="T16" s="898"/>
      <c r="U16" s="898"/>
      <c r="V16" s="348">
        <v>6000</v>
      </c>
      <c r="W16" s="890"/>
      <c r="X16" s="328"/>
      <c r="Y16" s="329"/>
      <c r="Z16" s="319"/>
      <c r="AA16" s="330"/>
      <c r="AB16" s="331"/>
      <c r="AC16" s="332"/>
    </row>
    <row r="17" spans="1:29" s="294" customFormat="1" ht="24.75" customHeight="1">
      <c r="A17" s="343"/>
      <c r="B17" s="344"/>
      <c r="C17" s="345"/>
      <c r="D17" s="345"/>
      <c r="E17" s="346"/>
      <c r="F17" s="347"/>
      <c r="G17" s="881" t="s">
        <v>875</v>
      </c>
      <c r="H17" s="882"/>
      <c r="I17" s="882"/>
      <c r="J17" s="307">
        <v>1614100</v>
      </c>
      <c r="K17" s="902"/>
      <c r="L17" s="897"/>
      <c r="M17" s="898"/>
      <c r="N17" s="898"/>
      <c r="O17" s="898"/>
      <c r="P17" s="336"/>
      <c r="Q17" s="1018"/>
      <c r="R17" s="897" t="s">
        <v>832</v>
      </c>
      <c r="S17" s="898"/>
      <c r="T17" s="898"/>
      <c r="U17" s="898"/>
      <c r="V17" s="348">
        <f>20790707+20000000+6865581+25367102-22851</f>
        <v>73000539</v>
      </c>
      <c r="W17" s="890"/>
      <c r="X17" s="328"/>
      <c r="Y17" s="329"/>
      <c r="Z17" s="319"/>
      <c r="AA17" s="330"/>
      <c r="AB17" s="331"/>
      <c r="AC17" s="332"/>
    </row>
    <row r="18" spans="1:29" s="294" customFormat="1" ht="12.75" customHeight="1">
      <c r="A18" s="343"/>
      <c r="B18" s="344"/>
      <c r="C18" s="345"/>
      <c r="D18" s="345"/>
      <c r="E18" s="346"/>
      <c r="F18" s="347"/>
      <c r="G18" s="896" t="s">
        <v>957</v>
      </c>
      <c r="H18" s="882"/>
      <c r="I18" s="882"/>
      <c r="J18" s="307">
        <v>40000000</v>
      </c>
      <c r="K18" s="902"/>
      <c r="L18" s="897"/>
      <c r="M18" s="898"/>
      <c r="N18" s="898"/>
      <c r="O18" s="898"/>
      <c r="P18" s="338"/>
      <c r="Q18" s="1018"/>
      <c r="R18" s="897" t="s">
        <v>865</v>
      </c>
      <c r="S18" s="898"/>
      <c r="T18" s="898"/>
      <c r="U18" s="898"/>
      <c r="V18" s="348">
        <f>1486017+67767</f>
        <v>1553784</v>
      </c>
      <c r="W18" s="890"/>
      <c r="X18" s="328"/>
      <c r="Y18" s="329"/>
      <c r="Z18" s="319"/>
      <c r="AA18" s="330"/>
      <c r="AB18" s="331"/>
      <c r="AC18" s="332"/>
    </row>
    <row r="19" spans="1:29" s="294" customFormat="1" ht="27" customHeight="1">
      <c r="A19" s="343"/>
      <c r="B19" s="344"/>
      <c r="C19" s="345"/>
      <c r="D19" s="345"/>
      <c r="E19" s="346"/>
      <c r="F19" s="347"/>
      <c r="G19" s="975" t="s">
        <v>985</v>
      </c>
      <c r="H19" s="898"/>
      <c r="I19" s="898"/>
      <c r="J19" s="307">
        <v>18041236</v>
      </c>
      <c r="K19" s="902"/>
      <c r="L19" s="897"/>
      <c r="M19" s="898"/>
      <c r="N19" s="898"/>
      <c r="O19" s="898"/>
      <c r="P19" s="338"/>
      <c r="Q19" s="1018"/>
      <c r="R19" s="881" t="s">
        <v>874</v>
      </c>
      <c r="S19" s="882"/>
      <c r="T19" s="882"/>
      <c r="U19" s="882"/>
      <c r="V19" s="348">
        <v>918587</v>
      </c>
      <c r="W19" s="890"/>
      <c r="X19" s="328"/>
      <c r="Y19" s="329"/>
      <c r="Z19" s="319"/>
      <c r="AA19" s="330"/>
      <c r="AB19" s="331"/>
      <c r="AC19" s="332"/>
    </row>
    <row r="20" spans="1:29" s="294" customFormat="1" ht="26.25" customHeight="1">
      <c r="A20" s="343"/>
      <c r="B20" s="344"/>
      <c r="C20" s="345"/>
      <c r="D20" s="345"/>
      <c r="E20" s="346"/>
      <c r="F20" s="347"/>
      <c r="G20" s="350"/>
      <c r="H20" s="351"/>
      <c r="I20" s="351"/>
      <c r="J20" s="349"/>
      <c r="K20" s="902"/>
      <c r="L20" s="881"/>
      <c r="M20" s="882"/>
      <c r="N20" s="882"/>
      <c r="O20" s="882"/>
      <c r="P20" s="338"/>
      <c r="Q20" s="1018"/>
      <c r="R20" s="881" t="s">
        <v>905</v>
      </c>
      <c r="S20" s="882"/>
      <c r="T20" s="882"/>
      <c r="U20" s="882"/>
      <c r="V20" s="336">
        <f>14444+42000</f>
        <v>56444</v>
      </c>
      <c r="W20" s="890"/>
      <c r="X20" s="328"/>
      <c r="Y20" s="329"/>
      <c r="Z20" s="319"/>
      <c r="AA20" s="330"/>
      <c r="AB20" s="331"/>
      <c r="AC20" s="332"/>
    </row>
    <row r="21" spans="1:29" s="294" customFormat="1" ht="13.5" customHeight="1">
      <c r="A21" s="343"/>
      <c r="B21" s="344"/>
      <c r="C21" s="345"/>
      <c r="D21" s="345"/>
      <c r="E21" s="346"/>
      <c r="F21" s="347"/>
      <c r="G21" s="350"/>
      <c r="H21" s="351"/>
      <c r="I21" s="351"/>
      <c r="J21" s="349"/>
      <c r="K21" s="902"/>
      <c r="L21" s="514"/>
      <c r="M21" s="667"/>
      <c r="N21" s="667"/>
      <c r="O21" s="667"/>
      <c r="P21" s="338"/>
      <c r="Q21" s="1018"/>
      <c r="R21" s="881" t="s">
        <v>956</v>
      </c>
      <c r="S21" s="882"/>
      <c r="T21" s="882"/>
      <c r="U21" s="882"/>
      <c r="V21" s="336">
        <v>1594595</v>
      </c>
      <c r="W21" s="890"/>
      <c r="X21" s="328"/>
      <c r="Y21" s="329"/>
      <c r="Z21" s="319"/>
      <c r="AA21" s="330"/>
      <c r="AB21" s="331"/>
      <c r="AC21" s="332"/>
    </row>
    <row r="22" spans="1:29" s="294" customFormat="1" ht="14.25" customHeight="1" thickBot="1">
      <c r="A22" s="343"/>
      <c r="B22" s="344"/>
      <c r="C22" s="345"/>
      <c r="D22" s="345"/>
      <c r="E22" s="346"/>
      <c r="F22" s="347"/>
      <c r="G22" s="350"/>
      <c r="H22" s="351"/>
      <c r="I22" s="351"/>
      <c r="J22" s="349"/>
      <c r="K22" s="902"/>
      <c r="L22" s="996"/>
      <c r="M22" s="997"/>
      <c r="N22" s="997"/>
      <c r="O22" s="997"/>
      <c r="P22" s="338"/>
      <c r="Q22" s="1019"/>
      <c r="R22" s="881" t="s">
        <v>959</v>
      </c>
      <c r="S22" s="882"/>
      <c r="T22" s="882"/>
      <c r="U22" s="882"/>
      <c r="V22" s="336">
        <v>222996</v>
      </c>
      <c r="W22" s="890"/>
      <c r="X22" s="328"/>
      <c r="Y22" s="329"/>
      <c r="Z22" s="319"/>
      <c r="AA22" s="330"/>
      <c r="AB22" s="331"/>
      <c r="AC22" s="332"/>
    </row>
    <row r="23" spans="1:29" s="294" customFormat="1" ht="27" customHeight="1">
      <c r="A23" s="343"/>
      <c r="B23" s="344"/>
      <c r="C23" s="345"/>
      <c r="D23" s="345"/>
      <c r="E23" s="346" t="s">
        <v>108</v>
      </c>
      <c r="F23" s="347"/>
      <c r="G23" s="941" t="s">
        <v>955</v>
      </c>
      <c r="H23" s="886"/>
      <c r="I23" s="886"/>
      <c r="J23" s="709">
        <v>14989072</v>
      </c>
      <c r="K23" s="901">
        <f>SUM(J23:J26)</f>
        <v>14989072</v>
      </c>
      <c r="L23" s="881" t="s">
        <v>864</v>
      </c>
      <c r="M23" s="882"/>
      <c r="N23" s="882"/>
      <c r="O23" s="882"/>
      <c r="P23" s="352">
        <v>3150000</v>
      </c>
      <c r="Q23" s="901">
        <f>SUM(P23:P26)</f>
        <v>19774629</v>
      </c>
      <c r="R23" s="1023" t="s">
        <v>109</v>
      </c>
      <c r="S23" s="1024"/>
      <c r="T23" s="1024"/>
      <c r="U23" s="1024"/>
      <c r="V23" s="551">
        <f>287999375-44651334-20303278-30534250+9314000+500000+7102216-1172953-1614100-500000+33742913-4556666-5138000-10181701-767984-9374887+3948655-40000000-1900000-366019-2764334-6447948-25899029</f>
        <v>136434676</v>
      </c>
      <c r="W23" s="889">
        <f>SUM(V23:V26)</f>
        <v>156475328</v>
      </c>
      <c r="X23" s="328"/>
      <c r="Y23" s="329"/>
      <c r="Z23" s="319"/>
      <c r="AA23" s="330"/>
      <c r="AB23" s="331"/>
      <c r="AC23" s="332"/>
    </row>
    <row r="24" spans="1:29" s="294" customFormat="1" ht="48.75" customHeight="1">
      <c r="A24" s="343"/>
      <c r="B24" s="344"/>
      <c r="C24" s="345"/>
      <c r="D24" s="345"/>
      <c r="E24" s="346"/>
      <c r="F24" s="347"/>
      <c r="G24" s="350"/>
      <c r="H24" s="351"/>
      <c r="I24" s="351"/>
      <c r="J24" s="353"/>
      <c r="K24" s="902"/>
      <c r="L24" s="881" t="s">
        <v>939</v>
      </c>
      <c r="M24" s="882"/>
      <c r="N24" s="882"/>
      <c r="O24" s="882"/>
      <c r="P24" s="544">
        <f>2500000+5000000+6019000</f>
        <v>13519000</v>
      </c>
      <c r="Q24" s="1021"/>
      <c r="R24" s="883" t="s">
        <v>825</v>
      </c>
      <c r="S24" s="884"/>
      <c r="T24" s="884"/>
      <c r="U24" s="884"/>
      <c r="V24" s="549">
        <f>15391652+4649000</f>
        <v>20040652</v>
      </c>
      <c r="W24" s="1022"/>
      <c r="X24" s="328"/>
      <c r="Y24" s="329"/>
      <c r="Z24" s="319"/>
      <c r="AA24" s="330"/>
      <c r="AB24" s="331"/>
      <c r="AC24" s="332"/>
    </row>
    <row r="25" spans="1:29" s="294" customFormat="1" ht="16.5" customHeight="1">
      <c r="A25" s="343"/>
      <c r="B25" s="344"/>
      <c r="C25" s="345"/>
      <c r="D25" s="345"/>
      <c r="E25" s="346"/>
      <c r="F25" s="347"/>
      <c r="G25" s="350"/>
      <c r="H25" s="351"/>
      <c r="I25" s="351"/>
      <c r="J25" s="353"/>
      <c r="K25" s="902"/>
      <c r="L25" s="897" t="s">
        <v>870</v>
      </c>
      <c r="M25" s="898"/>
      <c r="N25" s="898"/>
      <c r="O25" s="898"/>
      <c r="P25" s="338">
        <v>1707563</v>
      </c>
      <c r="Q25" s="1021"/>
      <c r="R25" s="883"/>
      <c r="S25" s="884"/>
      <c r="T25" s="884"/>
      <c r="U25" s="884"/>
      <c r="V25" s="549"/>
      <c r="W25" s="1022"/>
      <c r="X25" s="328"/>
      <c r="Y25" s="329"/>
      <c r="Z25" s="319"/>
      <c r="AA25" s="330"/>
      <c r="AB25" s="331"/>
      <c r="AC25" s="332"/>
    </row>
    <row r="26" spans="1:29" s="294" customFormat="1" ht="18.75" customHeight="1" thickBot="1">
      <c r="A26" s="554"/>
      <c r="B26" s="344"/>
      <c r="C26" s="345"/>
      <c r="D26" s="345"/>
      <c r="E26" s="346"/>
      <c r="F26" s="347"/>
      <c r="G26" s="1025"/>
      <c r="H26" s="917"/>
      <c r="I26" s="917"/>
      <c r="J26" s="353"/>
      <c r="K26" s="902"/>
      <c r="L26" s="897" t="s">
        <v>872</v>
      </c>
      <c r="M26" s="898"/>
      <c r="N26" s="898"/>
      <c r="O26" s="898"/>
      <c r="P26" s="338">
        <v>1398066</v>
      </c>
      <c r="Q26" s="1021"/>
      <c r="R26" s="883"/>
      <c r="S26" s="884"/>
      <c r="T26" s="884"/>
      <c r="U26" s="884"/>
      <c r="V26" s="549"/>
      <c r="W26" s="1022"/>
      <c r="X26" s="328"/>
      <c r="Y26" s="329"/>
      <c r="Z26" s="319"/>
      <c r="AA26" s="330"/>
      <c r="AB26" s="331"/>
      <c r="AC26" s="332"/>
    </row>
    <row r="27" spans="1:29" s="294" customFormat="1" ht="18" customHeight="1" thickTop="1">
      <c r="A27" s="555"/>
      <c r="B27" s="354"/>
      <c r="C27" s="355"/>
      <c r="D27" s="355"/>
      <c r="E27" s="356"/>
      <c r="F27" s="357"/>
      <c r="G27" s="1028" t="s">
        <v>908</v>
      </c>
      <c r="H27" s="999"/>
      <c r="I27" s="999"/>
      <c r="J27" s="557">
        <f>5080+16104</f>
        <v>21184</v>
      </c>
      <c r="K27" s="1029">
        <f>SUM(J27:J28)</f>
        <v>18154222</v>
      </c>
      <c r="L27" s="998" t="s">
        <v>547</v>
      </c>
      <c r="M27" s="999"/>
      <c r="N27" s="999"/>
      <c r="O27" s="999"/>
      <c r="P27" s="545">
        <v>29505024</v>
      </c>
      <c r="Q27" s="1029">
        <f>SUM(P27:P28)</f>
        <v>33943274</v>
      </c>
      <c r="R27" s="885" t="s">
        <v>832</v>
      </c>
      <c r="S27" s="886"/>
      <c r="T27" s="886"/>
      <c r="U27" s="886"/>
      <c r="V27" s="700">
        <v>22851</v>
      </c>
      <c r="W27" s="887">
        <f>SUM(V27)</f>
        <v>22851</v>
      </c>
      <c r="X27" s="359"/>
      <c r="Y27" s="360"/>
      <c r="Z27" s="361"/>
      <c r="AA27" s="362"/>
      <c r="AB27" s="363"/>
      <c r="AC27" s="364"/>
    </row>
    <row r="28" spans="1:29" ht="30" customHeight="1" thickBot="1">
      <c r="A28" s="556"/>
      <c r="B28" s="993" t="s">
        <v>110</v>
      </c>
      <c r="C28" s="994"/>
      <c r="D28" s="365">
        <f>SUM('5. kiadások megbontása'!J59)</f>
        <v>47266394</v>
      </c>
      <c r="E28" s="366">
        <f>SUM('5. kiadások megbontása'!K59)</f>
        <v>410623</v>
      </c>
      <c r="F28" s="367">
        <f>SUM(D28:E28)</f>
        <v>47677017</v>
      </c>
      <c r="G28" s="1032" t="s">
        <v>909</v>
      </c>
      <c r="H28" s="1033"/>
      <c r="I28" s="1033"/>
      <c r="J28" s="699">
        <v>18133038</v>
      </c>
      <c r="K28" s="1030"/>
      <c r="L28" s="904" t="s">
        <v>668</v>
      </c>
      <c r="M28" s="905"/>
      <c r="N28" s="905"/>
      <c r="O28" s="905"/>
      <c r="P28" s="546">
        <f>7951337+4438250-7951337</f>
        <v>4438250</v>
      </c>
      <c r="Q28" s="1030"/>
      <c r="R28" s="904"/>
      <c r="S28" s="905"/>
      <c r="T28" s="905"/>
      <c r="U28" s="905"/>
      <c r="V28" s="368"/>
      <c r="W28" s="888"/>
      <c r="X28" s="369">
        <f>SUM(W27,Q27,K27)</f>
        <v>52120347</v>
      </c>
      <c r="Y28" s="370">
        <v>0</v>
      </c>
      <c r="Z28" s="371">
        <f>SUM(X28:Y28)</f>
        <v>52120347</v>
      </c>
      <c r="AA28" s="369">
        <f>X28-D28</f>
        <v>4853953</v>
      </c>
      <c r="AB28" s="370">
        <f>Y28-E28</f>
        <v>-410623</v>
      </c>
      <c r="AC28" s="372">
        <f>SUM(AA28:AB28)</f>
        <v>4443330</v>
      </c>
    </row>
    <row r="29" spans="1:29" ht="18" customHeight="1" thickTop="1">
      <c r="A29" s="373"/>
      <c r="B29" s="346"/>
      <c r="C29" s="374"/>
      <c r="D29" s="375"/>
      <c r="E29" s="375"/>
      <c r="F29" s="347"/>
      <c r="G29" s="350"/>
      <c r="H29" s="351"/>
      <c r="I29" s="351"/>
      <c r="J29" s="376"/>
      <c r="K29" s="1029">
        <f>SUM(J29:J32)</f>
        <v>0</v>
      </c>
      <c r="L29" s="892" t="s">
        <v>128</v>
      </c>
      <c r="M29" s="893"/>
      <c r="N29" s="893"/>
      <c r="O29" s="893"/>
      <c r="P29" s="307">
        <v>2000000</v>
      </c>
      <c r="Q29" s="1029">
        <f>SUM(P29:P32)</f>
        <v>21013843</v>
      </c>
      <c r="R29" s="883" t="s">
        <v>827</v>
      </c>
      <c r="S29" s="884"/>
      <c r="T29" s="884"/>
      <c r="U29" s="884"/>
      <c r="V29" s="549">
        <f>7400000+222286</f>
        <v>7622286</v>
      </c>
      <c r="W29" s="1026">
        <f>SUM(V29:V32)</f>
        <v>16069391</v>
      </c>
      <c r="X29" s="377"/>
      <c r="Y29" s="378"/>
      <c r="Z29" s="379"/>
      <c r="AA29" s="377"/>
      <c r="AB29" s="378"/>
      <c r="AC29" s="357"/>
    </row>
    <row r="30" spans="1:29" ht="24" customHeight="1">
      <c r="A30" s="373"/>
      <c r="B30" s="346"/>
      <c r="C30" s="374"/>
      <c r="D30" s="375"/>
      <c r="E30" s="346"/>
      <c r="F30" s="347"/>
      <c r="G30" s="350"/>
      <c r="H30" s="351"/>
      <c r="I30" s="351"/>
      <c r="J30" s="376"/>
      <c r="K30" s="902"/>
      <c r="L30" s="881" t="s">
        <v>903</v>
      </c>
      <c r="M30" s="882"/>
      <c r="N30" s="882"/>
      <c r="O30" s="882"/>
      <c r="P30" s="307">
        <v>16135642</v>
      </c>
      <c r="Q30" s="902"/>
      <c r="R30" s="881" t="s">
        <v>828</v>
      </c>
      <c r="S30" s="882"/>
      <c r="T30" s="882"/>
      <c r="U30" s="882"/>
      <c r="V30" s="549">
        <f>6500000+1755000</f>
        <v>8255000</v>
      </c>
      <c r="W30" s="1021"/>
      <c r="X30" s="698"/>
      <c r="Y30" s="375"/>
      <c r="Z30" s="346"/>
      <c r="AA30" s="399"/>
      <c r="AB30" s="375"/>
      <c r="AC30" s="347"/>
    </row>
    <row r="31" spans="1:29" ht="24" customHeight="1">
      <c r="A31" s="373"/>
      <c r="B31" s="346"/>
      <c r="C31" s="374"/>
      <c r="D31" s="375"/>
      <c r="E31" s="346"/>
      <c r="F31" s="347"/>
      <c r="G31" s="350"/>
      <c r="H31" s="351"/>
      <c r="I31" s="351"/>
      <c r="J31" s="376"/>
      <c r="K31" s="902"/>
      <c r="L31" s="881" t="s">
        <v>902</v>
      </c>
      <c r="M31" s="882"/>
      <c r="N31" s="882"/>
      <c r="O31" s="882"/>
      <c r="P31" s="307">
        <v>978201</v>
      </c>
      <c r="Q31" s="902"/>
      <c r="R31" s="514"/>
      <c r="S31" s="667"/>
      <c r="T31" s="667"/>
      <c r="U31" s="667"/>
      <c r="V31" s="549"/>
      <c r="W31" s="1021"/>
      <c r="X31" s="698"/>
      <c r="Y31" s="375"/>
      <c r="Z31" s="346"/>
      <c r="AA31" s="399"/>
      <c r="AB31" s="375"/>
      <c r="AC31" s="347"/>
    </row>
    <row r="32" spans="1:29" ht="17.25" customHeight="1" thickBot="1">
      <c r="A32" s="938" t="s">
        <v>512</v>
      </c>
      <c r="B32" s="939"/>
      <c r="C32" s="940"/>
      <c r="D32" s="380">
        <f>SUM('5. kiadások megbontása'!G59)</f>
        <v>83623393</v>
      </c>
      <c r="E32" s="326">
        <f>SUM('5. kiadások megbontása'!H59)</f>
        <v>334593351</v>
      </c>
      <c r="F32" s="327">
        <f>SUM(D32:E32)</f>
        <v>418216744</v>
      </c>
      <c r="G32" s="381"/>
      <c r="H32" s="310"/>
      <c r="I32" s="310"/>
      <c r="J32" s="338"/>
      <c r="K32" s="902"/>
      <c r="L32" s="881" t="s">
        <v>958</v>
      </c>
      <c r="M32" s="882"/>
      <c r="N32" s="882"/>
      <c r="O32" s="882"/>
      <c r="P32" s="307">
        <v>1900000</v>
      </c>
      <c r="Q32" s="903"/>
      <c r="R32" s="996" t="s">
        <v>927</v>
      </c>
      <c r="S32" s="997"/>
      <c r="T32" s="997"/>
      <c r="U32" s="997"/>
      <c r="V32" s="547">
        <f>90000+77805+24300</f>
        <v>192105</v>
      </c>
      <c r="W32" s="1027"/>
      <c r="X32" s="382">
        <f>SUM(W29,Q29,K29)</f>
        <v>37083234</v>
      </c>
      <c r="Y32" s="340">
        <f>SUM(Q33,W33,K33)</f>
        <v>314521207</v>
      </c>
      <c r="Z32" s="341">
        <f>SUM(X32:Y32)</f>
        <v>351604441</v>
      </c>
      <c r="AA32" s="339">
        <f>X32-D32</f>
        <v>-46540159</v>
      </c>
      <c r="AB32" s="340">
        <f>Y32-E32</f>
        <v>-20072144</v>
      </c>
      <c r="AC32" s="342">
        <f>SUM(AA32:AB32)</f>
        <v>-66612303</v>
      </c>
    </row>
    <row r="33" spans="1:29" ht="25.5" customHeight="1">
      <c r="A33" s="664"/>
      <c r="B33" s="323"/>
      <c r="C33" s="324"/>
      <c r="D33" s="380"/>
      <c r="E33" s="326"/>
      <c r="F33" s="327"/>
      <c r="G33" s="665"/>
      <c r="H33" s="666"/>
      <c r="I33" s="666"/>
      <c r="J33" s="352"/>
      <c r="K33" s="901">
        <f>SUM(J37:J37)</f>
        <v>0</v>
      </c>
      <c r="L33" s="899" t="s">
        <v>839</v>
      </c>
      <c r="M33" s="900"/>
      <c r="N33" s="900"/>
      <c r="O33" s="900"/>
      <c r="P33" s="548">
        <v>3000000</v>
      </c>
      <c r="Q33" s="901">
        <f>SUM(P33:P37)</f>
        <v>296774207</v>
      </c>
      <c r="R33" s="894" t="s">
        <v>825</v>
      </c>
      <c r="S33" s="895"/>
      <c r="T33" s="895"/>
      <c r="U33" s="895"/>
      <c r="V33" s="701">
        <v>17747000</v>
      </c>
      <c r="W33" s="889">
        <f>SUM(V33)</f>
        <v>17747000</v>
      </c>
      <c r="X33" s="383"/>
      <c r="Y33" s="340"/>
      <c r="Z33" s="341"/>
      <c r="AA33" s="339"/>
      <c r="AB33" s="340"/>
      <c r="AC33" s="342"/>
    </row>
    <row r="34" spans="1:29" ht="12.75" customHeight="1">
      <c r="A34" s="664"/>
      <c r="B34" s="323"/>
      <c r="C34" s="324"/>
      <c r="D34" s="380"/>
      <c r="E34" s="326"/>
      <c r="F34" s="327"/>
      <c r="G34" s="381"/>
      <c r="H34" s="310"/>
      <c r="I34" s="310"/>
      <c r="J34" s="338"/>
      <c r="K34" s="902"/>
      <c r="L34" s="881" t="s">
        <v>986</v>
      </c>
      <c r="M34" s="882"/>
      <c r="N34" s="882"/>
      <c r="O34" s="882"/>
      <c r="P34" s="544">
        <f>200000+540000</f>
        <v>740000</v>
      </c>
      <c r="Q34" s="902"/>
      <c r="R34" s="704"/>
      <c r="S34" s="705"/>
      <c r="T34" s="705"/>
      <c r="U34" s="705"/>
      <c r="V34" s="708"/>
      <c r="W34" s="890"/>
      <c r="X34" s="383"/>
      <c r="Y34" s="340"/>
      <c r="Z34" s="341"/>
      <c r="AA34" s="339"/>
      <c r="AB34" s="340"/>
      <c r="AC34" s="342"/>
    </row>
    <row r="35" spans="1:29" ht="53.25" customHeight="1">
      <c r="A35" s="664"/>
      <c r="B35" s="323"/>
      <c r="C35" s="324"/>
      <c r="D35" s="380"/>
      <c r="E35" s="326"/>
      <c r="F35" s="327"/>
      <c r="G35" s="381"/>
      <c r="H35" s="310"/>
      <c r="I35" s="310"/>
      <c r="J35" s="338"/>
      <c r="K35" s="902"/>
      <c r="L35" s="881" t="s">
        <v>940</v>
      </c>
      <c r="M35" s="882"/>
      <c r="N35" s="882"/>
      <c r="O35" s="882"/>
      <c r="P35" s="307">
        <f>242560000+3832400+17861888</f>
        <v>264254288</v>
      </c>
      <c r="Q35" s="902"/>
      <c r="R35" s="514"/>
      <c r="S35" s="667"/>
      <c r="T35" s="667"/>
      <c r="U35" s="667"/>
      <c r="V35" s="549"/>
      <c r="W35" s="890"/>
      <c r="X35" s="383"/>
      <c r="Y35" s="340"/>
      <c r="Z35" s="341"/>
      <c r="AA35" s="339"/>
      <c r="AB35" s="340"/>
      <c r="AC35" s="342"/>
    </row>
    <row r="36" spans="1:29" ht="25.5" customHeight="1">
      <c r="A36" s="664"/>
      <c r="B36" s="323"/>
      <c r="C36" s="324"/>
      <c r="D36" s="380"/>
      <c r="E36" s="326"/>
      <c r="F36" s="327"/>
      <c r="G36" s="381"/>
      <c r="H36" s="310"/>
      <c r="I36" s="310"/>
      <c r="J36" s="338"/>
      <c r="K36" s="902"/>
      <c r="L36" s="881" t="s">
        <v>904</v>
      </c>
      <c r="M36" s="882"/>
      <c r="N36" s="882"/>
      <c r="O36" s="882"/>
      <c r="P36" s="307">
        <v>19779919</v>
      </c>
      <c r="Q36" s="902"/>
      <c r="R36" s="514"/>
      <c r="S36" s="667"/>
      <c r="T36" s="667"/>
      <c r="U36" s="667"/>
      <c r="V36" s="549"/>
      <c r="W36" s="890"/>
      <c r="X36" s="383"/>
      <c r="Y36" s="340"/>
      <c r="Z36" s="341"/>
      <c r="AA36" s="339"/>
      <c r="AB36" s="340"/>
      <c r="AC36" s="342"/>
    </row>
    <row r="37" spans="1:29" ht="27" customHeight="1" thickBot="1">
      <c r="A37" s="938"/>
      <c r="B37" s="939"/>
      <c r="C37" s="940"/>
      <c r="D37" s="380"/>
      <c r="E37" s="326"/>
      <c r="F37" s="327"/>
      <c r="G37" s="896"/>
      <c r="H37" s="882"/>
      <c r="I37" s="882"/>
      <c r="J37" s="679"/>
      <c r="K37" s="903"/>
      <c r="L37" s="996" t="s">
        <v>867</v>
      </c>
      <c r="M37" s="997"/>
      <c r="N37" s="997"/>
      <c r="O37" s="997"/>
      <c r="P37" s="680">
        <v>9000000</v>
      </c>
      <c r="Q37" s="903"/>
      <c r="R37" s="1020"/>
      <c r="S37" s="969"/>
      <c r="T37" s="969"/>
      <c r="U37" s="969"/>
      <c r="V37" s="681"/>
      <c r="W37" s="891"/>
      <c r="X37" s="383"/>
      <c r="Y37" s="384"/>
      <c r="Z37" s="341"/>
      <c r="AA37" s="339"/>
      <c r="AB37" s="340"/>
      <c r="AC37" s="332"/>
    </row>
    <row r="38" spans="1:29" ht="25.5" customHeight="1" thickBot="1">
      <c r="A38" s="962" t="s">
        <v>111</v>
      </c>
      <c r="B38" s="963"/>
      <c r="C38" s="964"/>
      <c r="D38" s="517">
        <f>SUM(D9:D37)</f>
        <v>891368013</v>
      </c>
      <c r="E38" s="518">
        <f>SUM(E8:E37)</f>
        <v>444189119</v>
      </c>
      <c r="F38" s="519">
        <f>SUM(F8:F37)</f>
        <v>1335557132</v>
      </c>
      <c r="G38" s="462"/>
      <c r="H38" s="965" t="s">
        <v>112</v>
      </c>
      <c r="I38" s="966"/>
      <c r="J38" s="995"/>
      <c r="K38" s="385">
        <f>SUM(K8:K33)</f>
        <v>281034817</v>
      </c>
      <c r="L38" s="386"/>
      <c r="M38" s="908" t="s">
        <v>113</v>
      </c>
      <c r="N38" s="908"/>
      <c r="O38" s="908"/>
      <c r="P38" s="909"/>
      <c r="Q38" s="385">
        <f>SUM(Q8:Q33)</f>
        <v>559643281</v>
      </c>
      <c r="R38" s="386"/>
      <c r="S38" s="908" t="s">
        <v>114</v>
      </c>
      <c r="T38" s="908"/>
      <c r="U38" s="908"/>
      <c r="V38" s="909"/>
      <c r="W38" s="385">
        <f>SUM(W8:W36)</f>
        <v>482099863</v>
      </c>
      <c r="X38" s="387">
        <f>SUM(X8:X37)</f>
        <v>817017725</v>
      </c>
      <c r="Y38" s="388">
        <f>SUM(Y8:Y37)</f>
        <v>505760236</v>
      </c>
      <c r="Z38" s="389">
        <f>SUM(X38:Y38)</f>
        <v>1322777961</v>
      </c>
      <c r="AA38" s="390">
        <f>SUM(AA11:AA37)</f>
        <v>-74350288</v>
      </c>
      <c r="AB38" s="391">
        <f>SUM(AB10:AB37)</f>
        <v>61571117</v>
      </c>
      <c r="AC38" s="392">
        <f>SUM(AA38:AB38)</f>
        <v>-12779171</v>
      </c>
    </row>
    <row r="39" spans="1:29" ht="27.75" customHeight="1" thickBot="1" thickTop="1">
      <c r="A39" s="934" t="s">
        <v>115</v>
      </c>
      <c r="B39" s="978"/>
      <c r="C39" s="979"/>
      <c r="D39" s="953" t="s">
        <v>376</v>
      </c>
      <c r="E39" s="954"/>
      <c r="F39" s="955"/>
      <c r="G39" s="956" t="s">
        <v>539</v>
      </c>
      <c r="H39" s="983"/>
      <c r="I39" s="983"/>
      <c r="J39" s="983"/>
      <c r="K39" s="984"/>
      <c r="L39" s="910" t="s">
        <v>540</v>
      </c>
      <c r="M39" s="983"/>
      <c r="N39" s="983"/>
      <c r="O39" s="983"/>
      <c r="P39" s="983"/>
      <c r="Q39" s="984"/>
      <c r="R39" s="910" t="s">
        <v>541</v>
      </c>
      <c r="S39" s="983"/>
      <c r="T39" s="983"/>
      <c r="U39" s="983"/>
      <c r="V39" s="983"/>
      <c r="W39" s="1001"/>
      <c r="X39" s="976" t="s">
        <v>542</v>
      </c>
      <c r="Y39" s="977"/>
      <c r="Z39" s="1003"/>
      <c r="AA39" s="1000" t="s">
        <v>104</v>
      </c>
      <c r="AB39" s="972"/>
      <c r="AC39" s="973"/>
    </row>
    <row r="40" spans="1:223" s="395" customFormat="1" ht="18.75" customHeight="1" thickBot="1" thickTop="1">
      <c r="A40" s="980"/>
      <c r="B40" s="981"/>
      <c r="C40" s="982"/>
      <c r="D40" s="495" t="s">
        <v>105</v>
      </c>
      <c r="E40" s="496" t="s">
        <v>101</v>
      </c>
      <c r="F40" s="297" t="s">
        <v>106</v>
      </c>
      <c r="G40" s="985"/>
      <c r="H40" s="986"/>
      <c r="I40" s="986"/>
      <c r="J40" s="987"/>
      <c r="K40" s="988"/>
      <c r="L40" s="989"/>
      <c r="M40" s="986"/>
      <c r="N40" s="986"/>
      <c r="O40" s="986"/>
      <c r="P40" s="986"/>
      <c r="Q40" s="988"/>
      <c r="R40" s="989"/>
      <c r="S40" s="986"/>
      <c r="T40" s="986"/>
      <c r="U40" s="986"/>
      <c r="V40" s="986"/>
      <c r="W40" s="1002"/>
      <c r="X40" s="497" t="s">
        <v>105</v>
      </c>
      <c r="Y40" s="501" t="s">
        <v>101</v>
      </c>
      <c r="Z40" s="393" t="s">
        <v>106</v>
      </c>
      <c r="AA40" s="496" t="s">
        <v>105</v>
      </c>
      <c r="AB40" s="502" t="s">
        <v>101</v>
      </c>
      <c r="AC40" s="301" t="s">
        <v>106</v>
      </c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4"/>
      <c r="CH40" s="294"/>
      <c r="CI40" s="294"/>
      <c r="CJ40" s="294"/>
      <c r="CK40" s="294"/>
      <c r="CL40" s="294"/>
      <c r="CM40" s="294"/>
      <c r="CN40" s="294"/>
      <c r="CO40" s="294"/>
      <c r="CP40" s="294"/>
      <c r="CQ40" s="294"/>
      <c r="CR40" s="294"/>
      <c r="CS40" s="294"/>
      <c r="CT40" s="294"/>
      <c r="CU40" s="294"/>
      <c r="CV40" s="294"/>
      <c r="CW40" s="294"/>
      <c r="CX40" s="294"/>
      <c r="CY40" s="294"/>
      <c r="CZ40" s="294"/>
      <c r="DA40" s="294"/>
      <c r="DB40" s="294"/>
      <c r="DC40" s="294"/>
      <c r="DD40" s="294"/>
      <c r="DE40" s="294"/>
      <c r="DF40" s="294"/>
      <c r="DG40" s="294"/>
      <c r="DH40" s="294"/>
      <c r="DI40" s="294"/>
      <c r="DJ40" s="294"/>
      <c r="DK40" s="294"/>
      <c r="DL40" s="294"/>
      <c r="DM40" s="294"/>
      <c r="DN40" s="294"/>
      <c r="DO40" s="294"/>
      <c r="DP40" s="294"/>
      <c r="DQ40" s="294"/>
      <c r="DR40" s="294"/>
      <c r="DS40" s="294"/>
      <c r="DT40" s="294"/>
      <c r="DU40" s="294"/>
      <c r="DV40" s="294"/>
      <c r="DW40" s="294"/>
      <c r="DX40" s="294"/>
      <c r="DY40" s="294"/>
      <c r="DZ40" s="294"/>
      <c r="EA40" s="294"/>
      <c r="EB40" s="294"/>
      <c r="EC40" s="294"/>
      <c r="ED40" s="294"/>
      <c r="EE40" s="294"/>
      <c r="EF40" s="294"/>
      <c r="EG40" s="294"/>
      <c r="EH40" s="294"/>
      <c r="EI40" s="294"/>
      <c r="EJ40" s="294"/>
      <c r="EK40" s="294"/>
      <c r="EL40" s="294"/>
      <c r="EM40" s="294"/>
      <c r="EN40" s="294"/>
      <c r="EO40" s="294"/>
      <c r="EP40" s="294"/>
      <c r="EQ40" s="294"/>
      <c r="ER40" s="294"/>
      <c r="ES40" s="294"/>
      <c r="ET40" s="294"/>
      <c r="EU40" s="294"/>
      <c r="EV40" s="294"/>
      <c r="EW40" s="294"/>
      <c r="EX40" s="294"/>
      <c r="EY40" s="294"/>
      <c r="EZ40" s="294"/>
      <c r="FA40" s="294"/>
      <c r="FB40" s="294"/>
      <c r="FC40" s="294"/>
      <c r="FD40" s="294"/>
      <c r="FE40" s="294"/>
      <c r="FF40" s="294"/>
      <c r="FG40" s="294"/>
      <c r="FH40" s="294"/>
      <c r="FI40" s="294"/>
      <c r="FJ40" s="294"/>
      <c r="FK40" s="294"/>
      <c r="FL40" s="294"/>
      <c r="FM40" s="294"/>
      <c r="FN40" s="294"/>
      <c r="FO40" s="294"/>
      <c r="FP40" s="294"/>
      <c r="FQ40" s="294"/>
      <c r="FR40" s="294"/>
      <c r="FS40" s="294"/>
      <c r="FT40" s="294"/>
      <c r="FU40" s="294"/>
      <c r="FV40" s="294"/>
      <c r="FW40" s="294"/>
      <c r="FX40" s="294"/>
      <c r="FY40" s="294"/>
      <c r="FZ40" s="294"/>
      <c r="GA40" s="294"/>
      <c r="GB40" s="294"/>
      <c r="GC40" s="294"/>
      <c r="GD40" s="294"/>
      <c r="GE40" s="294"/>
      <c r="GF40" s="294"/>
      <c r="GG40" s="294"/>
      <c r="GH40" s="294"/>
      <c r="GI40" s="294"/>
      <c r="GJ40" s="294"/>
      <c r="GK40" s="294"/>
      <c r="GL40" s="294"/>
      <c r="GM40" s="294"/>
      <c r="GN40" s="294"/>
      <c r="GO40" s="294"/>
      <c r="GP40" s="294"/>
      <c r="GQ40" s="294"/>
      <c r="GR40" s="294"/>
      <c r="GS40" s="294"/>
      <c r="GT40" s="294"/>
      <c r="GU40" s="294"/>
      <c r="GV40" s="294"/>
      <c r="GW40" s="294"/>
      <c r="GX40" s="294"/>
      <c r="GY40" s="294"/>
      <c r="GZ40" s="294"/>
      <c r="HA40" s="294"/>
      <c r="HB40" s="294"/>
      <c r="HC40" s="294"/>
      <c r="HD40" s="294"/>
      <c r="HE40" s="294"/>
      <c r="HF40" s="294"/>
      <c r="HG40" s="294"/>
      <c r="HH40" s="294"/>
      <c r="HI40" s="294"/>
      <c r="HJ40" s="294"/>
      <c r="HK40" s="294"/>
      <c r="HL40" s="294"/>
      <c r="HM40" s="294"/>
      <c r="HN40" s="294"/>
      <c r="HO40" s="294"/>
    </row>
    <row r="41" spans="1:29" ht="12.75" customHeight="1">
      <c r="A41" s="302"/>
      <c r="B41" s="346"/>
      <c r="C41" s="346"/>
      <c r="D41" s="375"/>
      <c r="E41" s="346"/>
      <c r="F41" s="306"/>
      <c r="G41" s="941"/>
      <c r="H41" s="886"/>
      <c r="I41" s="886"/>
      <c r="J41" s="520"/>
      <c r="K41" s="990">
        <f>SUM(J41:J46)</f>
        <v>121946133</v>
      </c>
      <c r="L41" s="899" t="s">
        <v>824</v>
      </c>
      <c r="M41" s="900"/>
      <c r="N41" s="900"/>
      <c r="O41" s="900"/>
      <c r="P41" s="991">
        <f>12210000-4349000</f>
        <v>7861000</v>
      </c>
      <c r="Q41" s="901">
        <f>SUM(P41:P46)</f>
        <v>8696035</v>
      </c>
      <c r="R41" s="897"/>
      <c r="S41" s="898"/>
      <c r="T41" s="898"/>
      <c r="U41" s="898"/>
      <c r="V41" s="307"/>
      <c r="W41" s="889">
        <f>SUM(V41:V46)</f>
        <v>5632239</v>
      </c>
      <c r="X41" s="396"/>
      <c r="Y41" s="397"/>
      <c r="Z41" s="398"/>
      <c r="AA41" s="302"/>
      <c r="AB41" s="320"/>
      <c r="AC41" s="321"/>
    </row>
    <row r="42" spans="1:29" ht="12.75" customHeight="1">
      <c r="A42" s="399"/>
      <c r="B42" s="344"/>
      <c r="C42" s="344"/>
      <c r="D42" s="400"/>
      <c r="E42" s="346"/>
      <c r="F42" s="347"/>
      <c r="G42" s="975" t="s">
        <v>486</v>
      </c>
      <c r="H42" s="898"/>
      <c r="I42" s="898"/>
      <c r="J42" s="521">
        <v>121278400</v>
      </c>
      <c r="K42" s="902"/>
      <c r="L42" s="881"/>
      <c r="M42" s="882"/>
      <c r="N42" s="882"/>
      <c r="O42" s="882"/>
      <c r="P42" s="992"/>
      <c r="Q42" s="902"/>
      <c r="R42" s="897" t="s">
        <v>548</v>
      </c>
      <c r="S42" s="898"/>
      <c r="T42" s="898"/>
      <c r="U42" s="898"/>
      <c r="V42" s="307">
        <v>10000</v>
      </c>
      <c r="W42" s="890"/>
      <c r="X42" s="401"/>
      <c r="Y42" s="329"/>
      <c r="Z42" s="319"/>
      <c r="AA42" s="330"/>
      <c r="AB42" s="331"/>
      <c r="AC42" s="332"/>
    </row>
    <row r="43" spans="1:29" ht="24.75" customHeight="1">
      <c r="A43" s="399"/>
      <c r="B43" s="939" t="s">
        <v>511</v>
      </c>
      <c r="C43" s="940"/>
      <c r="D43" s="380">
        <f>SUM('5. kiadások megbontása'!D63)</f>
        <v>120330874</v>
      </c>
      <c r="E43" s="326">
        <f>SUM('5. kiadások megbontása'!E63)</f>
        <v>500000</v>
      </c>
      <c r="F43" s="327">
        <f>SUM(D43:E43)</f>
        <v>120830874</v>
      </c>
      <c r="G43" s="310" t="s">
        <v>823</v>
      </c>
      <c r="H43" s="310"/>
      <c r="I43" s="310"/>
      <c r="J43" s="521">
        <v>75057</v>
      </c>
      <c r="K43" s="902"/>
      <c r="L43" s="881" t="s">
        <v>130</v>
      </c>
      <c r="M43" s="882"/>
      <c r="N43" s="882"/>
      <c r="O43" s="882"/>
      <c r="P43" s="544">
        <f>225720+50400-21945-8400</f>
        <v>245775</v>
      </c>
      <c r="Q43" s="902"/>
      <c r="R43" s="892" t="s">
        <v>549</v>
      </c>
      <c r="S43" s="893"/>
      <c r="T43" s="893"/>
      <c r="U43" s="893"/>
      <c r="V43" s="542">
        <f>200000+311500</f>
        <v>511500</v>
      </c>
      <c r="W43" s="890"/>
      <c r="X43" s="401">
        <f>SUM(W41,Q41,K41)</f>
        <v>136274407</v>
      </c>
      <c r="Y43" s="329">
        <v>0</v>
      </c>
      <c r="Z43" s="341">
        <f>SUM(Y43,X43)</f>
        <v>136274407</v>
      </c>
      <c r="AA43" s="339">
        <f>X43-D43</f>
        <v>15943533</v>
      </c>
      <c r="AB43" s="340">
        <f>Y43-E43</f>
        <v>-500000</v>
      </c>
      <c r="AC43" s="332">
        <f>SUM(AA43:AB43)</f>
        <v>15443533</v>
      </c>
    </row>
    <row r="44" spans="1:29" ht="12.75" customHeight="1">
      <c r="A44" s="399"/>
      <c r="B44" s="344"/>
      <c r="C44" s="344"/>
      <c r="D44" s="402"/>
      <c r="E44" s="403"/>
      <c r="F44" s="404"/>
      <c r="G44" s="896" t="s">
        <v>866</v>
      </c>
      <c r="H44" s="882"/>
      <c r="I44" s="882"/>
      <c r="J44" s="521">
        <f>601094-8418</f>
        <v>592676</v>
      </c>
      <c r="K44" s="902"/>
      <c r="L44" s="881" t="s">
        <v>928</v>
      </c>
      <c r="M44" s="882"/>
      <c r="N44" s="882"/>
      <c r="O44" s="882"/>
      <c r="P44" s="543">
        <v>589260</v>
      </c>
      <c r="Q44" s="902"/>
      <c r="R44" s="897" t="s">
        <v>550</v>
      </c>
      <c r="S44" s="898"/>
      <c r="T44" s="898"/>
      <c r="U44" s="898"/>
      <c r="V44" s="307">
        <v>4896922</v>
      </c>
      <c r="W44" s="890"/>
      <c r="X44" s="401"/>
      <c r="Y44" s="329"/>
      <c r="Z44" s="319"/>
      <c r="AA44" s="330"/>
      <c r="AB44" s="331"/>
      <c r="AC44" s="332"/>
    </row>
    <row r="45" spans="1:29" ht="14.25" customHeight="1">
      <c r="A45" s="399"/>
      <c r="B45" s="344"/>
      <c r="C45" s="344"/>
      <c r="D45" s="402"/>
      <c r="E45" s="403"/>
      <c r="F45" s="404"/>
      <c r="G45" s="898"/>
      <c r="H45" s="898"/>
      <c r="I45" s="898"/>
      <c r="J45" s="405"/>
      <c r="K45" s="902"/>
      <c r="L45" s="309"/>
      <c r="M45" s="310"/>
      <c r="N45" s="310"/>
      <c r="O45" s="310"/>
      <c r="P45" s="307"/>
      <c r="Q45" s="902"/>
      <c r="R45" s="897" t="s">
        <v>876</v>
      </c>
      <c r="S45" s="898"/>
      <c r="T45" s="898"/>
      <c r="U45" s="898"/>
      <c r="V45" s="307">
        <v>213817</v>
      </c>
      <c r="W45" s="890"/>
      <c r="X45" s="401"/>
      <c r="Y45" s="329"/>
      <c r="Z45" s="319"/>
      <c r="AA45" s="330"/>
      <c r="AB45" s="331"/>
      <c r="AC45" s="332"/>
    </row>
    <row r="46" spans="1:29" ht="12.75" customHeight="1" thickBot="1">
      <c r="A46" s="399"/>
      <c r="B46" s="344"/>
      <c r="C46" s="344"/>
      <c r="D46" s="402"/>
      <c r="E46" s="403"/>
      <c r="F46" s="404"/>
      <c r="K46" s="902"/>
      <c r="L46" s="309"/>
      <c r="M46" s="310" t="s">
        <v>108</v>
      </c>
      <c r="N46" s="310"/>
      <c r="O46" s="310"/>
      <c r="P46" s="307"/>
      <c r="Q46" s="902"/>
      <c r="R46" s="897"/>
      <c r="S46" s="898"/>
      <c r="T46" s="898"/>
      <c r="U46" s="898"/>
      <c r="V46" s="348"/>
      <c r="W46" s="890"/>
      <c r="X46" s="401"/>
      <c r="Y46" s="329"/>
      <c r="Z46" s="319"/>
      <c r="AA46" s="330"/>
      <c r="AB46" s="331"/>
      <c r="AC46" s="332"/>
    </row>
    <row r="47" spans="1:29" ht="16.5" thickBot="1">
      <c r="A47" s="962" t="s">
        <v>116</v>
      </c>
      <c r="B47" s="963"/>
      <c r="C47" s="964"/>
      <c r="D47" s="517">
        <f>SUM(D41:D46)</f>
        <v>120330874</v>
      </c>
      <c r="E47" s="518">
        <f>SUM(E41:E46)</f>
        <v>500000</v>
      </c>
      <c r="F47" s="519">
        <f>SUM(F41:F46)</f>
        <v>120830874</v>
      </c>
      <c r="G47" s="522"/>
      <c r="H47" s="965" t="s">
        <v>112</v>
      </c>
      <c r="I47" s="966"/>
      <c r="J47" s="967"/>
      <c r="K47" s="523">
        <f>SUM(K41:K46)</f>
        <v>121946133</v>
      </c>
      <c r="L47" s="386"/>
      <c r="M47" s="908" t="s">
        <v>113</v>
      </c>
      <c r="N47" s="908"/>
      <c r="O47" s="908"/>
      <c r="P47" s="909"/>
      <c r="Q47" s="523">
        <f>SUM(Q41:Q46)</f>
        <v>8696035</v>
      </c>
      <c r="R47" s="462"/>
      <c r="S47" s="908" t="s">
        <v>114</v>
      </c>
      <c r="T47" s="908"/>
      <c r="U47" s="908"/>
      <c r="V47" s="909"/>
      <c r="W47" s="524">
        <f>SUM(W41:W46)</f>
        <v>5632239</v>
      </c>
      <c r="X47" s="525">
        <f>SUM(X41:X46)</f>
        <v>136274407</v>
      </c>
      <c r="Y47" s="388">
        <v>0</v>
      </c>
      <c r="Z47" s="389">
        <f>SUM(X47:Y47)</f>
        <v>136274407</v>
      </c>
      <c r="AA47" s="390">
        <f>X47-D47</f>
        <v>15943533</v>
      </c>
      <c r="AB47" s="391">
        <f>Y47-E47</f>
        <v>-500000</v>
      </c>
      <c r="AC47" s="526">
        <f>SUM(AA47:AB47)</f>
        <v>15443533</v>
      </c>
    </row>
    <row r="48" spans="1:29" ht="17.25" thickBot="1" thickTop="1">
      <c r="A48" s="407"/>
      <c r="B48" s="408"/>
      <c r="C48" s="408"/>
      <c r="D48" s="409"/>
      <c r="E48" s="410"/>
      <c r="F48" s="411"/>
      <c r="G48" s="410"/>
      <c r="H48" s="410"/>
      <c r="I48" s="412"/>
      <c r="J48" s="412"/>
      <c r="K48" s="413"/>
      <c r="L48" s="414"/>
      <c r="M48" s="410"/>
      <c r="N48" s="410"/>
      <c r="O48" s="410"/>
      <c r="P48" s="410"/>
      <c r="Q48" s="413"/>
      <c r="R48" s="410"/>
      <c r="S48" s="410"/>
      <c r="T48" s="410"/>
      <c r="U48" s="410"/>
      <c r="V48" s="410"/>
      <c r="W48" s="415"/>
      <c r="X48" s="416"/>
      <c r="Y48" s="417"/>
      <c r="Z48" s="418"/>
      <c r="AA48" s="407"/>
      <c r="AB48" s="419"/>
      <c r="AC48" s="420"/>
    </row>
    <row r="49" spans="1:29" ht="14.25" thickBot="1" thickTop="1">
      <c r="A49" s="934" t="s">
        <v>917</v>
      </c>
      <c r="B49" s="935"/>
      <c r="C49" s="935"/>
      <c r="D49" s="953" t="s">
        <v>376</v>
      </c>
      <c r="E49" s="954"/>
      <c r="F49" s="955"/>
      <c r="G49" s="956" t="s">
        <v>539</v>
      </c>
      <c r="H49" s="957"/>
      <c r="I49" s="957"/>
      <c r="J49" s="957"/>
      <c r="K49" s="958"/>
      <c r="L49" s="910" t="s">
        <v>540</v>
      </c>
      <c r="M49" s="911"/>
      <c r="N49" s="911"/>
      <c r="O49" s="911"/>
      <c r="P49" s="911"/>
      <c r="Q49" s="942"/>
      <c r="R49" s="910" t="s">
        <v>541</v>
      </c>
      <c r="S49" s="911"/>
      <c r="T49" s="911"/>
      <c r="U49" s="911"/>
      <c r="V49" s="911"/>
      <c r="W49" s="912"/>
      <c r="X49" s="976" t="s">
        <v>542</v>
      </c>
      <c r="Y49" s="977"/>
      <c r="Z49" s="977"/>
      <c r="AA49" s="971" t="s">
        <v>104</v>
      </c>
      <c r="AB49" s="972"/>
      <c r="AC49" s="973"/>
    </row>
    <row r="50" spans="1:29" ht="32.25" customHeight="1" thickBot="1">
      <c r="A50" s="936"/>
      <c r="B50" s="937"/>
      <c r="C50" s="937"/>
      <c r="D50" s="495" t="s">
        <v>105</v>
      </c>
      <c r="E50" s="496" t="s">
        <v>101</v>
      </c>
      <c r="F50" s="297" t="s">
        <v>106</v>
      </c>
      <c r="G50" s="959"/>
      <c r="H50" s="960"/>
      <c r="I50" s="960"/>
      <c r="J50" s="960"/>
      <c r="K50" s="961"/>
      <c r="L50" s="913"/>
      <c r="M50" s="914"/>
      <c r="N50" s="914"/>
      <c r="O50" s="914"/>
      <c r="P50" s="914"/>
      <c r="Q50" s="943"/>
      <c r="R50" s="913"/>
      <c r="S50" s="914"/>
      <c r="T50" s="914"/>
      <c r="U50" s="914"/>
      <c r="V50" s="914"/>
      <c r="W50" s="915"/>
      <c r="X50" s="497" t="s">
        <v>105</v>
      </c>
      <c r="Y50" s="498" t="s">
        <v>101</v>
      </c>
      <c r="Z50" s="299" t="s">
        <v>106</v>
      </c>
      <c r="AA50" s="499" t="s">
        <v>105</v>
      </c>
      <c r="AB50" s="500" t="s">
        <v>101</v>
      </c>
      <c r="AC50" s="301" t="s">
        <v>106</v>
      </c>
    </row>
    <row r="51" spans="1:29" ht="15.75" customHeight="1">
      <c r="A51" s="399"/>
      <c r="B51" s="346"/>
      <c r="C51" s="346"/>
      <c r="D51" s="375"/>
      <c r="E51" s="421"/>
      <c r="F51" s="347"/>
      <c r="G51" s="975" t="s">
        <v>498</v>
      </c>
      <c r="H51" s="898"/>
      <c r="I51" s="898"/>
      <c r="J51" s="338">
        <f>15468533+299567</f>
        <v>15768100</v>
      </c>
      <c r="K51" s="901">
        <f>SUM(J51:J60)</f>
        <v>208720647</v>
      </c>
      <c r="L51" s="941" t="s">
        <v>929</v>
      </c>
      <c r="M51" s="886"/>
      <c r="N51" s="886"/>
      <c r="O51" s="886"/>
      <c r="P51" s="334">
        <v>583315</v>
      </c>
      <c r="Q51" s="422"/>
      <c r="R51" s="881" t="s">
        <v>551</v>
      </c>
      <c r="S51" s="974"/>
      <c r="T51" s="974"/>
      <c r="U51" s="974"/>
      <c r="V51" s="425">
        <v>1323594</v>
      </c>
      <c r="W51" s="423"/>
      <c r="X51" s="346"/>
      <c r="Y51" s="375"/>
      <c r="Z51" s="424"/>
      <c r="AA51" s="399"/>
      <c r="AB51" s="375"/>
      <c r="AC51" s="321"/>
    </row>
    <row r="52" spans="1:29" ht="25.5" customHeight="1">
      <c r="A52" s="399"/>
      <c r="B52" s="346"/>
      <c r="C52" s="346"/>
      <c r="D52" s="375"/>
      <c r="E52" s="421"/>
      <c r="F52" s="347"/>
      <c r="G52" s="896" t="s">
        <v>666</v>
      </c>
      <c r="H52" s="882"/>
      <c r="I52" s="882"/>
      <c r="J52" s="338">
        <f>106074369+339434</f>
        <v>106413803</v>
      </c>
      <c r="K52" s="902"/>
      <c r="L52" s="881" t="s">
        <v>873</v>
      </c>
      <c r="M52" s="882"/>
      <c r="N52" s="882"/>
      <c r="O52" s="882"/>
      <c r="P52" s="338">
        <f>750000+683558</f>
        <v>1433558</v>
      </c>
      <c r="Q52" s="902">
        <f>SUM(P51:P60)</f>
        <v>2051873</v>
      </c>
      <c r="R52" s="897" t="s">
        <v>876</v>
      </c>
      <c r="S52" s="898"/>
      <c r="T52" s="898"/>
      <c r="U52" s="898"/>
      <c r="V52" s="425">
        <v>1486017</v>
      </c>
      <c r="W52" s="890">
        <f>SUM(V51:V59)</f>
        <v>4178811</v>
      </c>
      <c r="X52" s="307"/>
      <c r="Y52" s="331"/>
      <c r="Z52" s="319"/>
      <c r="AA52" s="330"/>
      <c r="AB52" s="331"/>
      <c r="AC52" s="332"/>
    </row>
    <row r="53" spans="1:29" ht="25.5" customHeight="1">
      <c r="A53" s="399"/>
      <c r="B53" s="346"/>
      <c r="C53" s="346"/>
      <c r="D53" s="375"/>
      <c r="E53" s="421"/>
      <c r="F53" s="347"/>
      <c r="G53" s="896" t="s">
        <v>907</v>
      </c>
      <c r="H53" s="882"/>
      <c r="I53" s="882"/>
      <c r="J53" s="307">
        <f>5138000-100091</f>
        <v>5037909</v>
      </c>
      <c r="K53" s="902"/>
      <c r="L53" s="881" t="s">
        <v>960</v>
      </c>
      <c r="M53" s="882"/>
      <c r="N53" s="882"/>
      <c r="O53" s="882"/>
      <c r="P53" s="338">
        <v>35000</v>
      </c>
      <c r="Q53" s="902"/>
      <c r="R53" s="897" t="s">
        <v>368</v>
      </c>
      <c r="S53" s="898"/>
      <c r="T53" s="898"/>
      <c r="U53" s="898"/>
      <c r="V53" s="425">
        <v>70000</v>
      </c>
      <c r="W53" s="890"/>
      <c r="X53" s="307"/>
      <c r="Y53" s="331"/>
      <c r="Z53" s="319"/>
      <c r="AA53" s="330"/>
      <c r="AB53" s="331"/>
      <c r="AC53" s="332"/>
    </row>
    <row r="54" spans="1:29" ht="24.75" customHeight="1">
      <c r="A54" s="399"/>
      <c r="B54" s="346"/>
      <c r="C54" s="346"/>
      <c r="D54" s="375"/>
      <c r="E54" s="421"/>
      <c r="F54" s="347"/>
      <c r="G54" s="896" t="s">
        <v>565</v>
      </c>
      <c r="H54" s="882"/>
      <c r="I54" s="882"/>
      <c r="J54" s="307">
        <f>5300700+767984</f>
        <v>6068684</v>
      </c>
      <c r="K54" s="902"/>
      <c r="L54" s="515"/>
      <c r="M54" s="516"/>
      <c r="N54" s="516"/>
      <c r="O54" s="516"/>
      <c r="P54" s="349"/>
      <c r="Q54" s="902"/>
      <c r="R54" s="881" t="s">
        <v>959</v>
      </c>
      <c r="S54" s="882"/>
      <c r="T54" s="882"/>
      <c r="U54" s="882"/>
      <c r="V54" s="425">
        <v>1299200</v>
      </c>
      <c r="W54" s="890"/>
      <c r="X54" s="307"/>
      <c r="Y54" s="331"/>
      <c r="Z54" s="319"/>
      <c r="AA54" s="330"/>
      <c r="AB54" s="331"/>
      <c r="AC54" s="332"/>
    </row>
    <row r="55" spans="1:29" ht="26.25" customHeight="1">
      <c r="A55" s="950" t="s">
        <v>511</v>
      </c>
      <c r="B55" s="951"/>
      <c r="C55" s="952"/>
      <c r="D55" s="380">
        <f>SUM('5. kiadások megbontása'!D74)</f>
        <v>215933712</v>
      </c>
      <c r="E55" s="326">
        <f>SUM('5. kiadások megbontása'!E74)</f>
        <v>457665</v>
      </c>
      <c r="F55" s="327">
        <f>SUM(D55:E55)</f>
        <v>216391377</v>
      </c>
      <c r="G55" s="896" t="s">
        <v>835</v>
      </c>
      <c r="H55" s="882"/>
      <c r="I55" s="882"/>
      <c r="J55" s="338">
        <v>26440725</v>
      </c>
      <c r="K55" s="902"/>
      <c r="L55" s="373"/>
      <c r="M55" s="346"/>
      <c r="N55" s="346"/>
      <c r="O55" s="346"/>
      <c r="P55" s="346"/>
      <c r="Q55" s="902"/>
      <c r="R55" s="881"/>
      <c r="S55" s="974"/>
      <c r="T55" s="974"/>
      <c r="U55" s="974"/>
      <c r="V55" s="425"/>
      <c r="W55" s="890"/>
      <c r="X55" s="428">
        <f>SUM(W52+Q52+K51)</f>
        <v>214951331</v>
      </c>
      <c r="Y55" s="340">
        <v>0</v>
      </c>
      <c r="Z55" s="341">
        <f>SUM(X55:Y55)</f>
        <v>214951331</v>
      </c>
      <c r="AA55" s="429">
        <f>X55-D55</f>
        <v>-982381</v>
      </c>
      <c r="AB55" s="340">
        <f>Y55-E55</f>
        <v>-457665</v>
      </c>
      <c r="AC55" s="342">
        <f>SUM(AA55:AB55)</f>
        <v>-1440046</v>
      </c>
    </row>
    <row r="56" spans="1:29" ht="13.5" customHeight="1">
      <c r="A56" s="322"/>
      <c r="B56" s="426"/>
      <c r="C56" s="430"/>
      <c r="D56" s="380"/>
      <c r="E56" s="326"/>
      <c r="F56" s="327"/>
      <c r="G56" s="898" t="s">
        <v>585</v>
      </c>
      <c r="H56" s="898"/>
      <c r="I56" s="898"/>
      <c r="J56" s="338">
        <v>21615046</v>
      </c>
      <c r="K56" s="902"/>
      <c r="L56" s="373"/>
      <c r="M56" s="346"/>
      <c r="N56" s="346"/>
      <c r="O56" s="346"/>
      <c r="P56" s="431"/>
      <c r="Q56" s="902"/>
      <c r="R56" s="897"/>
      <c r="S56" s="898"/>
      <c r="T56" s="898"/>
      <c r="U56" s="898"/>
      <c r="V56" s="425"/>
      <c r="W56" s="890"/>
      <c r="X56" s="401"/>
      <c r="Y56" s="329"/>
      <c r="Z56" s="341"/>
      <c r="AA56" s="339"/>
      <c r="AB56" s="340"/>
      <c r="AC56" s="332"/>
    </row>
    <row r="57" spans="1:29" ht="15" customHeight="1">
      <c r="A57" s="322"/>
      <c r="B57" s="426"/>
      <c r="C57" s="430"/>
      <c r="D57" s="380"/>
      <c r="E57" s="326"/>
      <c r="F57" s="327"/>
      <c r="G57" s="896" t="s">
        <v>675</v>
      </c>
      <c r="H57" s="882"/>
      <c r="I57" s="882"/>
      <c r="J57" s="307">
        <f>6864345+2764333</f>
        <v>9628678</v>
      </c>
      <c r="K57" s="902"/>
      <c r="L57" s="373"/>
      <c r="M57" s="346"/>
      <c r="N57" s="346"/>
      <c r="O57" s="346"/>
      <c r="P57" s="431"/>
      <c r="Q57" s="902"/>
      <c r="R57" s="309"/>
      <c r="S57" s="310"/>
      <c r="T57" s="310"/>
      <c r="U57" s="310"/>
      <c r="V57" s="427"/>
      <c r="W57" s="890"/>
      <c r="X57" s="401"/>
      <c r="Y57" s="329"/>
      <c r="Z57" s="341"/>
      <c r="AA57" s="339"/>
      <c r="AB57" s="340"/>
      <c r="AC57" s="332"/>
    </row>
    <row r="58" spans="1:29" ht="26.25" customHeight="1">
      <c r="A58" s="322"/>
      <c r="B58" s="426"/>
      <c r="C58" s="430"/>
      <c r="D58" s="380"/>
      <c r="E58" s="326"/>
      <c r="F58" s="327"/>
      <c r="G58" s="930" t="s">
        <v>838</v>
      </c>
      <c r="H58" s="884"/>
      <c r="I58" s="884"/>
      <c r="J58" s="307">
        <v>16800000</v>
      </c>
      <c r="K58" s="902"/>
      <c r="L58" s="373"/>
      <c r="M58" s="346"/>
      <c r="N58" s="346"/>
      <c r="O58" s="346"/>
      <c r="P58" s="431"/>
      <c r="Q58" s="902"/>
      <c r="R58" s="309"/>
      <c r="S58" s="310"/>
      <c r="T58" s="310"/>
      <c r="U58" s="310"/>
      <c r="V58" s="427"/>
      <c r="W58" s="890"/>
      <c r="X58" s="401"/>
      <c r="Y58" s="329"/>
      <c r="Z58" s="341"/>
      <c r="AA58" s="339"/>
      <c r="AB58" s="340"/>
      <c r="AC58" s="332"/>
    </row>
    <row r="59" spans="1:29" ht="15.75" customHeight="1">
      <c r="A59" s="322"/>
      <c r="B59" s="426"/>
      <c r="C59" s="430"/>
      <c r="D59" s="380"/>
      <c r="E59" s="326"/>
      <c r="F59" s="327"/>
      <c r="G59" s="930" t="s">
        <v>823</v>
      </c>
      <c r="H59" s="884"/>
      <c r="I59" s="884"/>
      <c r="J59" s="432">
        <v>99314</v>
      </c>
      <c r="K59" s="902"/>
      <c r="L59" s="373"/>
      <c r="M59" s="346"/>
      <c r="N59" s="346"/>
      <c r="O59" s="346"/>
      <c r="P59" s="431"/>
      <c r="Q59" s="902"/>
      <c r="R59" s="309"/>
      <c r="S59" s="310"/>
      <c r="T59" s="310"/>
      <c r="U59" s="310"/>
      <c r="V59" s="427"/>
      <c r="W59" s="890"/>
      <c r="X59" s="401"/>
      <c r="Y59" s="329"/>
      <c r="Z59" s="341"/>
      <c r="AA59" s="339"/>
      <c r="AB59" s="340"/>
      <c r="AC59" s="332"/>
    </row>
    <row r="60" spans="1:29" ht="12" customHeight="1" thickBot="1">
      <c r="A60" s="968"/>
      <c r="B60" s="969"/>
      <c r="C60" s="970"/>
      <c r="D60" s="380"/>
      <c r="E60" s="326"/>
      <c r="F60" s="327"/>
      <c r="G60" s="930" t="s">
        <v>866</v>
      </c>
      <c r="H60" s="884"/>
      <c r="I60" s="884"/>
      <c r="J60" s="432">
        <f>877668-29280</f>
        <v>848388</v>
      </c>
      <c r="K60" s="902"/>
      <c r="L60" s="433"/>
      <c r="M60" s="434"/>
      <c r="N60" s="434"/>
      <c r="O60" s="434"/>
      <c r="P60" s="435"/>
      <c r="Q60" s="903"/>
      <c r="R60" s="881"/>
      <c r="S60" s="882"/>
      <c r="T60" s="882"/>
      <c r="U60" s="882"/>
      <c r="V60" s="436"/>
      <c r="W60" s="891"/>
      <c r="X60" s="401"/>
      <c r="Y60" s="329"/>
      <c r="Z60" s="341"/>
      <c r="AA60" s="339"/>
      <c r="AB60" s="340"/>
      <c r="AC60" s="332"/>
    </row>
    <row r="61" spans="1:29" ht="15.75" customHeight="1">
      <c r="A61" s="437"/>
      <c r="B61" s="438"/>
      <c r="C61" s="527"/>
      <c r="D61" s="439"/>
      <c r="E61" s="440"/>
      <c r="F61" s="441"/>
      <c r="G61" s="1031" t="s">
        <v>954</v>
      </c>
      <c r="H61" s="895"/>
      <c r="I61" s="895"/>
      <c r="J61" s="352">
        <f>2957076+452628+1</f>
        <v>3409705</v>
      </c>
      <c r="K61" s="901">
        <f>SUM(J61:J63)</f>
        <v>3409705</v>
      </c>
      <c r="L61" s="941" t="s">
        <v>586</v>
      </c>
      <c r="M61" s="886"/>
      <c r="N61" s="886"/>
      <c r="O61" s="886"/>
      <c r="P61" s="442">
        <v>6245115</v>
      </c>
      <c r="Q61" s="901">
        <f>SUM(P61:P62)</f>
        <v>42391493</v>
      </c>
      <c r="R61" s="899" t="s">
        <v>961</v>
      </c>
      <c r="S61" s="900"/>
      <c r="T61" s="900"/>
      <c r="U61" s="900"/>
      <c r="V61" s="352">
        <v>123768</v>
      </c>
      <c r="W61" s="443"/>
      <c r="X61" s="444"/>
      <c r="Y61" s="445"/>
      <c r="Z61" s="446"/>
      <c r="AA61" s="447"/>
      <c r="AB61" s="448"/>
      <c r="AC61" s="449"/>
    </row>
    <row r="62" spans="1:29" ht="16.5" thickBot="1">
      <c r="A62" s="938" t="s">
        <v>512</v>
      </c>
      <c r="B62" s="939"/>
      <c r="C62" s="940"/>
      <c r="D62" s="380">
        <f>SUM('5. kiadások megbontása'!G74)</f>
        <v>47139757</v>
      </c>
      <c r="E62" s="326">
        <f>SUM('5. kiadások megbontása'!H74)</f>
        <v>3863147</v>
      </c>
      <c r="F62" s="327">
        <f>SUM(D62:E62)</f>
        <v>51002904</v>
      </c>
      <c r="G62" s="350"/>
      <c r="H62" s="351"/>
      <c r="I62" s="351"/>
      <c r="J62" s="450"/>
      <c r="K62" s="902"/>
      <c r="L62" s="932" t="s">
        <v>962</v>
      </c>
      <c r="M62" s="933"/>
      <c r="N62" s="933"/>
      <c r="O62" s="933"/>
      <c r="P62" s="710">
        <v>36146378</v>
      </c>
      <c r="Q62" s="903"/>
      <c r="R62" s="916"/>
      <c r="S62" s="917"/>
      <c r="T62" s="917"/>
      <c r="U62" s="917"/>
      <c r="V62" s="451"/>
      <c r="W62" s="443">
        <f>SUM(V61:V63)</f>
        <v>123768</v>
      </c>
      <c r="X62" s="401">
        <f>SUM(K61+Q61+W62)</f>
        <v>45924966</v>
      </c>
      <c r="Y62" s="329">
        <f>Q63</f>
        <v>3853622</v>
      </c>
      <c r="Z62" s="341">
        <f>SUM(X62:Y62)</f>
        <v>49778588</v>
      </c>
      <c r="AA62" s="429">
        <f>X62-D62</f>
        <v>-1214791</v>
      </c>
      <c r="AB62" s="340">
        <f>Y62-E62</f>
        <v>-9525</v>
      </c>
      <c r="AC62" s="342">
        <f>SUM(AA62:AB62)</f>
        <v>-1224316</v>
      </c>
    </row>
    <row r="63" spans="1:29" ht="16.5" thickBot="1">
      <c r="A63" s="322"/>
      <c r="B63" s="426"/>
      <c r="C63" s="430"/>
      <c r="D63" s="402"/>
      <c r="E63" s="403"/>
      <c r="F63" s="452"/>
      <c r="G63" s="453"/>
      <c r="H63" s="454"/>
      <c r="I63" s="454"/>
      <c r="J63" s="455"/>
      <c r="K63" s="903"/>
      <c r="L63" s="932" t="s">
        <v>963</v>
      </c>
      <c r="M63" s="933"/>
      <c r="N63" s="933"/>
      <c r="O63" s="933"/>
      <c r="P63" s="346">
        <v>3853622</v>
      </c>
      <c r="Q63" s="703">
        <f>SUM(P63)</f>
        <v>3853622</v>
      </c>
      <c r="R63" s="421"/>
      <c r="S63" s="421"/>
      <c r="T63" s="421"/>
      <c r="U63" s="421"/>
      <c r="V63" s="421"/>
      <c r="W63" s="456"/>
      <c r="X63" s="457"/>
      <c r="Y63" s="458"/>
      <c r="Z63" s="406"/>
      <c r="AA63" s="459"/>
      <c r="AB63" s="460"/>
      <c r="AC63" s="461"/>
    </row>
    <row r="64" spans="1:223" s="513" customFormat="1" ht="45" customHeight="1" thickBot="1" thickTop="1">
      <c r="A64" s="944" t="s">
        <v>919</v>
      </c>
      <c r="B64" s="945"/>
      <c r="C64" s="946"/>
      <c r="D64" s="528">
        <f>SUM(D52:D63)</f>
        <v>263073469</v>
      </c>
      <c r="E64" s="529">
        <f>SUM(E52:E63)</f>
        <v>4320812</v>
      </c>
      <c r="F64" s="530">
        <f>SUM(D64:E64)</f>
        <v>267394281</v>
      </c>
      <c r="G64" s="531"/>
      <c r="H64" s="925" t="s">
        <v>112</v>
      </c>
      <c r="I64" s="926"/>
      <c r="J64" s="927"/>
      <c r="K64" s="532">
        <f>SUM(K51:K63)</f>
        <v>212130352</v>
      </c>
      <c r="L64" s="533"/>
      <c r="M64" s="928" t="s">
        <v>113</v>
      </c>
      <c r="N64" s="928"/>
      <c r="O64" s="928"/>
      <c r="P64" s="929"/>
      <c r="Q64" s="534">
        <f>SUM(Q52:Q63)</f>
        <v>48296988</v>
      </c>
      <c r="R64" s="535"/>
      <c r="S64" s="928" t="s">
        <v>114</v>
      </c>
      <c r="T64" s="928"/>
      <c r="U64" s="928"/>
      <c r="V64" s="929"/>
      <c r="W64" s="536">
        <f>SUM(W52:W63)</f>
        <v>4302579</v>
      </c>
      <c r="X64" s="537">
        <f>SUM(X50:X63)</f>
        <v>260876297</v>
      </c>
      <c r="Y64" s="538">
        <f>SUM(Y50:Y63)</f>
        <v>3853622</v>
      </c>
      <c r="Z64" s="539">
        <f>SUM(X64:Y64)</f>
        <v>264729919</v>
      </c>
      <c r="AA64" s="537">
        <f>X64-D64</f>
        <v>-2197172</v>
      </c>
      <c r="AB64" s="540">
        <f>Y64-E64</f>
        <v>-467190</v>
      </c>
      <c r="AC64" s="539">
        <f>SUM(AA64:AB64)</f>
        <v>-2664362</v>
      </c>
      <c r="AD64" s="541"/>
      <c r="AE64" s="541"/>
      <c r="AF64" s="541"/>
      <c r="AG64" s="541"/>
      <c r="AH64" s="541"/>
      <c r="AI64" s="541"/>
      <c r="AJ64" s="541"/>
      <c r="AK64" s="541"/>
      <c r="AL64" s="541"/>
      <c r="AM64" s="541"/>
      <c r="AN64" s="541"/>
      <c r="AO64" s="541"/>
      <c r="AP64" s="541"/>
      <c r="AQ64" s="541"/>
      <c r="AR64" s="541"/>
      <c r="AS64" s="541"/>
      <c r="AT64" s="541"/>
      <c r="AU64" s="541"/>
      <c r="AV64" s="541"/>
      <c r="AW64" s="541"/>
      <c r="AX64" s="541"/>
      <c r="AY64" s="541"/>
      <c r="AZ64" s="541"/>
      <c r="BA64" s="541"/>
      <c r="BB64" s="541"/>
      <c r="BC64" s="541"/>
      <c r="BD64" s="541"/>
      <c r="BE64" s="541"/>
      <c r="BF64" s="541"/>
      <c r="BG64" s="541"/>
      <c r="BH64" s="541"/>
      <c r="BI64" s="541"/>
      <c r="BJ64" s="541"/>
      <c r="BK64" s="541"/>
      <c r="BL64" s="541"/>
      <c r="BM64" s="541"/>
      <c r="BN64" s="541"/>
      <c r="BO64" s="541"/>
      <c r="BP64" s="541"/>
      <c r="BQ64" s="541"/>
      <c r="BR64" s="541"/>
      <c r="BS64" s="541"/>
      <c r="BT64" s="541"/>
      <c r="BU64" s="541"/>
      <c r="BV64" s="541"/>
      <c r="BW64" s="541"/>
      <c r="BX64" s="541"/>
      <c r="BY64" s="541"/>
      <c r="BZ64" s="541"/>
      <c r="CA64" s="541"/>
      <c r="CB64" s="541"/>
      <c r="CC64" s="541"/>
      <c r="CD64" s="541"/>
      <c r="CE64" s="541"/>
      <c r="CF64" s="541"/>
      <c r="CG64" s="541"/>
      <c r="CH64" s="541"/>
      <c r="CI64" s="541"/>
      <c r="CJ64" s="541"/>
      <c r="CK64" s="541"/>
      <c r="CL64" s="541"/>
      <c r="CM64" s="541"/>
      <c r="CN64" s="541"/>
      <c r="CO64" s="541"/>
      <c r="CP64" s="541"/>
      <c r="CQ64" s="541"/>
      <c r="CR64" s="541"/>
      <c r="CS64" s="541"/>
      <c r="CT64" s="541"/>
      <c r="CU64" s="541"/>
      <c r="CV64" s="541"/>
      <c r="CW64" s="541"/>
      <c r="CX64" s="541"/>
      <c r="CY64" s="541"/>
      <c r="CZ64" s="541"/>
      <c r="DA64" s="541"/>
      <c r="DB64" s="541"/>
      <c r="DC64" s="541"/>
      <c r="DD64" s="541"/>
      <c r="DE64" s="541"/>
      <c r="DF64" s="541"/>
      <c r="DG64" s="541"/>
      <c r="DH64" s="541"/>
      <c r="DI64" s="541"/>
      <c r="DJ64" s="541"/>
      <c r="DK64" s="541"/>
      <c r="DL64" s="541"/>
      <c r="DM64" s="541"/>
      <c r="DN64" s="541"/>
      <c r="DO64" s="541"/>
      <c r="DP64" s="541"/>
      <c r="DQ64" s="541"/>
      <c r="DR64" s="541"/>
      <c r="DS64" s="541"/>
      <c r="DT64" s="541"/>
      <c r="DU64" s="541"/>
      <c r="DV64" s="541"/>
      <c r="DW64" s="541"/>
      <c r="DX64" s="541"/>
      <c r="DY64" s="541"/>
      <c r="DZ64" s="541"/>
      <c r="EA64" s="541"/>
      <c r="EB64" s="541"/>
      <c r="EC64" s="541"/>
      <c r="ED64" s="541"/>
      <c r="EE64" s="541"/>
      <c r="EF64" s="541"/>
      <c r="EG64" s="541"/>
      <c r="EH64" s="541"/>
      <c r="EI64" s="541"/>
      <c r="EJ64" s="541"/>
      <c r="EK64" s="541"/>
      <c r="EL64" s="541"/>
      <c r="EM64" s="541"/>
      <c r="EN64" s="541"/>
      <c r="EO64" s="541"/>
      <c r="EP64" s="541"/>
      <c r="EQ64" s="541"/>
      <c r="ER64" s="541"/>
      <c r="ES64" s="541"/>
      <c r="ET64" s="541"/>
      <c r="EU64" s="541"/>
      <c r="EV64" s="541"/>
      <c r="EW64" s="541"/>
      <c r="EX64" s="541"/>
      <c r="EY64" s="541"/>
      <c r="EZ64" s="541"/>
      <c r="FA64" s="541"/>
      <c r="FB64" s="541"/>
      <c r="FC64" s="541"/>
      <c r="FD64" s="541"/>
      <c r="FE64" s="541"/>
      <c r="FF64" s="541"/>
      <c r="FG64" s="541"/>
      <c r="FH64" s="541"/>
      <c r="FI64" s="541"/>
      <c r="FJ64" s="541"/>
      <c r="FK64" s="541"/>
      <c r="FL64" s="541"/>
      <c r="FM64" s="541"/>
      <c r="FN64" s="541"/>
      <c r="FO64" s="541"/>
      <c r="FP64" s="541"/>
      <c r="FQ64" s="541"/>
      <c r="FR64" s="541"/>
      <c r="FS64" s="541"/>
      <c r="FT64" s="541"/>
      <c r="FU64" s="541"/>
      <c r="FV64" s="541"/>
      <c r="FW64" s="541"/>
      <c r="FX64" s="541"/>
      <c r="FY64" s="541"/>
      <c r="FZ64" s="541"/>
      <c r="GA64" s="541"/>
      <c r="GB64" s="541"/>
      <c r="GC64" s="541"/>
      <c r="GD64" s="541"/>
      <c r="GE64" s="541"/>
      <c r="GF64" s="541"/>
      <c r="GG64" s="541"/>
      <c r="GH64" s="541"/>
      <c r="GI64" s="541"/>
      <c r="GJ64" s="541"/>
      <c r="GK64" s="541"/>
      <c r="GL64" s="541"/>
      <c r="GM64" s="541"/>
      <c r="GN64" s="541"/>
      <c r="GO64" s="541"/>
      <c r="GP64" s="541"/>
      <c r="GQ64" s="541"/>
      <c r="GR64" s="541"/>
      <c r="GS64" s="541"/>
      <c r="GT64" s="541"/>
      <c r="GU64" s="541"/>
      <c r="GV64" s="541"/>
      <c r="GW64" s="541"/>
      <c r="GX64" s="541"/>
      <c r="GY64" s="541"/>
      <c r="GZ64" s="541"/>
      <c r="HA64" s="541"/>
      <c r="HB64" s="541"/>
      <c r="HC64" s="541"/>
      <c r="HD64" s="541"/>
      <c r="HE64" s="541"/>
      <c r="HF64" s="541"/>
      <c r="HG64" s="541"/>
      <c r="HH64" s="541"/>
      <c r="HI64" s="541"/>
      <c r="HJ64" s="541"/>
      <c r="HK64" s="541"/>
      <c r="HL64" s="541"/>
      <c r="HM64" s="541"/>
      <c r="HN64" s="541"/>
      <c r="HO64" s="541"/>
    </row>
    <row r="65" spans="1:29" ht="21" customHeight="1" thickBot="1" thickTop="1">
      <c r="A65" s="947" t="s">
        <v>379</v>
      </c>
      <c r="B65" s="948"/>
      <c r="C65" s="949"/>
      <c r="D65" s="463">
        <f>SUM(D64,D47,D38)</f>
        <v>1274772356</v>
      </c>
      <c r="E65" s="464">
        <f>SUM(E64,E47,E38)</f>
        <v>449009931</v>
      </c>
      <c r="F65" s="465">
        <f>SUM(D65:E65)</f>
        <v>1723782287</v>
      </c>
      <c r="G65" s="466"/>
      <c r="H65" s="922" t="s">
        <v>117</v>
      </c>
      <c r="I65" s="923"/>
      <c r="J65" s="924"/>
      <c r="K65" s="467">
        <f>SUM(K64,K47,K38)</f>
        <v>615111302</v>
      </c>
      <c r="L65" s="468"/>
      <c r="M65" s="918" t="s">
        <v>118</v>
      </c>
      <c r="N65" s="918"/>
      <c r="O65" s="918"/>
      <c r="P65" s="919"/>
      <c r="Q65" s="469">
        <f>SUM(Q64,Q47,Q38)</f>
        <v>616636304</v>
      </c>
      <c r="R65" s="470"/>
      <c r="S65" s="918" t="s">
        <v>119</v>
      </c>
      <c r="T65" s="918"/>
      <c r="U65" s="918"/>
      <c r="V65" s="919"/>
      <c r="W65" s="471">
        <f>SUM(W64,W47,W38)</f>
        <v>492034681</v>
      </c>
      <c r="X65" s="472">
        <f>SUM(X64,X47,X38)</f>
        <v>1214168429</v>
      </c>
      <c r="Y65" s="473">
        <f>SUM(Y64,Y47,Y38)</f>
        <v>509613858</v>
      </c>
      <c r="Z65" s="474">
        <f>SUM(W65+Q65+K65)</f>
        <v>1723782287</v>
      </c>
      <c r="AA65" s="475">
        <f>SUM(AA64,AA47,AA38)</f>
        <v>-60603927</v>
      </c>
      <c r="AB65" s="476">
        <f>SUM(AB64,AB47,AB38)</f>
        <v>60603927</v>
      </c>
      <c r="AC65" s="477">
        <f>SUM(AC64,AC47,AC38)</f>
        <v>0</v>
      </c>
    </row>
    <row r="66" spans="1:29" ht="19.5" thickTop="1">
      <c r="A66" s="920"/>
      <c r="B66" s="921"/>
      <c r="C66" s="921"/>
      <c r="D66" s="421"/>
      <c r="E66" s="421"/>
      <c r="F66" s="421"/>
      <c r="G66" s="358"/>
      <c r="H66" s="358"/>
      <c r="I66" s="358"/>
      <c r="J66" s="478"/>
      <c r="K66" s="396"/>
      <c r="L66" s="356"/>
      <c r="M66" s="346"/>
      <c r="N66" s="346"/>
      <c r="O66" s="346"/>
      <c r="P66" s="346"/>
      <c r="Q66" s="346"/>
      <c r="R66" s="356"/>
      <c r="S66" s="421"/>
      <c r="T66" s="421"/>
      <c r="U66" s="421"/>
      <c r="V66" s="421"/>
      <c r="W66" s="421"/>
      <c r="X66" s="421"/>
      <c r="Y66" s="421"/>
      <c r="Z66" s="421"/>
      <c r="AA66" s="421"/>
      <c r="AB66" s="421"/>
      <c r="AC66" s="356"/>
    </row>
    <row r="67" spans="1:29" ht="15.75">
      <c r="A67" s="421"/>
      <c r="B67" s="421"/>
      <c r="C67" s="421"/>
      <c r="D67" s="906" t="s">
        <v>509</v>
      </c>
      <c r="E67" s="907"/>
      <c r="F67" s="907"/>
      <c r="G67" s="310"/>
      <c r="H67" s="310"/>
      <c r="I67" s="310"/>
      <c r="J67" s="303"/>
      <c r="K67" s="396"/>
      <c r="L67" s="346"/>
      <c r="M67" s="346"/>
      <c r="N67" s="346"/>
      <c r="O67" s="346"/>
      <c r="P67" s="346"/>
      <c r="Q67" s="346"/>
      <c r="R67" s="346"/>
      <c r="S67" s="421"/>
      <c r="T67" s="421"/>
      <c r="U67" s="421"/>
      <c r="V67" s="421"/>
      <c r="W67" s="906" t="s">
        <v>120</v>
      </c>
      <c r="X67" s="907"/>
      <c r="Y67" s="907"/>
      <c r="Z67" s="479"/>
      <c r="AA67" s="906" t="s">
        <v>104</v>
      </c>
      <c r="AB67" s="907"/>
      <c r="AC67" s="907"/>
    </row>
    <row r="68" spans="1:29" ht="15.75">
      <c r="A68" s="421"/>
      <c r="B68" s="421"/>
      <c r="C68" s="421"/>
      <c r="D68" s="480" t="s">
        <v>105</v>
      </c>
      <c r="E68" s="480" t="s">
        <v>121</v>
      </c>
      <c r="F68" s="480" t="s">
        <v>106</v>
      </c>
      <c r="G68" s="310"/>
      <c r="H68" s="310"/>
      <c r="I68" s="310"/>
      <c r="J68" s="303"/>
      <c r="K68" s="396"/>
      <c r="L68" s="346"/>
      <c r="M68" s="346"/>
      <c r="N68" s="346"/>
      <c r="O68" s="346"/>
      <c r="P68" s="346"/>
      <c r="Q68" s="346"/>
      <c r="R68" s="346"/>
      <c r="S68" s="931"/>
      <c r="T68" s="931"/>
      <c r="U68" s="931"/>
      <c r="V68" s="931"/>
      <c r="W68" s="480" t="s">
        <v>105</v>
      </c>
      <c r="X68" s="480" t="s">
        <v>121</v>
      </c>
      <c r="Y68" s="480" t="s">
        <v>106</v>
      </c>
      <c r="Z68" s="481"/>
      <c r="AA68" s="480" t="s">
        <v>105</v>
      </c>
      <c r="AB68" s="480" t="s">
        <v>121</v>
      </c>
      <c r="AC68" s="480" t="s">
        <v>106</v>
      </c>
    </row>
    <row r="69" spans="1:29" ht="15.75">
      <c r="A69" s="421"/>
      <c r="B69" s="421"/>
      <c r="C69" s="482" t="s">
        <v>122</v>
      </c>
      <c r="D69" s="421"/>
      <c r="E69" s="421"/>
      <c r="F69" s="421"/>
      <c r="G69" s="310"/>
      <c r="H69" s="310"/>
      <c r="I69" s="310"/>
      <c r="J69" s="303"/>
      <c r="K69" s="396"/>
      <c r="L69" s="346"/>
      <c r="M69" s="346"/>
      <c r="N69" s="346"/>
      <c r="O69" s="346"/>
      <c r="P69" s="346"/>
      <c r="Q69" s="346"/>
      <c r="R69" s="346"/>
      <c r="S69" s="421"/>
      <c r="T69" s="482" t="s">
        <v>122</v>
      </c>
      <c r="U69" s="421"/>
      <c r="V69" s="906"/>
      <c r="W69" s="907"/>
      <c r="X69" s="421"/>
      <c r="Y69" s="421"/>
      <c r="Z69" s="421"/>
      <c r="AA69" s="421"/>
      <c r="AB69" s="421"/>
      <c r="AC69" s="346"/>
    </row>
    <row r="70" spans="1:29" ht="15.75">
      <c r="A70" s="421"/>
      <c r="B70" s="421"/>
      <c r="C70" s="421" t="s">
        <v>123</v>
      </c>
      <c r="D70" s="483">
        <f>SUM(D10)</f>
        <v>760478226</v>
      </c>
      <c r="E70" s="483">
        <f>SUM(E10)</f>
        <v>109185145</v>
      </c>
      <c r="F70" s="483">
        <f>SUM(D70:E70)</f>
        <v>869663371</v>
      </c>
      <c r="G70" s="310"/>
      <c r="H70" s="310"/>
      <c r="I70" s="310"/>
      <c r="J70" s="303"/>
      <c r="K70" s="396"/>
      <c r="L70" s="346"/>
      <c r="M70" s="346"/>
      <c r="N70" s="346"/>
      <c r="O70" s="346"/>
      <c r="P70" s="346"/>
      <c r="Q70" s="346"/>
      <c r="R70" s="346"/>
      <c r="S70" s="421"/>
      <c r="T70" s="421" t="s">
        <v>123</v>
      </c>
      <c r="U70" s="421"/>
      <c r="V70" s="421"/>
      <c r="W70" s="483">
        <f>SUM(X14)</f>
        <v>727814144</v>
      </c>
      <c r="X70" s="483">
        <f>Y14</f>
        <v>191239029</v>
      </c>
      <c r="Y70" s="483">
        <f>SUM(W70:X70)</f>
        <v>919053173</v>
      </c>
      <c r="Z70" s="403"/>
      <c r="AA70" s="483">
        <f aca="true" t="shared" si="0" ref="AA70:AB72">W70-D70</f>
        <v>-32664082</v>
      </c>
      <c r="AB70" s="483">
        <f t="shared" si="0"/>
        <v>82053884</v>
      </c>
      <c r="AC70" s="403">
        <f>SUM(AA70:AB70)</f>
        <v>49389802</v>
      </c>
    </row>
    <row r="71" spans="1:29" ht="15.75">
      <c r="A71" s="421"/>
      <c r="B71" s="421"/>
      <c r="C71" s="421" t="s">
        <v>385</v>
      </c>
      <c r="D71" s="483">
        <f>SUM(D43)</f>
        <v>120330874</v>
      </c>
      <c r="E71" s="483">
        <f>SUM(E43)</f>
        <v>500000</v>
      </c>
      <c r="F71" s="483">
        <f>SUM(D71:E71)</f>
        <v>120830874</v>
      </c>
      <c r="G71" s="310"/>
      <c r="H71" s="310"/>
      <c r="I71" s="310"/>
      <c r="J71" s="484"/>
      <c r="K71" s="396"/>
      <c r="L71" s="346"/>
      <c r="M71" s="346"/>
      <c r="N71" s="346"/>
      <c r="O71" s="346"/>
      <c r="P71" s="346"/>
      <c r="Q71" s="346"/>
      <c r="R71" s="346"/>
      <c r="S71" s="421"/>
      <c r="T71" s="421" t="s">
        <v>385</v>
      </c>
      <c r="U71" s="421"/>
      <c r="V71" s="421"/>
      <c r="W71" s="483">
        <f>SUM(X43)</f>
        <v>136274407</v>
      </c>
      <c r="X71" s="483">
        <f>Y43</f>
        <v>0</v>
      </c>
      <c r="Y71" s="483">
        <f>SUM(W71:X71)</f>
        <v>136274407</v>
      </c>
      <c r="Z71" s="403"/>
      <c r="AA71" s="483">
        <f t="shared" si="0"/>
        <v>15943533</v>
      </c>
      <c r="AB71" s="483">
        <f t="shared" si="0"/>
        <v>-500000</v>
      </c>
      <c r="AC71" s="403">
        <f>SUM(AA71:AB71)</f>
        <v>15443533</v>
      </c>
    </row>
    <row r="72" spans="1:29" ht="12.75">
      <c r="A72" s="421"/>
      <c r="B72" s="421"/>
      <c r="C72" s="485" t="s">
        <v>124</v>
      </c>
      <c r="D72" s="486">
        <f>SUM(D55)</f>
        <v>215933712</v>
      </c>
      <c r="E72" s="486">
        <f>SUM(E55)</f>
        <v>457665</v>
      </c>
      <c r="F72" s="486">
        <f>SUM(D72:E72)</f>
        <v>216391377</v>
      </c>
      <c r="G72" s="421"/>
      <c r="H72" s="421"/>
      <c r="I72" s="421"/>
      <c r="J72" s="421"/>
      <c r="K72" s="346"/>
      <c r="L72" s="346"/>
      <c r="M72" s="346"/>
      <c r="N72" s="346"/>
      <c r="O72" s="346"/>
      <c r="P72" s="346"/>
      <c r="Q72" s="346"/>
      <c r="R72" s="346"/>
      <c r="S72" s="421"/>
      <c r="T72" s="485" t="s">
        <v>124</v>
      </c>
      <c r="U72" s="487"/>
      <c r="V72" s="487"/>
      <c r="W72" s="486">
        <f>SUM(X55)</f>
        <v>214951331</v>
      </c>
      <c r="X72" s="486">
        <f>Y55</f>
        <v>0</v>
      </c>
      <c r="Y72" s="486">
        <f>SUM(W72:X72)</f>
        <v>214951331</v>
      </c>
      <c r="Z72" s="403"/>
      <c r="AA72" s="486">
        <f t="shared" si="0"/>
        <v>-982381</v>
      </c>
      <c r="AB72" s="486">
        <f t="shared" si="0"/>
        <v>-457665</v>
      </c>
      <c r="AC72" s="486">
        <f>SUM(AA72:AB72)</f>
        <v>-1440046</v>
      </c>
    </row>
    <row r="73" spans="1:29" ht="12.75">
      <c r="A73" s="421"/>
      <c r="B73" s="421"/>
      <c r="C73" s="488" t="s">
        <v>378</v>
      </c>
      <c r="D73" s="483">
        <f>SUM(D70:D72)</f>
        <v>1096742812</v>
      </c>
      <c r="E73" s="483">
        <f>SUM(E70:E72)</f>
        <v>110142810</v>
      </c>
      <c r="F73" s="483">
        <f>SUM(F70:F72)</f>
        <v>1206885622</v>
      </c>
      <c r="G73" s="421"/>
      <c r="H73" s="421"/>
      <c r="I73" s="421"/>
      <c r="J73" s="421"/>
      <c r="K73" s="346"/>
      <c r="L73" s="346"/>
      <c r="M73" s="346"/>
      <c r="N73" s="346"/>
      <c r="O73" s="346"/>
      <c r="P73" s="346"/>
      <c r="Q73" s="346"/>
      <c r="R73" s="346"/>
      <c r="S73" s="421"/>
      <c r="T73" s="488" t="s">
        <v>378</v>
      </c>
      <c r="U73" s="421"/>
      <c r="V73" s="488"/>
      <c r="W73" s="483">
        <f>SUM(W70:W72)</f>
        <v>1079039882</v>
      </c>
      <c r="X73" s="483">
        <f>SUM(X70:X72)</f>
        <v>191239029</v>
      </c>
      <c r="Y73" s="483">
        <f>SUM(Y70:Y72)</f>
        <v>1270278911</v>
      </c>
      <c r="Z73" s="403"/>
      <c r="AA73" s="483">
        <f>SUM(AA70:AA72)</f>
        <v>-17702930</v>
      </c>
      <c r="AB73" s="483">
        <f>SUM(AB70:AB72)</f>
        <v>81096219</v>
      </c>
      <c r="AC73" s="483">
        <f>SUM(AC70:AC72)</f>
        <v>63393289</v>
      </c>
    </row>
    <row r="74" spans="1:29" ht="12.75">
      <c r="A74" s="421"/>
      <c r="B74" s="421"/>
      <c r="C74" s="488"/>
      <c r="D74" s="483"/>
      <c r="E74" s="483"/>
      <c r="F74" s="483"/>
      <c r="G74" s="421"/>
      <c r="H74" s="421"/>
      <c r="I74" s="421"/>
      <c r="J74" s="421"/>
      <c r="K74" s="421"/>
      <c r="L74" s="346"/>
      <c r="M74" s="346"/>
      <c r="N74" s="346"/>
      <c r="O74" s="346"/>
      <c r="P74" s="346"/>
      <c r="Q74" s="346"/>
      <c r="R74" s="346"/>
      <c r="S74" s="421"/>
      <c r="T74" s="421"/>
      <c r="U74" s="421"/>
      <c r="V74" s="421"/>
      <c r="W74" s="421"/>
      <c r="X74" s="421"/>
      <c r="Y74" s="421"/>
      <c r="Z74" s="421"/>
      <c r="AA74" s="421"/>
      <c r="AB74" s="421"/>
      <c r="AC74" s="346"/>
    </row>
    <row r="75" spans="1:29" ht="12.75">
      <c r="A75" s="421"/>
      <c r="B75" s="421"/>
      <c r="C75" s="482" t="s">
        <v>125</v>
      </c>
      <c r="D75" s="483"/>
      <c r="E75" s="483"/>
      <c r="F75" s="483"/>
      <c r="G75" s="421"/>
      <c r="H75" s="421"/>
      <c r="I75" s="421"/>
      <c r="J75" s="421"/>
      <c r="K75" s="421"/>
      <c r="L75" s="346"/>
      <c r="M75" s="346"/>
      <c r="N75" s="346"/>
      <c r="O75" s="346"/>
      <c r="P75" s="346"/>
      <c r="Q75" s="346"/>
      <c r="R75" s="346"/>
      <c r="S75" s="421"/>
      <c r="T75" s="482" t="s">
        <v>125</v>
      </c>
      <c r="U75" s="489"/>
      <c r="V75" s="482"/>
      <c r="W75" s="490"/>
      <c r="X75" s="490"/>
      <c r="Y75" s="421"/>
      <c r="Z75" s="421"/>
      <c r="AA75" s="421"/>
      <c r="AB75" s="421"/>
      <c r="AC75" s="346"/>
    </row>
    <row r="76" spans="1:29" ht="12.75">
      <c r="A76" s="421"/>
      <c r="B76" s="421"/>
      <c r="C76" s="421" t="s">
        <v>123</v>
      </c>
      <c r="D76" s="483">
        <f>SUM(D32)</f>
        <v>83623393</v>
      </c>
      <c r="E76" s="483">
        <f>SUM(E32)</f>
        <v>334593351</v>
      </c>
      <c r="F76" s="483">
        <f>SUM(D76:E76)</f>
        <v>418216744</v>
      </c>
      <c r="G76" s="421"/>
      <c r="H76" s="421"/>
      <c r="I76" s="421"/>
      <c r="J76" s="421"/>
      <c r="K76" s="421"/>
      <c r="L76" s="346"/>
      <c r="M76" s="346"/>
      <c r="N76" s="346"/>
      <c r="O76" s="346"/>
      <c r="P76" s="346"/>
      <c r="Q76" s="346"/>
      <c r="R76" s="346"/>
      <c r="S76" s="421"/>
      <c r="T76" s="421" t="s">
        <v>123</v>
      </c>
      <c r="U76" s="421"/>
      <c r="V76" s="421"/>
      <c r="W76" s="483">
        <f>SUM(X32)</f>
        <v>37083234</v>
      </c>
      <c r="X76" s="483">
        <f>Y32</f>
        <v>314521207</v>
      </c>
      <c r="Y76" s="483">
        <f>SUM(W76:X76)</f>
        <v>351604441</v>
      </c>
      <c r="Z76" s="403"/>
      <c r="AA76" s="483">
        <f aca="true" t="shared" si="1" ref="AA76:AB78">W76-D76</f>
        <v>-46540159</v>
      </c>
      <c r="AB76" s="483">
        <f t="shared" si="1"/>
        <v>-20072144</v>
      </c>
      <c r="AC76" s="403">
        <f>SUM(AA76:AB76)</f>
        <v>-66612303</v>
      </c>
    </row>
    <row r="77" spans="1:29" ht="12.75">
      <c r="A77" s="421"/>
      <c r="B77" s="421"/>
      <c r="C77" s="421" t="s">
        <v>385</v>
      </c>
      <c r="D77" s="483">
        <v>0</v>
      </c>
      <c r="E77" s="483">
        <v>0</v>
      </c>
      <c r="F77" s="483">
        <f>SUM(D77:E77)</f>
        <v>0</v>
      </c>
      <c r="G77" s="421"/>
      <c r="H77" s="421"/>
      <c r="I77" s="421"/>
      <c r="J77" s="421"/>
      <c r="K77" s="421"/>
      <c r="L77" s="346"/>
      <c r="M77" s="346"/>
      <c r="N77" s="346"/>
      <c r="O77" s="346"/>
      <c r="P77" s="346"/>
      <c r="Q77" s="346"/>
      <c r="R77" s="346"/>
      <c r="S77" s="421"/>
      <c r="T77" s="421" t="s">
        <v>385</v>
      </c>
      <c r="U77" s="421"/>
      <c r="V77" s="421"/>
      <c r="W77" s="483">
        <v>0</v>
      </c>
      <c r="X77" s="483">
        <v>0</v>
      </c>
      <c r="Y77" s="483">
        <f>SUM(W77:X77)</f>
        <v>0</v>
      </c>
      <c r="Z77" s="403"/>
      <c r="AA77" s="483">
        <f t="shared" si="1"/>
        <v>0</v>
      </c>
      <c r="AB77" s="483">
        <f t="shared" si="1"/>
        <v>0</v>
      </c>
      <c r="AC77" s="403">
        <f>SUM(AA77:AB77)</f>
        <v>0</v>
      </c>
    </row>
    <row r="78" spans="1:29" ht="12.75">
      <c r="A78" s="421"/>
      <c r="B78" s="421"/>
      <c r="C78" s="485" t="s">
        <v>124</v>
      </c>
      <c r="D78" s="486">
        <f>SUM(D62)</f>
        <v>47139757</v>
      </c>
      <c r="E78" s="486">
        <f>SUM(E62)</f>
        <v>3863147</v>
      </c>
      <c r="F78" s="486">
        <f>SUM(D78:E78)</f>
        <v>51002904</v>
      </c>
      <c r="G78" s="421"/>
      <c r="H78" s="421"/>
      <c r="I78" s="421"/>
      <c r="J78" s="421"/>
      <c r="K78" s="421"/>
      <c r="L78" s="346"/>
      <c r="M78" s="346"/>
      <c r="N78" s="346"/>
      <c r="O78" s="346"/>
      <c r="P78" s="346"/>
      <c r="Q78" s="346"/>
      <c r="R78" s="346"/>
      <c r="S78" s="421"/>
      <c r="T78" s="485" t="s">
        <v>124</v>
      </c>
      <c r="U78" s="487"/>
      <c r="V78" s="487"/>
      <c r="W78" s="486">
        <f>X62</f>
        <v>45924966</v>
      </c>
      <c r="X78" s="486">
        <f>Y62</f>
        <v>3853622</v>
      </c>
      <c r="Y78" s="486">
        <f>SUM(W78:X78)</f>
        <v>49778588</v>
      </c>
      <c r="Z78" s="403"/>
      <c r="AA78" s="486">
        <f t="shared" si="1"/>
        <v>-1214791</v>
      </c>
      <c r="AB78" s="486">
        <f t="shared" si="1"/>
        <v>-9525</v>
      </c>
      <c r="AC78" s="486">
        <f>SUM(AA78:AB78)</f>
        <v>-1224316</v>
      </c>
    </row>
    <row r="79" spans="1:29" ht="12.75">
      <c r="A79" s="421"/>
      <c r="B79" s="421"/>
      <c r="C79" s="488" t="s">
        <v>378</v>
      </c>
      <c r="D79" s="483">
        <f>SUM(D76:D78)</f>
        <v>130763150</v>
      </c>
      <c r="E79" s="483">
        <f>SUM(E76:E78)</f>
        <v>338456498</v>
      </c>
      <c r="F79" s="483">
        <f>SUM(F76:F78)</f>
        <v>469219648</v>
      </c>
      <c r="G79" s="421"/>
      <c r="H79" s="421"/>
      <c r="I79" s="421"/>
      <c r="J79" s="421"/>
      <c r="K79" s="421"/>
      <c r="L79" s="346"/>
      <c r="M79" s="346"/>
      <c r="N79" s="346"/>
      <c r="O79" s="346"/>
      <c r="P79" s="346"/>
      <c r="Q79" s="346"/>
      <c r="R79" s="346"/>
      <c r="S79" s="421"/>
      <c r="T79" s="488" t="s">
        <v>378</v>
      </c>
      <c r="U79" s="421"/>
      <c r="V79" s="488"/>
      <c r="W79" s="483">
        <f>SUM(W76:W78)</f>
        <v>83008200</v>
      </c>
      <c r="X79" s="483">
        <f>SUM(X76:X78)</f>
        <v>318374829</v>
      </c>
      <c r="Y79" s="483">
        <f>SUM(Y76:Y78)</f>
        <v>401383029</v>
      </c>
      <c r="Z79" s="403"/>
      <c r="AA79" s="483">
        <f>SUM(AA76:AA78)</f>
        <v>-47754950</v>
      </c>
      <c r="AB79" s="483">
        <f>SUM(AB76:AB78)</f>
        <v>-20081669</v>
      </c>
      <c r="AC79" s="483">
        <f>SUM(AC76:AC78)</f>
        <v>-67836619</v>
      </c>
    </row>
    <row r="80" spans="1:29" ht="12.75">
      <c r="A80" s="421"/>
      <c r="B80" s="421"/>
      <c r="C80" s="488"/>
      <c r="D80" s="483"/>
      <c r="E80" s="483"/>
      <c r="F80" s="483"/>
      <c r="G80" s="421"/>
      <c r="H80" s="421"/>
      <c r="I80" s="421"/>
      <c r="J80" s="421"/>
      <c r="K80" s="421"/>
      <c r="L80" s="421"/>
      <c r="M80" s="421"/>
      <c r="N80" s="421"/>
      <c r="O80" s="421"/>
      <c r="P80" s="421"/>
      <c r="Q80" s="421"/>
      <c r="R80" s="421"/>
      <c r="S80" s="421"/>
      <c r="T80" s="421"/>
      <c r="U80" s="421"/>
      <c r="V80" s="421"/>
      <c r="W80" s="421"/>
      <c r="X80" s="421"/>
      <c r="Y80" s="421"/>
      <c r="Z80" s="346"/>
      <c r="AA80" s="483"/>
      <c r="AB80" s="483"/>
      <c r="AC80" s="346"/>
    </row>
    <row r="81" spans="1:29" ht="12.75">
      <c r="A81" s="421"/>
      <c r="B81" s="421"/>
      <c r="C81" s="482" t="s">
        <v>126</v>
      </c>
      <c r="D81" s="483"/>
      <c r="E81" s="483"/>
      <c r="F81" s="483"/>
      <c r="G81" s="421"/>
      <c r="H81" s="421"/>
      <c r="I81" s="421"/>
      <c r="J81" s="421"/>
      <c r="K81" s="421"/>
      <c r="L81" s="421"/>
      <c r="M81" s="421"/>
      <c r="N81" s="421"/>
      <c r="O81" s="421"/>
      <c r="P81" s="421"/>
      <c r="Q81" s="421"/>
      <c r="R81" s="421"/>
      <c r="S81" s="421"/>
      <c r="T81" s="482" t="s">
        <v>126</v>
      </c>
      <c r="U81" s="421"/>
      <c r="V81" s="482"/>
      <c r="W81" s="421"/>
      <c r="X81" s="421"/>
      <c r="Y81" s="421"/>
      <c r="Z81" s="346"/>
      <c r="AA81" s="483"/>
      <c r="AB81" s="483"/>
      <c r="AC81" s="346"/>
    </row>
    <row r="82" spans="1:29" ht="12.75">
      <c r="A82" s="421"/>
      <c r="B82" s="421"/>
      <c r="C82" s="421" t="s">
        <v>123</v>
      </c>
      <c r="D82" s="483">
        <f>SUM(D28)</f>
        <v>47266394</v>
      </c>
      <c r="E82" s="483">
        <f>SUM(E28)</f>
        <v>410623</v>
      </c>
      <c r="F82" s="483">
        <f>SUM(D82:E82)</f>
        <v>47677017</v>
      </c>
      <c r="G82" s="421"/>
      <c r="H82" s="421"/>
      <c r="I82" s="421"/>
      <c r="J82" s="421"/>
      <c r="K82" s="421"/>
      <c r="L82" s="421"/>
      <c r="M82" s="421"/>
      <c r="N82" s="421"/>
      <c r="O82" s="421"/>
      <c r="P82" s="421"/>
      <c r="Q82" s="421"/>
      <c r="R82" s="421"/>
      <c r="S82" s="421"/>
      <c r="T82" s="421" t="s">
        <v>123</v>
      </c>
      <c r="U82" s="421"/>
      <c r="V82" s="421"/>
      <c r="W82" s="483">
        <f>SUM(X28)</f>
        <v>52120347</v>
      </c>
      <c r="X82" s="483">
        <v>0</v>
      </c>
      <c r="Y82" s="483">
        <f>SUM(W82:X82)</f>
        <v>52120347</v>
      </c>
      <c r="Z82" s="403"/>
      <c r="AA82" s="483">
        <f aca="true" t="shared" si="2" ref="AA82:AB84">W82-D82</f>
        <v>4853953</v>
      </c>
      <c r="AB82" s="483">
        <f t="shared" si="2"/>
        <v>-410623</v>
      </c>
      <c r="AC82" s="403">
        <f>SUM(AA82:AB82)</f>
        <v>4443330</v>
      </c>
    </row>
    <row r="83" spans="1:29" ht="12.75">
      <c r="A83" s="421"/>
      <c r="B83" s="421"/>
      <c r="C83" s="421" t="s">
        <v>385</v>
      </c>
      <c r="D83" s="483">
        <v>0</v>
      </c>
      <c r="E83" s="483">
        <v>0</v>
      </c>
      <c r="F83" s="483">
        <f>SUM(D83:E83)</f>
        <v>0</v>
      </c>
      <c r="G83" s="421"/>
      <c r="H83" s="421"/>
      <c r="I83" s="421"/>
      <c r="J83" s="421"/>
      <c r="K83" s="421"/>
      <c r="L83" s="421"/>
      <c r="M83" s="421"/>
      <c r="N83" s="421"/>
      <c r="O83" s="421"/>
      <c r="P83" s="421"/>
      <c r="Q83" s="421"/>
      <c r="R83" s="421"/>
      <c r="S83" s="421"/>
      <c r="T83" s="421" t="s">
        <v>385</v>
      </c>
      <c r="U83" s="421"/>
      <c r="V83" s="421"/>
      <c r="W83" s="483">
        <v>0</v>
      </c>
      <c r="X83" s="483">
        <v>0</v>
      </c>
      <c r="Y83" s="483">
        <f>SUM(W83:X83)</f>
        <v>0</v>
      </c>
      <c r="Z83" s="403"/>
      <c r="AA83" s="483">
        <f t="shared" si="2"/>
        <v>0</v>
      </c>
      <c r="AB83" s="483">
        <f t="shared" si="2"/>
        <v>0</v>
      </c>
      <c r="AC83" s="403">
        <f>SUM(AA83:AB83)</f>
        <v>0</v>
      </c>
    </row>
    <row r="84" spans="1:29" ht="12.75">
      <c r="A84" s="421"/>
      <c r="B84" s="421"/>
      <c r="C84" s="485" t="s">
        <v>124</v>
      </c>
      <c r="D84" s="486">
        <v>0</v>
      </c>
      <c r="E84" s="486">
        <v>0</v>
      </c>
      <c r="F84" s="486">
        <f>SUM(D84:E84)</f>
        <v>0</v>
      </c>
      <c r="G84" s="421"/>
      <c r="H84" s="421"/>
      <c r="I84" s="421"/>
      <c r="J84" s="421"/>
      <c r="K84" s="421"/>
      <c r="L84" s="421"/>
      <c r="M84" s="421"/>
      <c r="N84" s="421"/>
      <c r="O84" s="421"/>
      <c r="P84" s="421"/>
      <c r="Q84" s="421"/>
      <c r="R84" s="421"/>
      <c r="S84" s="421"/>
      <c r="T84" s="485" t="s">
        <v>124</v>
      </c>
      <c r="U84" s="487"/>
      <c r="V84" s="487"/>
      <c r="W84" s="486">
        <v>0</v>
      </c>
      <c r="X84" s="486">
        <v>0</v>
      </c>
      <c r="Y84" s="486">
        <f>SUM(W84:X84)</f>
        <v>0</v>
      </c>
      <c r="Z84" s="403"/>
      <c r="AA84" s="486">
        <f t="shared" si="2"/>
        <v>0</v>
      </c>
      <c r="AB84" s="486">
        <f t="shared" si="2"/>
        <v>0</v>
      </c>
      <c r="AC84" s="486">
        <f>SUM(AA84:AB84)</f>
        <v>0</v>
      </c>
    </row>
    <row r="85" spans="1:29" ht="12.75">
      <c r="A85" s="421"/>
      <c r="B85" s="421"/>
      <c r="C85" s="488" t="s">
        <v>378</v>
      </c>
      <c r="D85" s="483">
        <f>SUM(D82:D84)</f>
        <v>47266394</v>
      </c>
      <c r="E85" s="483">
        <f>SUM(E82:E84)</f>
        <v>410623</v>
      </c>
      <c r="F85" s="483">
        <f>SUM(F82:F84)</f>
        <v>47677017</v>
      </c>
      <c r="G85" s="421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1"/>
      <c r="S85" s="421"/>
      <c r="T85" s="488" t="s">
        <v>378</v>
      </c>
      <c r="U85" s="421"/>
      <c r="V85" s="488"/>
      <c r="W85" s="483">
        <f>SUM(W82:W84)</f>
        <v>52120347</v>
      </c>
      <c r="X85" s="483">
        <f>SUM(X82:X84)</f>
        <v>0</v>
      </c>
      <c r="Y85" s="483">
        <f>SUM(Y82:Y84)</f>
        <v>52120347</v>
      </c>
      <c r="Z85" s="403"/>
      <c r="AA85" s="483">
        <f>SUM(AA82:AA84)</f>
        <v>4853953</v>
      </c>
      <c r="AB85" s="483">
        <f>SUM(AB82:AB84)</f>
        <v>-410623</v>
      </c>
      <c r="AC85" s="483">
        <f>SUM(AC82:AC84)</f>
        <v>4443330</v>
      </c>
    </row>
    <row r="86" spans="1:29" ht="12.75">
      <c r="A86" s="421"/>
      <c r="B86" s="421"/>
      <c r="C86" s="488"/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421"/>
      <c r="Q86" s="421"/>
      <c r="R86" s="421"/>
      <c r="S86" s="421"/>
      <c r="T86" s="421"/>
      <c r="U86" s="421"/>
      <c r="V86" s="421"/>
      <c r="W86" s="421"/>
      <c r="X86" s="421"/>
      <c r="Y86" s="421"/>
      <c r="Z86" s="346"/>
      <c r="AA86" s="483"/>
      <c r="AB86" s="483"/>
      <c r="AC86" s="346"/>
    </row>
    <row r="87" spans="1:29" ht="12.75">
      <c r="A87" s="421"/>
      <c r="B87" s="421"/>
      <c r="C87" s="491" t="s">
        <v>127</v>
      </c>
      <c r="D87" s="492">
        <f>SUM(D85,D79,D73)</f>
        <v>1274772356</v>
      </c>
      <c r="E87" s="492">
        <f>SUM(E85,E79,E73)</f>
        <v>449009931</v>
      </c>
      <c r="F87" s="492">
        <f>SUM(F85,F79,F73)</f>
        <v>1723782287</v>
      </c>
      <c r="G87" s="491"/>
      <c r="H87" s="491"/>
      <c r="I87" s="491"/>
      <c r="J87" s="491"/>
      <c r="K87" s="491"/>
      <c r="L87" s="491"/>
      <c r="M87" s="491"/>
      <c r="N87" s="491"/>
      <c r="O87" s="491"/>
      <c r="P87" s="491"/>
      <c r="Q87" s="491"/>
      <c r="R87" s="491"/>
      <c r="S87" s="491"/>
      <c r="T87" s="491" t="s">
        <v>127</v>
      </c>
      <c r="U87" s="491"/>
      <c r="V87" s="491"/>
      <c r="W87" s="492">
        <f>SUM(W85,W79,W73)</f>
        <v>1214168429</v>
      </c>
      <c r="X87" s="492">
        <f>SUM(X85,X79,X73)</f>
        <v>509613858</v>
      </c>
      <c r="Y87" s="492">
        <f>SUM(Y85,Y79,Y73)</f>
        <v>1723782287</v>
      </c>
      <c r="Z87" s="326"/>
      <c r="AA87" s="492">
        <f>SUM(AA85,AA79,AA73)</f>
        <v>-60603927</v>
      </c>
      <c r="AB87" s="492">
        <f>SUM(AB85,AB79,AB73)</f>
        <v>60603927</v>
      </c>
      <c r="AC87" s="492">
        <f>SUM(AC85,AC79,AC73)</f>
        <v>0</v>
      </c>
    </row>
    <row r="88" spans="1:29" ht="12.75">
      <c r="A88" s="491"/>
      <c r="B88" s="491"/>
      <c r="D88" s="421"/>
      <c r="E88" s="421"/>
      <c r="F88" s="421"/>
      <c r="G88" s="421"/>
      <c r="H88" s="421"/>
      <c r="I88" s="421"/>
      <c r="J88" s="421"/>
      <c r="K88" s="421"/>
      <c r="L88" s="421"/>
      <c r="M88" s="421"/>
      <c r="N88" s="421"/>
      <c r="O88" s="421"/>
      <c r="P88" s="421"/>
      <c r="Q88" s="421"/>
      <c r="R88" s="421"/>
      <c r="S88" s="421"/>
      <c r="T88" s="421"/>
      <c r="U88" s="421"/>
      <c r="V88" s="421"/>
      <c r="W88" s="421"/>
      <c r="X88" s="421"/>
      <c r="Y88" s="421"/>
      <c r="Z88" s="421"/>
      <c r="AA88" s="421"/>
      <c r="AB88" s="421"/>
      <c r="AC88" s="346"/>
    </row>
    <row r="89" spans="1:29" ht="12.75">
      <c r="A89" s="421"/>
      <c r="B89" s="421"/>
      <c r="C89" s="421"/>
      <c r="D89" s="421"/>
      <c r="E89" s="421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1"/>
      <c r="R89" s="421"/>
      <c r="S89" s="421"/>
      <c r="T89" s="421"/>
      <c r="U89" s="421"/>
      <c r="V89" s="421"/>
      <c r="W89" s="421"/>
      <c r="X89" s="421"/>
      <c r="Y89" s="421"/>
      <c r="Z89" s="421"/>
      <c r="AA89" s="421"/>
      <c r="AB89" s="421"/>
      <c r="AC89" s="346"/>
    </row>
    <row r="90" spans="1:3" ht="12.75">
      <c r="A90" s="421"/>
      <c r="B90" s="421"/>
      <c r="C90" s="421"/>
    </row>
  </sheetData>
  <sheetProtection/>
  <mergeCells count="187">
    <mergeCell ref="G61:I61"/>
    <mergeCell ref="G18:I18"/>
    <mergeCell ref="L31:O31"/>
    <mergeCell ref="R21:U21"/>
    <mergeCell ref="L53:O53"/>
    <mergeCell ref="R61:U61"/>
    <mergeCell ref="Q61:Q62"/>
    <mergeCell ref="G28:I28"/>
    <mergeCell ref="K29:K32"/>
    <mergeCell ref="L22:O22"/>
    <mergeCell ref="W23:W26"/>
    <mergeCell ref="R23:U23"/>
    <mergeCell ref="G26:I26"/>
    <mergeCell ref="L32:O32"/>
    <mergeCell ref="W29:W32"/>
    <mergeCell ref="G27:I27"/>
    <mergeCell ref="Q27:Q28"/>
    <mergeCell ref="R32:U32"/>
    <mergeCell ref="Q29:Q32"/>
    <mergeCell ref="K27:K28"/>
    <mergeCell ref="L13:O13"/>
    <mergeCell ref="L15:O15"/>
    <mergeCell ref="L16:O16"/>
    <mergeCell ref="L14:O14"/>
    <mergeCell ref="R37:U37"/>
    <mergeCell ref="L34:O34"/>
    <mergeCell ref="R22:U22"/>
    <mergeCell ref="Q23:Q26"/>
    <mergeCell ref="R28:U28"/>
    <mergeCell ref="L19:O19"/>
    <mergeCell ref="G19:I19"/>
    <mergeCell ref="G13:I13"/>
    <mergeCell ref="R26:U26"/>
    <mergeCell ref="R16:U16"/>
    <mergeCell ref="G11:I11"/>
    <mergeCell ref="G16:I16"/>
    <mergeCell ref="G15:I15"/>
    <mergeCell ref="L26:O26"/>
    <mergeCell ref="G14:I14"/>
    <mergeCell ref="K23:K26"/>
    <mergeCell ref="Q8:Q22"/>
    <mergeCell ref="R13:U13"/>
    <mergeCell ref="R15:U15"/>
    <mergeCell ref="L17:O17"/>
    <mergeCell ref="L20:O20"/>
    <mergeCell ref="L11:O11"/>
    <mergeCell ref="L8:O8"/>
    <mergeCell ref="R11:U11"/>
    <mergeCell ref="R12:U12"/>
    <mergeCell ref="R19:U19"/>
    <mergeCell ref="G9:I9"/>
    <mergeCell ref="R9:U9"/>
    <mergeCell ref="G10:I10"/>
    <mergeCell ref="L12:O12"/>
    <mergeCell ref="A6:C7"/>
    <mergeCell ref="L6:Q7"/>
    <mergeCell ref="R6:W7"/>
    <mergeCell ref="D6:F6"/>
    <mergeCell ref="G6:K7"/>
    <mergeCell ref="G8:I8"/>
    <mergeCell ref="A3:AC3"/>
    <mergeCell ref="S38:V38"/>
    <mergeCell ref="R14:U14"/>
    <mergeCell ref="R18:U18"/>
    <mergeCell ref="R29:U29"/>
    <mergeCell ref="T1:AB1"/>
    <mergeCell ref="X6:Z6"/>
    <mergeCell ref="AA6:AC6"/>
    <mergeCell ref="R8:U8"/>
    <mergeCell ref="R20:U20"/>
    <mergeCell ref="L9:O9"/>
    <mergeCell ref="L10:O10"/>
    <mergeCell ref="G12:I12"/>
    <mergeCell ref="AA39:AC39"/>
    <mergeCell ref="R39:W40"/>
    <mergeCell ref="X39:Z39"/>
    <mergeCell ref="W8:W22"/>
    <mergeCell ref="R17:U17"/>
    <mergeCell ref="R10:U10"/>
    <mergeCell ref="R25:U25"/>
    <mergeCell ref="A38:C38"/>
    <mergeCell ref="H38:J38"/>
    <mergeCell ref="L37:O37"/>
    <mergeCell ref="G42:I42"/>
    <mergeCell ref="G17:I17"/>
    <mergeCell ref="G23:I23"/>
    <mergeCell ref="A32:C32"/>
    <mergeCell ref="L27:O27"/>
    <mergeCell ref="K8:K22"/>
    <mergeCell ref="L23:O23"/>
    <mergeCell ref="B28:C28"/>
    <mergeCell ref="L18:O18"/>
    <mergeCell ref="W41:W46"/>
    <mergeCell ref="R44:U44"/>
    <mergeCell ref="R46:U46"/>
    <mergeCell ref="M38:P38"/>
    <mergeCell ref="R41:U41"/>
    <mergeCell ref="B43:C43"/>
    <mergeCell ref="G45:I45"/>
    <mergeCell ref="A37:C37"/>
    <mergeCell ref="A39:C40"/>
    <mergeCell ref="D39:F39"/>
    <mergeCell ref="G39:K40"/>
    <mergeCell ref="L41:O42"/>
    <mergeCell ref="L39:Q40"/>
    <mergeCell ref="K41:K46"/>
    <mergeCell ref="Q41:Q46"/>
    <mergeCell ref="P41:P42"/>
    <mergeCell ref="G41:I41"/>
    <mergeCell ref="G44:I44"/>
    <mergeCell ref="AA49:AC49"/>
    <mergeCell ref="L52:O52"/>
    <mergeCell ref="Q52:Q60"/>
    <mergeCell ref="R55:U55"/>
    <mergeCell ref="G51:I51"/>
    <mergeCell ref="X49:Z49"/>
    <mergeCell ref="L51:O51"/>
    <mergeCell ref="R51:U51"/>
    <mergeCell ref="R52:U52"/>
    <mergeCell ref="G59:I59"/>
    <mergeCell ref="G58:I58"/>
    <mergeCell ref="A47:C47"/>
    <mergeCell ref="H47:J47"/>
    <mergeCell ref="A60:C60"/>
    <mergeCell ref="G52:I52"/>
    <mergeCell ref="G56:I56"/>
    <mergeCell ref="G55:I55"/>
    <mergeCell ref="G57:I57"/>
    <mergeCell ref="M47:P47"/>
    <mergeCell ref="G53:I53"/>
    <mergeCell ref="L49:Q50"/>
    <mergeCell ref="AA67:AC67"/>
    <mergeCell ref="A64:C64"/>
    <mergeCell ref="W67:Y67"/>
    <mergeCell ref="A65:C65"/>
    <mergeCell ref="A55:C55"/>
    <mergeCell ref="D49:F49"/>
    <mergeCell ref="G49:K50"/>
    <mergeCell ref="S68:V68"/>
    <mergeCell ref="K61:K63"/>
    <mergeCell ref="S64:V64"/>
    <mergeCell ref="L63:O63"/>
    <mergeCell ref="A49:C50"/>
    <mergeCell ref="A62:C62"/>
    <mergeCell ref="G54:I54"/>
    <mergeCell ref="L61:O61"/>
    <mergeCell ref="L62:O62"/>
    <mergeCell ref="D67:F67"/>
    <mergeCell ref="R62:U62"/>
    <mergeCell ref="R60:U60"/>
    <mergeCell ref="S65:V65"/>
    <mergeCell ref="A66:C66"/>
    <mergeCell ref="H65:J65"/>
    <mergeCell ref="M65:P65"/>
    <mergeCell ref="H64:J64"/>
    <mergeCell ref="M64:P64"/>
    <mergeCell ref="K51:K60"/>
    <mergeCell ref="G60:I60"/>
    <mergeCell ref="V69:W69"/>
    <mergeCell ref="S47:V47"/>
    <mergeCell ref="R49:W50"/>
    <mergeCell ref="R42:U42"/>
    <mergeCell ref="R43:U43"/>
    <mergeCell ref="L43:O43"/>
    <mergeCell ref="R53:U53"/>
    <mergeCell ref="R45:U45"/>
    <mergeCell ref="R56:U56"/>
    <mergeCell ref="W52:W60"/>
    <mergeCell ref="L29:O29"/>
    <mergeCell ref="R33:U33"/>
    <mergeCell ref="L36:O36"/>
    <mergeCell ref="G37:I37"/>
    <mergeCell ref="L25:O25"/>
    <mergeCell ref="L33:O33"/>
    <mergeCell ref="K33:K37"/>
    <mergeCell ref="Q33:Q37"/>
    <mergeCell ref="L28:O28"/>
    <mergeCell ref="R54:U54"/>
    <mergeCell ref="L24:O24"/>
    <mergeCell ref="R24:U24"/>
    <mergeCell ref="L44:O44"/>
    <mergeCell ref="R27:U27"/>
    <mergeCell ref="W27:W28"/>
    <mergeCell ref="W33:W37"/>
    <mergeCell ref="L35:O35"/>
    <mergeCell ref="L30:O30"/>
    <mergeCell ref="R30:U30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82"/>
  <sheetViews>
    <sheetView zoomScalePageLayoutView="0" workbookViewId="0" topLeftCell="A1">
      <selection activeCell="A4" sqref="A4:M82"/>
    </sheetView>
  </sheetViews>
  <sheetFormatPr defaultColWidth="9.00390625" defaultRowHeight="12.75"/>
  <cols>
    <col min="1" max="1" width="32.375" style="0" customWidth="1"/>
  </cols>
  <sheetData>
    <row r="1" spans="8:13" ht="15">
      <c r="H1" s="718"/>
      <c r="I1" s="718"/>
      <c r="J1" s="718"/>
      <c r="K1" s="718"/>
      <c r="L1" s="718"/>
      <c r="M1" s="4" t="s">
        <v>1068</v>
      </c>
    </row>
    <row r="2" spans="8:13" ht="12.75">
      <c r="H2" s="718"/>
      <c r="I2" s="718"/>
      <c r="J2" s="718"/>
      <c r="K2" s="718"/>
      <c r="L2" s="718"/>
      <c r="M2" s="1"/>
    </row>
    <row r="3" spans="8:13" ht="12.75">
      <c r="H3" s="718"/>
      <c r="I3" s="718"/>
      <c r="J3" s="718"/>
      <c r="K3" s="718"/>
      <c r="L3" s="718"/>
      <c r="M3" s="1"/>
    </row>
    <row r="4" spans="1:13" ht="12.75">
      <c r="A4" s="1034" t="s">
        <v>989</v>
      </c>
      <c r="B4" s="1034"/>
      <c r="C4" s="1034"/>
      <c r="D4" s="1034"/>
      <c r="E4" s="1034"/>
      <c r="F4" s="1034"/>
      <c r="G4" s="1034"/>
      <c r="H4" s="1034"/>
      <c r="I4" s="1034"/>
      <c r="J4" s="1034"/>
      <c r="K4" s="1034"/>
      <c r="L4" s="1034"/>
      <c r="M4" s="1034"/>
    </row>
    <row r="5" spans="1:13" ht="12.75">
      <c r="A5" s="1034" t="s">
        <v>462</v>
      </c>
      <c r="B5" s="1034"/>
      <c r="C5" s="1034"/>
      <c r="D5" s="1034"/>
      <c r="E5" s="1034"/>
      <c r="F5" s="1034"/>
      <c r="G5" s="1034"/>
      <c r="H5" s="1034"/>
      <c r="I5" s="1034"/>
      <c r="J5" s="1034"/>
      <c r="K5" s="1034"/>
      <c r="L5" s="1034"/>
      <c r="M5" s="1034"/>
    </row>
    <row r="6" spans="1:13" ht="12.75">
      <c r="A6" s="1034"/>
      <c r="B6" s="1034"/>
      <c r="C6" s="1034"/>
      <c r="D6" s="1034"/>
      <c r="E6" s="1034"/>
      <c r="F6" s="1034"/>
      <c r="G6" s="1034"/>
      <c r="H6" s="1034"/>
      <c r="I6" s="1034"/>
      <c r="J6" s="1034"/>
      <c r="K6" s="1034"/>
      <c r="L6" s="1034"/>
      <c r="M6" s="1034"/>
    </row>
    <row r="7" spans="1:13" ht="12.75">
      <c r="A7" s="719" t="s">
        <v>375</v>
      </c>
      <c r="B7" s="720" t="s">
        <v>990</v>
      </c>
      <c r="C7" s="720" t="s">
        <v>991</v>
      </c>
      <c r="D7" s="720" t="s">
        <v>992</v>
      </c>
      <c r="E7" s="720" t="s">
        <v>993</v>
      </c>
      <c r="F7" s="720" t="s">
        <v>994</v>
      </c>
      <c r="G7" s="720" t="s">
        <v>995</v>
      </c>
      <c r="H7" s="720" t="s">
        <v>996</v>
      </c>
      <c r="I7" s="720" t="s">
        <v>997</v>
      </c>
      <c r="J7" s="720" t="s">
        <v>998</v>
      </c>
      <c r="K7" s="720" t="s">
        <v>999</v>
      </c>
      <c r="L7" s="720" t="s">
        <v>1000</v>
      </c>
      <c r="M7" s="720" t="s">
        <v>1001</v>
      </c>
    </row>
    <row r="8" spans="1:13" ht="12.75">
      <c r="A8" s="721" t="s">
        <v>917</v>
      </c>
      <c r="B8" s="722"/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722"/>
    </row>
    <row r="9" spans="1:13" ht="25.5">
      <c r="A9" s="723" t="s">
        <v>1002</v>
      </c>
      <c r="B9" s="724"/>
      <c r="C9" s="724"/>
      <c r="D9" s="724"/>
      <c r="E9" s="724"/>
      <c r="F9" s="724"/>
      <c r="G9" s="724"/>
      <c r="H9" s="724"/>
      <c r="I9" s="724"/>
      <c r="J9" s="724"/>
      <c r="K9" s="724"/>
      <c r="L9" s="724"/>
      <c r="M9" s="724"/>
    </row>
    <row r="10" spans="1:13" ht="12.75">
      <c r="A10" s="725" t="s">
        <v>1003</v>
      </c>
      <c r="B10" s="726">
        <v>1</v>
      </c>
      <c r="C10" s="726">
        <v>1</v>
      </c>
      <c r="D10" s="726">
        <v>1</v>
      </c>
      <c r="E10" s="726">
        <v>1</v>
      </c>
      <c r="F10" s="726">
        <v>1</v>
      </c>
      <c r="G10" s="726">
        <v>1</v>
      </c>
      <c r="H10" s="726">
        <v>1</v>
      </c>
      <c r="I10" s="726">
        <v>1</v>
      </c>
      <c r="J10" s="726">
        <v>1</v>
      </c>
      <c r="K10" s="726">
        <v>1</v>
      </c>
      <c r="L10" s="726">
        <v>1</v>
      </c>
      <c r="M10" s="726">
        <v>1</v>
      </c>
    </row>
    <row r="11" spans="1:13" ht="12.75">
      <c r="A11" s="725" t="s">
        <v>1004</v>
      </c>
      <c r="B11" s="726">
        <v>16</v>
      </c>
      <c r="C11" s="726">
        <v>16</v>
      </c>
      <c r="D11" s="726">
        <v>16</v>
      </c>
      <c r="E11" s="726">
        <v>16</v>
      </c>
      <c r="F11" s="726">
        <v>16</v>
      </c>
      <c r="G11" s="726">
        <v>16</v>
      </c>
      <c r="H11" s="726">
        <v>16</v>
      </c>
      <c r="I11" s="726">
        <v>16</v>
      </c>
      <c r="J11" s="726">
        <v>17</v>
      </c>
      <c r="K11" s="726">
        <v>17</v>
      </c>
      <c r="L11" s="726">
        <v>17</v>
      </c>
      <c r="M11" s="726">
        <v>17</v>
      </c>
    </row>
    <row r="12" spans="1:13" ht="12.75">
      <c r="A12" s="725" t="s">
        <v>1005</v>
      </c>
      <c r="B12" s="726">
        <v>4</v>
      </c>
      <c r="C12" s="726">
        <v>4</v>
      </c>
      <c r="D12" s="726">
        <v>4</v>
      </c>
      <c r="E12" s="726">
        <v>4</v>
      </c>
      <c r="F12" s="726">
        <v>3</v>
      </c>
      <c r="G12" s="726">
        <v>3</v>
      </c>
      <c r="H12" s="726">
        <v>3</v>
      </c>
      <c r="I12" s="726">
        <v>3</v>
      </c>
      <c r="J12" s="726">
        <v>2</v>
      </c>
      <c r="K12" s="726">
        <v>2</v>
      </c>
      <c r="L12" s="726">
        <v>2</v>
      </c>
      <c r="M12" s="726">
        <v>2</v>
      </c>
    </row>
    <row r="13" spans="1:13" ht="12.75">
      <c r="A13" s="727" t="s">
        <v>1006</v>
      </c>
      <c r="B13" s="726">
        <v>9</v>
      </c>
      <c r="C13" s="726">
        <v>9</v>
      </c>
      <c r="D13" s="726">
        <v>9</v>
      </c>
      <c r="E13" s="726">
        <v>9</v>
      </c>
      <c r="F13" s="726">
        <v>9</v>
      </c>
      <c r="G13" s="726">
        <v>9</v>
      </c>
      <c r="H13" s="726">
        <v>9</v>
      </c>
      <c r="I13" s="726">
        <v>9</v>
      </c>
      <c r="J13" s="726">
        <v>8</v>
      </c>
      <c r="K13" s="726">
        <v>8</v>
      </c>
      <c r="L13" s="726">
        <v>8</v>
      </c>
      <c r="M13" s="726">
        <v>8</v>
      </c>
    </row>
    <row r="14" spans="1:13" ht="12.75">
      <c r="A14" s="725" t="s">
        <v>1007</v>
      </c>
      <c r="B14" s="726">
        <v>1</v>
      </c>
      <c r="C14" s="726">
        <v>1</v>
      </c>
      <c r="D14" s="726">
        <v>1</v>
      </c>
      <c r="E14" s="726">
        <v>1</v>
      </c>
      <c r="F14" s="726">
        <v>1</v>
      </c>
      <c r="G14" s="726">
        <v>1</v>
      </c>
      <c r="H14" s="726">
        <v>1</v>
      </c>
      <c r="I14" s="726">
        <v>1</v>
      </c>
      <c r="J14" s="726">
        <v>1</v>
      </c>
      <c r="K14" s="726">
        <v>1</v>
      </c>
      <c r="L14" s="726">
        <v>1</v>
      </c>
      <c r="M14" s="726">
        <v>1</v>
      </c>
    </row>
    <row r="15" spans="1:13" ht="12.75">
      <c r="A15" s="725" t="s">
        <v>1008</v>
      </c>
      <c r="B15" s="726">
        <v>1</v>
      </c>
      <c r="C15" s="726">
        <v>1</v>
      </c>
      <c r="D15" s="726">
        <v>1</v>
      </c>
      <c r="E15" s="726">
        <v>1</v>
      </c>
      <c r="F15" s="726">
        <v>1</v>
      </c>
      <c r="G15" s="726">
        <v>1</v>
      </c>
      <c r="H15" s="726">
        <v>1</v>
      </c>
      <c r="I15" s="726">
        <v>1</v>
      </c>
      <c r="J15" s="726">
        <v>1</v>
      </c>
      <c r="K15" s="726">
        <v>1</v>
      </c>
      <c r="L15" s="726">
        <v>1</v>
      </c>
      <c r="M15" s="726">
        <v>1</v>
      </c>
    </row>
    <row r="16" spans="1:13" ht="12.75">
      <c r="A16" s="723" t="s">
        <v>1009</v>
      </c>
      <c r="B16" s="724"/>
      <c r="C16" s="724"/>
      <c r="D16" s="724"/>
      <c r="E16" s="724"/>
      <c r="F16" s="724"/>
      <c r="G16" s="724"/>
      <c r="H16" s="724"/>
      <c r="I16" s="724"/>
      <c r="J16" s="724"/>
      <c r="K16" s="724"/>
      <c r="L16" s="724"/>
      <c r="M16" s="724"/>
    </row>
    <row r="17" spans="1:13" ht="12.75">
      <c r="A17" s="725" t="s">
        <v>1010</v>
      </c>
      <c r="B17" s="726">
        <v>2</v>
      </c>
      <c r="C17" s="726">
        <v>2</v>
      </c>
      <c r="D17" s="726">
        <v>2</v>
      </c>
      <c r="E17" s="726">
        <v>2</v>
      </c>
      <c r="F17" s="726">
        <v>2</v>
      </c>
      <c r="G17" s="726">
        <v>2</v>
      </c>
      <c r="H17" s="726">
        <v>2</v>
      </c>
      <c r="I17" s="726">
        <v>2</v>
      </c>
      <c r="J17" s="726">
        <v>2</v>
      </c>
      <c r="K17" s="726">
        <v>2</v>
      </c>
      <c r="L17" s="726">
        <v>2</v>
      </c>
      <c r="M17" s="726">
        <v>2</v>
      </c>
    </row>
    <row r="18" spans="1:13" ht="12.75">
      <c r="A18" s="725" t="s">
        <v>1011</v>
      </c>
      <c r="B18" s="726">
        <v>1</v>
      </c>
      <c r="C18" s="726">
        <v>1</v>
      </c>
      <c r="D18" s="726">
        <v>1</v>
      </c>
      <c r="E18" s="726">
        <v>1</v>
      </c>
      <c r="F18" s="726">
        <v>1</v>
      </c>
      <c r="G18" s="726">
        <v>1</v>
      </c>
      <c r="H18" s="726">
        <v>1</v>
      </c>
      <c r="I18" s="726">
        <v>1</v>
      </c>
      <c r="J18" s="726">
        <v>1</v>
      </c>
      <c r="K18" s="726">
        <v>1</v>
      </c>
      <c r="L18" s="726">
        <v>1</v>
      </c>
      <c r="M18" s="726">
        <v>1</v>
      </c>
    </row>
    <row r="19" spans="1:13" ht="25.5">
      <c r="A19" s="728" t="s">
        <v>1012</v>
      </c>
      <c r="B19" s="724"/>
      <c r="C19" s="724"/>
      <c r="D19" s="724"/>
      <c r="E19" s="724"/>
      <c r="F19" s="724"/>
      <c r="G19" s="724"/>
      <c r="H19" s="724"/>
      <c r="I19" s="724"/>
      <c r="J19" s="724"/>
      <c r="K19" s="724"/>
      <c r="L19" s="724"/>
      <c r="M19" s="724"/>
    </row>
    <row r="20" spans="1:13" ht="12.75">
      <c r="A20" s="725" t="s">
        <v>1010</v>
      </c>
      <c r="B20" s="726">
        <v>1</v>
      </c>
      <c r="C20" s="726">
        <v>1</v>
      </c>
      <c r="D20" s="726">
        <v>1</v>
      </c>
      <c r="E20" s="726">
        <v>1</v>
      </c>
      <c r="F20" s="726">
        <v>1</v>
      </c>
      <c r="G20" s="726">
        <v>1</v>
      </c>
      <c r="H20" s="726">
        <v>1</v>
      </c>
      <c r="I20" s="726">
        <v>1</v>
      </c>
      <c r="J20" s="726">
        <v>0</v>
      </c>
      <c r="K20" s="726">
        <v>0</v>
      </c>
      <c r="L20" s="726">
        <v>0</v>
      </c>
      <c r="M20" s="726">
        <v>0</v>
      </c>
    </row>
    <row r="21" spans="1:13" ht="12.75">
      <c r="A21" s="725" t="s">
        <v>1013</v>
      </c>
      <c r="B21" s="726">
        <v>1</v>
      </c>
      <c r="C21" s="726">
        <v>1</v>
      </c>
      <c r="D21" s="726">
        <v>1</v>
      </c>
      <c r="E21" s="726">
        <v>1</v>
      </c>
      <c r="F21" s="726">
        <v>1</v>
      </c>
      <c r="G21" s="726">
        <v>1</v>
      </c>
      <c r="H21" s="726">
        <v>1</v>
      </c>
      <c r="I21" s="726">
        <v>1</v>
      </c>
      <c r="J21" s="726">
        <v>0</v>
      </c>
      <c r="K21" s="726">
        <v>0</v>
      </c>
      <c r="L21" s="726">
        <v>0</v>
      </c>
      <c r="M21" s="726">
        <v>0</v>
      </c>
    </row>
    <row r="22" spans="1:13" ht="12.75">
      <c r="A22" s="725" t="s">
        <v>1014</v>
      </c>
      <c r="B22" s="726">
        <v>1</v>
      </c>
      <c r="C22" s="726">
        <v>1</v>
      </c>
      <c r="D22" s="726">
        <v>1</v>
      </c>
      <c r="E22" s="726">
        <v>1</v>
      </c>
      <c r="F22" s="726">
        <v>1</v>
      </c>
      <c r="G22" s="726">
        <v>1</v>
      </c>
      <c r="H22" s="726">
        <v>1</v>
      </c>
      <c r="I22" s="726">
        <v>1</v>
      </c>
      <c r="J22" s="726">
        <v>0</v>
      </c>
      <c r="K22" s="726">
        <v>0</v>
      </c>
      <c r="L22" s="726">
        <v>0</v>
      </c>
      <c r="M22" s="726">
        <v>0</v>
      </c>
    </row>
    <row r="23" spans="1:13" ht="38.25">
      <c r="A23" s="728" t="s">
        <v>1015</v>
      </c>
      <c r="B23" s="724"/>
      <c r="C23" s="724"/>
      <c r="D23" s="724"/>
      <c r="E23" s="724"/>
      <c r="F23" s="724"/>
      <c r="G23" s="724"/>
      <c r="H23" s="724"/>
      <c r="I23" s="724"/>
      <c r="J23" s="724"/>
      <c r="K23" s="724"/>
      <c r="L23" s="724"/>
      <c r="M23" s="724"/>
    </row>
    <row r="24" spans="1:13" ht="12.75">
      <c r="A24" s="725" t="s">
        <v>1013</v>
      </c>
      <c r="B24" s="726">
        <v>0</v>
      </c>
      <c r="C24" s="726">
        <v>0</v>
      </c>
      <c r="D24" s="726">
        <v>0</v>
      </c>
      <c r="E24" s="726">
        <v>0</v>
      </c>
      <c r="F24" s="726">
        <v>0</v>
      </c>
      <c r="G24" s="726">
        <v>0</v>
      </c>
      <c r="H24" s="726">
        <v>0</v>
      </c>
      <c r="I24" s="726">
        <v>0</v>
      </c>
      <c r="J24" s="726">
        <v>2</v>
      </c>
      <c r="K24" s="726">
        <v>2</v>
      </c>
      <c r="L24" s="726">
        <v>2</v>
      </c>
      <c r="M24" s="726">
        <v>2</v>
      </c>
    </row>
    <row r="25" spans="1:13" ht="12.75">
      <c r="A25" s="725" t="s">
        <v>1014</v>
      </c>
      <c r="B25" s="726">
        <v>0</v>
      </c>
      <c r="C25" s="726">
        <v>0</v>
      </c>
      <c r="D25" s="726">
        <v>0</v>
      </c>
      <c r="E25" s="726">
        <v>0</v>
      </c>
      <c r="F25" s="726">
        <v>0</v>
      </c>
      <c r="G25" s="726">
        <v>0</v>
      </c>
      <c r="H25" s="726">
        <v>0</v>
      </c>
      <c r="I25" s="726">
        <v>0</v>
      </c>
      <c r="J25" s="726">
        <v>1</v>
      </c>
      <c r="K25" s="726">
        <v>1</v>
      </c>
      <c r="L25" s="726">
        <v>1</v>
      </c>
      <c r="M25" s="726">
        <v>1</v>
      </c>
    </row>
    <row r="26" spans="1:13" ht="12.75">
      <c r="A26" s="723" t="s">
        <v>624</v>
      </c>
      <c r="B26" s="724"/>
      <c r="C26" s="724"/>
      <c r="D26" s="724"/>
      <c r="E26" s="724"/>
      <c r="F26" s="724"/>
      <c r="G26" s="724"/>
      <c r="H26" s="724"/>
      <c r="I26" s="724"/>
      <c r="J26" s="724"/>
      <c r="K26" s="724"/>
      <c r="L26" s="724"/>
      <c r="M26" s="724"/>
    </row>
    <row r="27" spans="1:13" ht="12.75">
      <c r="A27" s="725" t="s">
        <v>1016</v>
      </c>
      <c r="B27" s="726">
        <v>1</v>
      </c>
      <c r="C27" s="726">
        <v>1</v>
      </c>
      <c r="D27" s="726">
        <v>1</v>
      </c>
      <c r="E27" s="726">
        <v>1</v>
      </c>
      <c r="F27" s="726">
        <v>1</v>
      </c>
      <c r="G27" s="726">
        <v>1</v>
      </c>
      <c r="H27" s="726">
        <v>1</v>
      </c>
      <c r="I27" s="726">
        <v>1</v>
      </c>
      <c r="J27" s="726">
        <v>1</v>
      </c>
      <c r="K27" s="726">
        <v>1</v>
      </c>
      <c r="L27" s="726">
        <v>1</v>
      </c>
      <c r="M27" s="726">
        <v>1</v>
      </c>
    </row>
    <row r="28" spans="1:13" ht="12.75">
      <c r="A28" s="725" t="s">
        <v>1017</v>
      </c>
      <c r="B28" s="726">
        <v>4</v>
      </c>
      <c r="C28" s="726">
        <v>4</v>
      </c>
      <c r="D28" s="726">
        <v>4</v>
      </c>
      <c r="E28" s="726">
        <v>4</v>
      </c>
      <c r="F28" s="726">
        <v>4</v>
      </c>
      <c r="G28" s="726">
        <v>4</v>
      </c>
      <c r="H28" s="726">
        <v>4</v>
      </c>
      <c r="I28" s="726">
        <v>4</v>
      </c>
      <c r="J28" s="726">
        <v>4</v>
      </c>
      <c r="K28" s="726">
        <v>4</v>
      </c>
      <c r="L28" s="726">
        <v>4</v>
      </c>
      <c r="M28" s="726">
        <v>4</v>
      </c>
    </row>
    <row r="29" spans="1:13" ht="12.75">
      <c r="A29" s="723" t="s">
        <v>1018</v>
      </c>
      <c r="B29" s="724"/>
      <c r="C29" s="724"/>
      <c r="D29" s="724"/>
      <c r="E29" s="724"/>
      <c r="F29" s="724"/>
      <c r="G29" s="724"/>
      <c r="H29" s="724"/>
      <c r="I29" s="724"/>
      <c r="J29" s="724"/>
      <c r="K29" s="724"/>
      <c r="L29" s="724"/>
      <c r="M29" s="724"/>
    </row>
    <row r="30" spans="1:13" ht="12.75">
      <c r="A30" s="725" t="s">
        <v>1016</v>
      </c>
      <c r="B30" s="726">
        <v>1</v>
      </c>
      <c r="C30" s="726">
        <v>1</v>
      </c>
      <c r="D30" s="726">
        <v>1</v>
      </c>
      <c r="E30" s="726">
        <v>1</v>
      </c>
      <c r="F30" s="726">
        <v>1</v>
      </c>
      <c r="G30" s="726">
        <v>1</v>
      </c>
      <c r="H30" s="726">
        <v>1</v>
      </c>
      <c r="I30" s="726">
        <v>1</v>
      </c>
      <c r="J30" s="726">
        <v>1</v>
      </c>
      <c r="K30" s="726">
        <v>1</v>
      </c>
      <c r="L30" s="726">
        <v>1</v>
      </c>
      <c r="M30" s="726">
        <v>1</v>
      </c>
    </row>
    <row r="31" spans="1:13" ht="12.75">
      <c r="A31" s="725" t="s">
        <v>1019</v>
      </c>
      <c r="B31" s="726">
        <v>5</v>
      </c>
      <c r="C31" s="726">
        <v>5</v>
      </c>
      <c r="D31" s="726">
        <v>5</v>
      </c>
      <c r="E31" s="726">
        <v>5</v>
      </c>
      <c r="F31" s="726">
        <v>5</v>
      </c>
      <c r="G31" s="726">
        <v>5</v>
      </c>
      <c r="H31" s="726">
        <v>5</v>
      </c>
      <c r="I31" s="726">
        <v>5</v>
      </c>
      <c r="J31" s="726">
        <v>4</v>
      </c>
      <c r="K31" s="726">
        <v>4</v>
      </c>
      <c r="L31" s="726">
        <v>4</v>
      </c>
      <c r="M31" s="726">
        <v>4</v>
      </c>
    </row>
    <row r="32" spans="1:13" ht="12.75">
      <c r="A32" s="723" t="s">
        <v>1020</v>
      </c>
      <c r="B32" s="724"/>
      <c r="C32" s="724"/>
      <c r="D32" s="724"/>
      <c r="E32" s="724"/>
      <c r="F32" s="724"/>
      <c r="G32" s="724"/>
      <c r="H32" s="724"/>
      <c r="I32" s="724"/>
      <c r="J32" s="724"/>
      <c r="K32" s="724"/>
      <c r="L32" s="724"/>
      <c r="M32" s="724"/>
    </row>
    <row r="33" spans="1:13" ht="12.75">
      <c r="A33" s="725" t="s">
        <v>1021</v>
      </c>
      <c r="B33" s="726">
        <v>1</v>
      </c>
      <c r="C33" s="726">
        <v>1</v>
      </c>
      <c r="D33" s="726">
        <v>1</v>
      </c>
      <c r="E33" s="726">
        <v>1</v>
      </c>
      <c r="F33" s="726">
        <v>1</v>
      </c>
      <c r="G33" s="726">
        <v>1</v>
      </c>
      <c r="H33" s="726">
        <v>1</v>
      </c>
      <c r="I33" s="726">
        <v>1</v>
      </c>
      <c r="J33" s="726">
        <v>1</v>
      </c>
      <c r="K33" s="726">
        <v>1</v>
      </c>
      <c r="L33" s="726">
        <v>1</v>
      </c>
      <c r="M33" s="726">
        <v>1</v>
      </c>
    </row>
    <row r="34" spans="1:13" ht="12.75">
      <c r="A34" s="725" t="s">
        <v>1022</v>
      </c>
      <c r="B34" s="726">
        <v>1</v>
      </c>
      <c r="C34" s="726">
        <v>1</v>
      </c>
      <c r="D34" s="726">
        <v>1</v>
      </c>
      <c r="E34" s="726">
        <v>1</v>
      </c>
      <c r="F34" s="726">
        <v>1</v>
      </c>
      <c r="G34" s="726">
        <v>1</v>
      </c>
      <c r="H34" s="726">
        <v>1</v>
      </c>
      <c r="I34" s="726">
        <v>1</v>
      </c>
      <c r="J34" s="726">
        <v>1</v>
      </c>
      <c r="K34" s="726">
        <v>1</v>
      </c>
      <c r="L34" s="726">
        <v>1</v>
      </c>
      <c r="M34" s="726">
        <v>1</v>
      </c>
    </row>
    <row r="35" spans="1:13" ht="12.75">
      <c r="A35" s="725" t="s">
        <v>1023</v>
      </c>
      <c r="B35" s="726">
        <v>0.5</v>
      </c>
      <c r="C35" s="726">
        <v>0.5</v>
      </c>
      <c r="D35" s="726">
        <v>0.5</v>
      </c>
      <c r="E35" s="726">
        <v>0.5</v>
      </c>
      <c r="F35" s="726">
        <v>0.5</v>
      </c>
      <c r="G35" s="726">
        <v>0.5</v>
      </c>
      <c r="H35" s="726">
        <v>0.5</v>
      </c>
      <c r="I35" s="726">
        <v>0.5</v>
      </c>
      <c r="J35" s="726">
        <v>0.5</v>
      </c>
      <c r="K35" s="726">
        <v>0.5</v>
      </c>
      <c r="L35" s="726">
        <v>0.5</v>
      </c>
      <c r="M35" s="726">
        <v>0.5</v>
      </c>
    </row>
    <row r="36" spans="1:13" ht="38.25">
      <c r="A36" s="729" t="s">
        <v>918</v>
      </c>
      <c r="B36" s="730">
        <f aca="true" t="shared" si="0" ref="B36:M36">SUM(B10:B35)</f>
        <v>51.5</v>
      </c>
      <c r="C36" s="730">
        <f t="shared" si="0"/>
        <v>51.5</v>
      </c>
      <c r="D36" s="730">
        <f t="shared" si="0"/>
        <v>51.5</v>
      </c>
      <c r="E36" s="730">
        <f t="shared" si="0"/>
        <v>51.5</v>
      </c>
      <c r="F36" s="730">
        <f t="shared" si="0"/>
        <v>50.5</v>
      </c>
      <c r="G36" s="730">
        <f t="shared" si="0"/>
        <v>50.5</v>
      </c>
      <c r="H36" s="730">
        <f t="shared" si="0"/>
        <v>50.5</v>
      </c>
      <c r="I36" s="730">
        <f t="shared" si="0"/>
        <v>50.5</v>
      </c>
      <c r="J36" s="730">
        <f t="shared" si="0"/>
        <v>48.5</v>
      </c>
      <c r="K36" s="730">
        <f t="shared" si="0"/>
        <v>48.5</v>
      </c>
      <c r="L36" s="730">
        <f t="shared" si="0"/>
        <v>48.5</v>
      </c>
      <c r="M36" s="730">
        <f t="shared" si="0"/>
        <v>48.5</v>
      </c>
    </row>
    <row r="37" spans="1:13" ht="12.75">
      <c r="A37" s="731"/>
      <c r="B37" s="726"/>
      <c r="C37" s="726"/>
      <c r="D37" s="726"/>
      <c r="E37" s="726"/>
      <c r="F37" s="726"/>
      <c r="G37" s="726"/>
      <c r="H37" s="726"/>
      <c r="I37" s="726"/>
      <c r="J37" s="726"/>
      <c r="K37" s="726"/>
      <c r="L37" s="726"/>
      <c r="M37" s="726"/>
    </row>
    <row r="38" spans="1:13" ht="12.75">
      <c r="A38" s="721" t="s">
        <v>385</v>
      </c>
      <c r="B38" s="722"/>
      <c r="C38" s="722"/>
      <c r="D38" s="722"/>
      <c r="E38" s="722"/>
      <c r="F38" s="722"/>
      <c r="G38" s="722"/>
      <c r="H38" s="722"/>
      <c r="I38" s="722"/>
      <c r="J38" s="722"/>
      <c r="K38" s="722"/>
      <c r="L38" s="722"/>
      <c r="M38" s="722"/>
    </row>
    <row r="39" spans="1:13" ht="12.75">
      <c r="A39" s="725" t="s">
        <v>1024</v>
      </c>
      <c r="B39" s="726">
        <v>23</v>
      </c>
      <c r="C39" s="726">
        <v>23</v>
      </c>
      <c r="D39" s="726">
        <v>23</v>
      </c>
      <c r="E39" s="726">
        <v>23</v>
      </c>
      <c r="F39" s="726">
        <v>23</v>
      </c>
      <c r="G39" s="726">
        <v>23</v>
      </c>
      <c r="H39" s="726">
        <v>23</v>
      </c>
      <c r="I39" s="726">
        <v>23</v>
      </c>
      <c r="J39" s="726">
        <v>23</v>
      </c>
      <c r="K39" s="726">
        <v>23</v>
      </c>
      <c r="L39" s="726">
        <v>23</v>
      </c>
      <c r="M39" s="726">
        <v>23</v>
      </c>
    </row>
    <row r="40" spans="1:13" ht="12.75">
      <c r="A40" s="721" t="s">
        <v>1025</v>
      </c>
      <c r="B40" s="730">
        <f aca="true" t="shared" si="1" ref="B40:M40">SUM(B39:B39)</f>
        <v>23</v>
      </c>
      <c r="C40" s="730">
        <f t="shared" si="1"/>
        <v>23</v>
      </c>
      <c r="D40" s="730">
        <f t="shared" si="1"/>
        <v>23</v>
      </c>
      <c r="E40" s="730">
        <f t="shared" si="1"/>
        <v>23</v>
      </c>
      <c r="F40" s="730">
        <f t="shared" si="1"/>
        <v>23</v>
      </c>
      <c r="G40" s="730">
        <f t="shared" si="1"/>
        <v>23</v>
      </c>
      <c r="H40" s="730">
        <f t="shared" si="1"/>
        <v>23</v>
      </c>
      <c r="I40" s="730">
        <f t="shared" si="1"/>
        <v>23</v>
      </c>
      <c r="J40" s="730">
        <f t="shared" si="1"/>
        <v>23</v>
      </c>
      <c r="K40" s="730">
        <f t="shared" si="1"/>
        <v>23</v>
      </c>
      <c r="L40" s="730">
        <f t="shared" si="1"/>
        <v>23</v>
      </c>
      <c r="M40" s="730">
        <f t="shared" si="1"/>
        <v>23</v>
      </c>
    </row>
    <row r="41" spans="1:13" ht="12.75">
      <c r="A41" s="732"/>
      <c r="B41" s="733"/>
      <c r="C41" s="733"/>
      <c r="D41" s="733"/>
      <c r="E41" s="733"/>
      <c r="F41" s="733"/>
      <c r="G41" s="733"/>
      <c r="H41" s="733"/>
      <c r="I41" s="733"/>
      <c r="J41" s="733"/>
      <c r="K41" s="733"/>
      <c r="L41" s="733"/>
      <c r="M41" s="733"/>
    </row>
    <row r="42" spans="1:13" ht="12.75">
      <c r="A42" s="721" t="s">
        <v>461</v>
      </c>
      <c r="B42" s="722"/>
      <c r="C42" s="722"/>
      <c r="D42" s="722"/>
      <c r="E42" s="722"/>
      <c r="F42" s="722"/>
      <c r="G42" s="722"/>
      <c r="H42" s="722"/>
      <c r="I42" s="722"/>
      <c r="J42" s="722"/>
      <c r="K42" s="722"/>
      <c r="L42" s="722"/>
      <c r="M42" s="722"/>
    </row>
    <row r="43" spans="1:13" ht="12.75">
      <c r="A43" s="725" t="s">
        <v>1026</v>
      </c>
      <c r="B43" s="726">
        <v>1</v>
      </c>
      <c r="C43" s="726">
        <v>1</v>
      </c>
      <c r="D43" s="726">
        <v>1</v>
      </c>
      <c r="E43" s="726">
        <v>1</v>
      </c>
      <c r="F43" s="726">
        <v>1</v>
      </c>
      <c r="G43" s="726">
        <v>1</v>
      </c>
      <c r="H43" s="726">
        <v>1</v>
      </c>
      <c r="I43" s="726">
        <v>1</v>
      </c>
      <c r="J43" s="726">
        <v>1</v>
      </c>
      <c r="K43" s="726">
        <v>1</v>
      </c>
      <c r="L43" s="726">
        <v>1</v>
      </c>
      <c r="M43" s="726">
        <v>1</v>
      </c>
    </row>
    <row r="44" spans="1:13" ht="12.75">
      <c r="A44" s="734" t="s">
        <v>1027</v>
      </c>
      <c r="B44" s="726">
        <v>1</v>
      </c>
      <c r="C44" s="726">
        <v>1</v>
      </c>
      <c r="D44" s="726">
        <v>1</v>
      </c>
      <c r="E44" s="726">
        <v>1</v>
      </c>
      <c r="F44" s="726">
        <v>1</v>
      </c>
      <c r="G44" s="726">
        <v>1</v>
      </c>
      <c r="H44" s="726">
        <v>1</v>
      </c>
      <c r="I44" s="726">
        <v>1</v>
      </c>
      <c r="J44" s="726">
        <v>1</v>
      </c>
      <c r="K44" s="726">
        <v>1</v>
      </c>
      <c r="L44" s="726">
        <v>1</v>
      </c>
      <c r="M44" s="726">
        <v>1</v>
      </c>
    </row>
    <row r="45" spans="1:13" ht="12.75">
      <c r="A45" s="734" t="s">
        <v>1028</v>
      </c>
      <c r="B45" s="726">
        <v>0</v>
      </c>
      <c r="C45" s="726">
        <v>0</v>
      </c>
      <c r="D45" s="726">
        <v>0</v>
      </c>
      <c r="E45" s="726">
        <v>1</v>
      </c>
      <c r="F45" s="726">
        <v>1</v>
      </c>
      <c r="G45" s="726">
        <v>1</v>
      </c>
      <c r="H45" s="726">
        <v>1</v>
      </c>
      <c r="I45" s="726">
        <v>1</v>
      </c>
      <c r="J45" s="726">
        <v>1</v>
      </c>
      <c r="K45" s="726">
        <v>1</v>
      </c>
      <c r="L45" s="726">
        <v>1</v>
      </c>
      <c r="M45" s="726">
        <v>1</v>
      </c>
    </row>
    <row r="46" spans="1:13" ht="12.75">
      <c r="A46" s="723" t="s">
        <v>1029</v>
      </c>
      <c r="B46" s="724"/>
      <c r="C46" s="724"/>
      <c r="D46" s="724"/>
      <c r="E46" s="724"/>
      <c r="F46" s="724"/>
      <c r="G46" s="724"/>
      <c r="H46" s="724"/>
      <c r="I46" s="724"/>
      <c r="J46" s="724"/>
      <c r="K46" s="724"/>
      <c r="L46" s="724"/>
      <c r="M46" s="724"/>
    </row>
    <row r="47" spans="1:13" ht="12.75">
      <c r="A47" s="734" t="s">
        <v>1030</v>
      </c>
      <c r="B47" s="726">
        <v>12</v>
      </c>
      <c r="C47" s="726">
        <v>12</v>
      </c>
      <c r="D47" s="726">
        <v>12</v>
      </c>
      <c r="E47" s="726">
        <v>12</v>
      </c>
      <c r="F47" s="726">
        <v>12</v>
      </c>
      <c r="G47" s="726">
        <v>12</v>
      </c>
      <c r="H47" s="726">
        <v>12</v>
      </c>
      <c r="I47" s="726">
        <v>12</v>
      </c>
      <c r="J47" s="726">
        <v>12</v>
      </c>
      <c r="K47" s="726">
        <v>12</v>
      </c>
      <c r="L47" s="726">
        <v>12</v>
      </c>
      <c r="M47" s="726">
        <v>12</v>
      </c>
    </row>
    <row r="48" spans="1:13" ht="12.75">
      <c r="A48" s="723" t="s">
        <v>1031</v>
      </c>
      <c r="B48" s="724"/>
      <c r="C48" s="724"/>
      <c r="D48" s="724"/>
      <c r="E48" s="724"/>
      <c r="F48" s="724"/>
      <c r="G48" s="724"/>
      <c r="H48" s="724"/>
      <c r="I48" s="724"/>
      <c r="J48" s="724"/>
      <c r="K48" s="724"/>
      <c r="L48" s="724"/>
      <c r="M48" s="724"/>
    </row>
    <row r="49" spans="1:13" ht="12.75">
      <c r="A49" s="725" t="s">
        <v>1032</v>
      </c>
      <c r="B49" s="726">
        <v>1</v>
      </c>
      <c r="C49" s="726">
        <v>1</v>
      </c>
      <c r="D49" s="726">
        <v>1</v>
      </c>
      <c r="E49" s="726">
        <v>1</v>
      </c>
      <c r="F49" s="726">
        <v>1</v>
      </c>
      <c r="G49" s="726">
        <v>1</v>
      </c>
      <c r="H49" s="726">
        <v>1</v>
      </c>
      <c r="I49" s="726">
        <v>1</v>
      </c>
      <c r="J49" s="726">
        <v>1</v>
      </c>
      <c r="K49" s="726">
        <v>1</v>
      </c>
      <c r="L49" s="726">
        <v>1</v>
      </c>
      <c r="M49" s="726">
        <v>1</v>
      </c>
    </row>
    <row r="50" spans="1:13" ht="25.5">
      <c r="A50" s="723" t="s">
        <v>701</v>
      </c>
      <c r="B50" s="724"/>
      <c r="C50" s="724"/>
      <c r="D50" s="724"/>
      <c r="E50" s="724"/>
      <c r="F50" s="724"/>
      <c r="G50" s="724"/>
      <c r="H50" s="724"/>
      <c r="I50" s="724"/>
      <c r="J50" s="724"/>
      <c r="K50" s="724"/>
      <c r="L50" s="724"/>
      <c r="M50" s="724"/>
    </row>
    <row r="51" spans="1:13" ht="25.5">
      <c r="A51" s="725" t="s">
        <v>1033</v>
      </c>
      <c r="B51" s="726">
        <v>1</v>
      </c>
      <c r="C51" s="726">
        <v>1</v>
      </c>
      <c r="D51" s="726">
        <v>1</v>
      </c>
      <c r="E51" s="726">
        <v>1</v>
      </c>
      <c r="F51" s="726">
        <v>1</v>
      </c>
      <c r="G51" s="726">
        <v>1</v>
      </c>
      <c r="H51" s="726">
        <v>1</v>
      </c>
      <c r="I51" s="726">
        <v>1</v>
      </c>
      <c r="J51" s="726">
        <v>1</v>
      </c>
      <c r="K51" s="726">
        <v>1</v>
      </c>
      <c r="L51" s="726">
        <v>1</v>
      </c>
      <c r="M51" s="726">
        <v>1</v>
      </c>
    </row>
    <row r="52" spans="1:13" ht="12.75">
      <c r="A52" s="723" t="s">
        <v>1034</v>
      </c>
      <c r="B52" s="724"/>
      <c r="C52" s="724"/>
      <c r="D52" s="724"/>
      <c r="E52" s="724"/>
      <c r="F52" s="724"/>
      <c r="G52" s="724"/>
      <c r="H52" s="724"/>
      <c r="I52" s="724"/>
      <c r="J52" s="724"/>
      <c r="K52" s="724"/>
      <c r="L52" s="724"/>
      <c r="M52" s="724"/>
    </row>
    <row r="53" spans="1:13" ht="12.75">
      <c r="A53" s="735" t="s">
        <v>1035</v>
      </c>
      <c r="B53" s="726">
        <v>1</v>
      </c>
      <c r="C53" s="726">
        <v>1</v>
      </c>
      <c r="D53" s="726">
        <v>1</v>
      </c>
      <c r="E53" s="726">
        <v>1</v>
      </c>
      <c r="F53" s="726">
        <v>1</v>
      </c>
      <c r="G53" s="726">
        <v>1</v>
      </c>
      <c r="H53" s="726">
        <v>1</v>
      </c>
      <c r="I53" s="726">
        <v>1</v>
      </c>
      <c r="J53" s="726">
        <v>1</v>
      </c>
      <c r="K53" s="726">
        <v>1</v>
      </c>
      <c r="L53" s="726">
        <v>1</v>
      </c>
      <c r="M53" s="726">
        <v>1</v>
      </c>
    </row>
    <row r="54" spans="1:13" ht="12.75">
      <c r="A54" s="735" t="s">
        <v>1036</v>
      </c>
      <c r="B54" s="726">
        <v>3</v>
      </c>
      <c r="C54" s="726">
        <v>3</v>
      </c>
      <c r="D54" s="726">
        <v>3</v>
      </c>
      <c r="E54" s="726">
        <v>3</v>
      </c>
      <c r="F54" s="726">
        <v>3</v>
      </c>
      <c r="G54" s="726">
        <v>3</v>
      </c>
      <c r="H54" s="726">
        <v>2</v>
      </c>
      <c r="I54" s="726">
        <v>2</v>
      </c>
      <c r="J54" s="726">
        <v>2</v>
      </c>
      <c r="K54" s="726">
        <v>2</v>
      </c>
      <c r="L54" s="726">
        <v>2</v>
      </c>
      <c r="M54" s="726">
        <v>2</v>
      </c>
    </row>
    <row r="55" spans="1:13" ht="12.75">
      <c r="A55" s="723" t="s">
        <v>1037</v>
      </c>
      <c r="B55" s="724"/>
      <c r="C55" s="724"/>
      <c r="D55" s="724"/>
      <c r="E55" s="724"/>
      <c r="F55" s="724"/>
      <c r="G55" s="724"/>
      <c r="H55" s="724"/>
      <c r="I55" s="724"/>
      <c r="J55" s="724"/>
      <c r="K55" s="724"/>
      <c r="L55" s="724"/>
      <c r="M55" s="724"/>
    </row>
    <row r="56" spans="1:13" ht="12.75">
      <c r="A56" s="735" t="s">
        <v>1038</v>
      </c>
      <c r="B56" s="736">
        <v>5</v>
      </c>
      <c r="C56" s="736">
        <v>5</v>
      </c>
      <c r="D56" s="736">
        <v>5</v>
      </c>
      <c r="E56" s="736">
        <v>5</v>
      </c>
      <c r="F56" s="736">
        <v>5</v>
      </c>
      <c r="G56" s="736">
        <v>5</v>
      </c>
      <c r="H56" s="726">
        <v>5</v>
      </c>
      <c r="I56" s="726">
        <v>5</v>
      </c>
      <c r="J56" s="726">
        <v>5</v>
      </c>
      <c r="K56" s="726">
        <v>5</v>
      </c>
      <c r="L56" s="726">
        <v>5</v>
      </c>
      <c r="M56" s="726">
        <v>5</v>
      </c>
    </row>
    <row r="57" spans="1:14" ht="51">
      <c r="A57" s="723" t="s">
        <v>1052</v>
      </c>
      <c r="B57" s="724"/>
      <c r="C57" s="724"/>
      <c r="D57" s="724"/>
      <c r="E57" s="724"/>
      <c r="F57" s="724"/>
      <c r="G57" s="724"/>
      <c r="H57" s="724"/>
      <c r="I57" s="724"/>
      <c r="J57" s="724"/>
      <c r="K57" s="724"/>
      <c r="L57" s="724"/>
      <c r="M57" s="724"/>
      <c r="N57" s="744"/>
    </row>
    <row r="58" spans="1:14" ht="25.5">
      <c r="A58" s="725" t="s">
        <v>1053</v>
      </c>
      <c r="B58" s="736">
        <v>0</v>
      </c>
      <c r="C58" s="736">
        <v>0</v>
      </c>
      <c r="D58" s="736">
        <v>0</v>
      </c>
      <c r="E58" s="736">
        <v>0</v>
      </c>
      <c r="F58" s="736">
        <v>0</v>
      </c>
      <c r="G58" s="736">
        <v>0</v>
      </c>
      <c r="H58" s="736">
        <v>0</v>
      </c>
      <c r="I58" s="736">
        <v>0</v>
      </c>
      <c r="J58" s="736">
        <v>0.5</v>
      </c>
      <c r="K58" s="736">
        <v>0.5</v>
      </c>
      <c r="L58" s="736">
        <v>0.5</v>
      </c>
      <c r="M58" s="736">
        <v>0.5</v>
      </c>
      <c r="N58" s="745"/>
    </row>
    <row r="59" spans="1:14" ht="25.5">
      <c r="A59" s="725" t="s">
        <v>1054</v>
      </c>
      <c r="B59" s="736">
        <v>0</v>
      </c>
      <c r="C59" s="736">
        <v>0</v>
      </c>
      <c r="D59" s="736">
        <v>0</v>
      </c>
      <c r="E59" s="736">
        <v>0</v>
      </c>
      <c r="F59" s="736">
        <v>0</v>
      </c>
      <c r="G59" s="736">
        <v>0</v>
      </c>
      <c r="H59" s="736">
        <v>0</v>
      </c>
      <c r="I59" s="736">
        <v>0</v>
      </c>
      <c r="J59" s="736">
        <v>0.5</v>
      </c>
      <c r="K59" s="736">
        <v>0.5</v>
      </c>
      <c r="L59" s="736">
        <v>0.5</v>
      </c>
      <c r="M59" s="736">
        <v>0.5</v>
      </c>
      <c r="N59" s="745"/>
    </row>
    <row r="60" spans="1:14" ht="12.75">
      <c r="A60" s="725" t="s">
        <v>1016</v>
      </c>
      <c r="B60" s="736">
        <v>0</v>
      </c>
      <c r="C60" s="736">
        <v>0</v>
      </c>
      <c r="D60" s="736">
        <v>0</v>
      </c>
      <c r="E60" s="736">
        <v>0</v>
      </c>
      <c r="F60" s="736">
        <v>0</v>
      </c>
      <c r="G60" s="736">
        <v>0</v>
      </c>
      <c r="H60" s="736">
        <v>0</v>
      </c>
      <c r="I60" s="736">
        <v>0</v>
      </c>
      <c r="J60" s="736">
        <v>1</v>
      </c>
      <c r="K60" s="736">
        <v>1</v>
      </c>
      <c r="L60" s="736">
        <v>1</v>
      </c>
      <c r="M60" s="736">
        <v>1</v>
      </c>
      <c r="N60" s="745"/>
    </row>
    <row r="61" spans="1:14" ht="12.75">
      <c r="A61" s="725" t="s">
        <v>1022</v>
      </c>
      <c r="B61" s="736">
        <v>0</v>
      </c>
      <c r="C61" s="736">
        <v>0</v>
      </c>
      <c r="D61" s="736">
        <v>0</v>
      </c>
      <c r="E61" s="736">
        <v>0</v>
      </c>
      <c r="F61" s="736">
        <v>0</v>
      </c>
      <c r="G61" s="736">
        <v>0</v>
      </c>
      <c r="H61" s="736">
        <v>0</v>
      </c>
      <c r="I61" s="736">
        <v>0</v>
      </c>
      <c r="J61" s="736">
        <v>2</v>
      </c>
      <c r="K61" s="736">
        <v>2</v>
      </c>
      <c r="L61" s="736">
        <v>2</v>
      </c>
      <c r="M61" s="736">
        <v>2</v>
      </c>
      <c r="N61" s="745"/>
    </row>
    <row r="62" spans="1:14" ht="38.25">
      <c r="A62" s="725" t="s">
        <v>1055</v>
      </c>
      <c r="B62" s="736">
        <v>0</v>
      </c>
      <c r="C62" s="736">
        <v>0</v>
      </c>
      <c r="D62" s="736">
        <v>0</v>
      </c>
      <c r="E62" s="736">
        <v>0</v>
      </c>
      <c r="F62" s="736">
        <v>0</v>
      </c>
      <c r="G62" s="736">
        <v>0</v>
      </c>
      <c r="H62" s="736">
        <v>0</v>
      </c>
      <c r="I62" s="736">
        <v>0</v>
      </c>
      <c r="J62" s="736">
        <v>1.5</v>
      </c>
      <c r="K62" s="736">
        <v>1.5</v>
      </c>
      <c r="L62" s="736">
        <v>1.5</v>
      </c>
      <c r="M62" s="736">
        <v>1.5</v>
      </c>
      <c r="N62" s="745"/>
    </row>
    <row r="63" spans="1:14" ht="12.75">
      <c r="A63" s="735" t="s">
        <v>1056</v>
      </c>
      <c r="B63" s="736">
        <v>0</v>
      </c>
      <c r="C63" s="736">
        <v>0</v>
      </c>
      <c r="D63" s="736">
        <v>0</v>
      </c>
      <c r="E63" s="736">
        <v>0</v>
      </c>
      <c r="F63" s="736">
        <v>0</v>
      </c>
      <c r="G63" s="736">
        <v>0</v>
      </c>
      <c r="H63" s="736">
        <v>0</v>
      </c>
      <c r="I63" s="736">
        <v>0</v>
      </c>
      <c r="J63" s="736">
        <v>1</v>
      </c>
      <c r="K63" s="736">
        <v>1</v>
      </c>
      <c r="L63" s="736">
        <v>1</v>
      </c>
      <c r="M63" s="736">
        <v>1</v>
      </c>
      <c r="N63" s="745"/>
    </row>
    <row r="64" spans="1:13" ht="12.75">
      <c r="A64" s="721" t="s">
        <v>1039</v>
      </c>
      <c r="B64" s="730">
        <f>SUM(B43:B63)</f>
        <v>25</v>
      </c>
      <c r="C64" s="730">
        <f aca="true" t="shared" si="2" ref="C64:M64">SUM(C43:C63)</f>
        <v>25</v>
      </c>
      <c r="D64" s="730">
        <f t="shared" si="2"/>
        <v>25</v>
      </c>
      <c r="E64" s="730">
        <f t="shared" si="2"/>
        <v>26</v>
      </c>
      <c r="F64" s="730">
        <f t="shared" si="2"/>
        <v>26</v>
      </c>
      <c r="G64" s="730">
        <f t="shared" si="2"/>
        <v>26</v>
      </c>
      <c r="H64" s="730">
        <f t="shared" si="2"/>
        <v>25</v>
      </c>
      <c r="I64" s="730">
        <f t="shared" si="2"/>
        <v>25</v>
      </c>
      <c r="J64" s="730">
        <f t="shared" si="2"/>
        <v>31.5</v>
      </c>
      <c r="K64" s="730">
        <f t="shared" si="2"/>
        <v>31.5</v>
      </c>
      <c r="L64" s="730">
        <f t="shared" si="2"/>
        <v>31.5</v>
      </c>
      <c r="M64" s="730">
        <f t="shared" si="2"/>
        <v>31.5</v>
      </c>
    </row>
    <row r="65" spans="1:13" ht="25.5">
      <c r="A65" s="737" t="s">
        <v>1040</v>
      </c>
      <c r="B65" s="738">
        <f aca="true" t="shared" si="3" ref="B65:M65">SUM(B64,B40,B36)</f>
        <v>99.5</v>
      </c>
      <c r="C65" s="738">
        <f t="shared" si="3"/>
        <v>99.5</v>
      </c>
      <c r="D65" s="738">
        <f t="shared" si="3"/>
        <v>99.5</v>
      </c>
      <c r="E65" s="738">
        <f t="shared" si="3"/>
        <v>100.5</v>
      </c>
      <c r="F65" s="738">
        <f t="shared" si="3"/>
        <v>99.5</v>
      </c>
      <c r="G65" s="738">
        <f t="shared" si="3"/>
        <v>99.5</v>
      </c>
      <c r="H65" s="738">
        <f t="shared" si="3"/>
        <v>98.5</v>
      </c>
      <c r="I65" s="738">
        <f t="shared" si="3"/>
        <v>98.5</v>
      </c>
      <c r="J65" s="738">
        <f t="shared" si="3"/>
        <v>103</v>
      </c>
      <c r="K65" s="738">
        <f t="shared" si="3"/>
        <v>103</v>
      </c>
      <c r="L65" s="738">
        <f t="shared" si="3"/>
        <v>103</v>
      </c>
      <c r="M65" s="738">
        <f t="shared" si="3"/>
        <v>103</v>
      </c>
    </row>
    <row r="66" spans="1:13" ht="12.75">
      <c r="A66" s="731"/>
      <c r="B66" s="726"/>
      <c r="C66" s="726"/>
      <c r="D66" s="726"/>
      <c r="E66" s="726"/>
      <c r="F66" s="726"/>
      <c r="G66" s="726"/>
      <c r="H66" s="726"/>
      <c r="I66" s="726"/>
      <c r="J66" s="726"/>
      <c r="K66" s="726"/>
      <c r="L66" s="726"/>
      <c r="M66" s="726"/>
    </row>
    <row r="67" spans="1:13" ht="12.75">
      <c r="A67" s="721" t="s">
        <v>1041</v>
      </c>
      <c r="B67" s="722"/>
      <c r="C67" s="722"/>
      <c r="D67" s="722"/>
      <c r="E67" s="722"/>
      <c r="F67" s="722"/>
      <c r="G67" s="722"/>
      <c r="H67" s="722"/>
      <c r="I67" s="722"/>
      <c r="J67" s="722"/>
      <c r="K67" s="722"/>
      <c r="L67" s="722"/>
      <c r="M67" s="722"/>
    </row>
    <row r="68" spans="1:13" ht="12.75">
      <c r="A68" s="739" t="s">
        <v>1042</v>
      </c>
      <c r="B68" s="740">
        <v>0</v>
      </c>
      <c r="C68" s="740">
        <v>0</v>
      </c>
      <c r="D68" s="740">
        <v>0</v>
      </c>
      <c r="E68" s="740">
        <v>0</v>
      </c>
      <c r="F68" s="740">
        <v>0</v>
      </c>
      <c r="G68" s="740">
        <v>0</v>
      </c>
      <c r="H68" s="740">
        <v>0</v>
      </c>
      <c r="I68" s="740">
        <v>0</v>
      </c>
      <c r="J68" s="740">
        <v>0</v>
      </c>
      <c r="K68" s="740">
        <v>0</v>
      </c>
      <c r="L68" s="740">
        <v>0</v>
      </c>
      <c r="M68" s="740">
        <v>0</v>
      </c>
    </row>
    <row r="69" spans="1:13" ht="12.75">
      <c r="A69" s="739" t="s">
        <v>385</v>
      </c>
      <c r="B69" s="740">
        <v>0</v>
      </c>
      <c r="C69" s="740">
        <v>0</v>
      </c>
      <c r="D69" s="740">
        <v>0</v>
      </c>
      <c r="E69" s="740">
        <v>0</v>
      </c>
      <c r="F69" s="740">
        <v>0</v>
      </c>
      <c r="G69" s="740">
        <v>0</v>
      </c>
      <c r="H69" s="740">
        <v>0</v>
      </c>
      <c r="I69" s="740">
        <v>0</v>
      </c>
      <c r="J69" s="740">
        <v>0</v>
      </c>
      <c r="K69" s="740">
        <v>0</v>
      </c>
      <c r="L69" s="740">
        <v>0</v>
      </c>
      <c r="M69" s="740">
        <v>0</v>
      </c>
    </row>
    <row r="70" spans="1:13" ht="25.5">
      <c r="A70" s="739" t="s">
        <v>1043</v>
      </c>
      <c r="B70" s="740">
        <v>0</v>
      </c>
      <c r="C70" s="740">
        <v>0</v>
      </c>
      <c r="D70" s="740">
        <v>0</v>
      </c>
      <c r="E70" s="740">
        <v>0</v>
      </c>
      <c r="F70" s="740">
        <v>0</v>
      </c>
      <c r="G70" s="740">
        <v>0</v>
      </c>
      <c r="H70" s="740">
        <v>0</v>
      </c>
      <c r="I70" s="740">
        <v>0</v>
      </c>
      <c r="J70" s="740">
        <v>0</v>
      </c>
      <c r="K70" s="740">
        <v>0</v>
      </c>
      <c r="L70" s="740">
        <v>0</v>
      </c>
      <c r="M70" s="740">
        <v>0</v>
      </c>
    </row>
    <row r="71" spans="1:13" ht="38.25">
      <c r="A71" s="739" t="s">
        <v>1044</v>
      </c>
      <c r="B71" s="740">
        <v>0</v>
      </c>
      <c r="C71" s="740">
        <v>0</v>
      </c>
      <c r="D71" s="740">
        <v>12</v>
      </c>
      <c r="E71" s="740">
        <v>12</v>
      </c>
      <c r="F71" s="740">
        <v>12</v>
      </c>
      <c r="G71" s="740">
        <v>12</v>
      </c>
      <c r="H71" s="740">
        <v>12</v>
      </c>
      <c r="I71" s="740">
        <v>12</v>
      </c>
      <c r="J71" s="740">
        <v>12</v>
      </c>
      <c r="K71" s="740">
        <v>12</v>
      </c>
      <c r="L71" s="740">
        <v>12</v>
      </c>
      <c r="M71" s="740">
        <v>12</v>
      </c>
    </row>
    <row r="72" spans="1:13" ht="38.25">
      <c r="A72" s="739" t="s">
        <v>1045</v>
      </c>
      <c r="B72" s="740">
        <v>0</v>
      </c>
      <c r="C72" s="740">
        <v>0</v>
      </c>
      <c r="D72" s="740">
        <v>9</v>
      </c>
      <c r="E72" s="740">
        <v>9</v>
      </c>
      <c r="F72" s="740">
        <v>9</v>
      </c>
      <c r="G72" s="740">
        <v>9</v>
      </c>
      <c r="H72" s="740">
        <v>9</v>
      </c>
      <c r="I72" s="740">
        <v>9</v>
      </c>
      <c r="J72" s="740">
        <v>9</v>
      </c>
      <c r="K72" s="740">
        <v>9</v>
      </c>
      <c r="L72" s="740">
        <v>9</v>
      </c>
      <c r="M72" s="740">
        <v>0</v>
      </c>
    </row>
    <row r="73" spans="1:13" ht="38.25">
      <c r="A73" s="739" t="s">
        <v>1046</v>
      </c>
      <c r="B73" s="740">
        <v>0</v>
      </c>
      <c r="C73" s="740">
        <v>0</v>
      </c>
      <c r="D73" s="740">
        <v>72</v>
      </c>
      <c r="E73" s="740">
        <v>72</v>
      </c>
      <c r="F73" s="740">
        <v>72</v>
      </c>
      <c r="G73" s="740">
        <v>72</v>
      </c>
      <c r="H73" s="740">
        <v>72</v>
      </c>
      <c r="I73" s="740">
        <v>72</v>
      </c>
      <c r="J73" s="740">
        <v>72</v>
      </c>
      <c r="K73" s="740">
        <v>72</v>
      </c>
      <c r="L73" s="740">
        <v>72</v>
      </c>
      <c r="M73" s="740">
        <v>72</v>
      </c>
    </row>
    <row r="74" spans="1:13" ht="51">
      <c r="A74" s="739" t="s">
        <v>1047</v>
      </c>
      <c r="B74" s="740">
        <v>0</v>
      </c>
      <c r="C74" s="740">
        <v>0</v>
      </c>
      <c r="D74" s="740">
        <v>0</v>
      </c>
      <c r="E74" s="740">
        <v>0</v>
      </c>
      <c r="F74" s="740">
        <v>33</v>
      </c>
      <c r="G74" s="740">
        <v>33</v>
      </c>
      <c r="H74" s="740">
        <v>33</v>
      </c>
      <c r="I74" s="740">
        <v>33</v>
      </c>
      <c r="J74" s="740">
        <v>33</v>
      </c>
      <c r="K74" s="740">
        <v>33</v>
      </c>
      <c r="L74" s="740">
        <v>33</v>
      </c>
      <c r="M74" s="740">
        <v>0</v>
      </c>
    </row>
    <row r="75" spans="1:13" ht="38.25">
      <c r="A75" s="739" t="s">
        <v>1048</v>
      </c>
      <c r="B75" s="740">
        <v>0</v>
      </c>
      <c r="C75" s="740">
        <v>0</v>
      </c>
      <c r="D75" s="740">
        <v>12</v>
      </c>
      <c r="E75" s="740">
        <v>12</v>
      </c>
      <c r="F75" s="740">
        <v>12</v>
      </c>
      <c r="G75" s="740">
        <v>12</v>
      </c>
      <c r="H75" s="740">
        <v>12</v>
      </c>
      <c r="I75" s="740">
        <v>12</v>
      </c>
      <c r="J75" s="740">
        <v>12</v>
      </c>
      <c r="K75" s="740">
        <v>12</v>
      </c>
      <c r="L75" s="740">
        <v>12</v>
      </c>
      <c r="M75" s="740">
        <v>12</v>
      </c>
    </row>
    <row r="76" spans="1:13" ht="38.25">
      <c r="A76" s="739" t="s">
        <v>1049</v>
      </c>
      <c r="B76" s="740">
        <v>0</v>
      </c>
      <c r="C76" s="740">
        <v>0</v>
      </c>
      <c r="D76" s="740">
        <v>15</v>
      </c>
      <c r="E76" s="740">
        <v>15</v>
      </c>
      <c r="F76" s="740">
        <v>15</v>
      </c>
      <c r="G76" s="740">
        <v>15</v>
      </c>
      <c r="H76" s="740">
        <v>15</v>
      </c>
      <c r="I76" s="740">
        <v>15</v>
      </c>
      <c r="J76" s="740">
        <v>15</v>
      </c>
      <c r="K76" s="740">
        <v>15</v>
      </c>
      <c r="L76" s="740">
        <v>15</v>
      </c>
      <c r="M76" s="740">
        <v>15</v>
      </c>
    </row>
    <row r="77" spans="1:13" ht="38.25">
      <c r="A77" s="739" t="s">
        <v>1050</v>
      </c>
      <c r="B77" s="740">
        <v>0</v>
      </c>
      <c r="C77" s="740">
        <v>0</v>
      </c>
      <c r="D77" s="740">
        <v>15</v>
      </c>
      <c r="E77" s="740">
        <v>15</v>
      </c>
      <c r="F77" s="740">
        <v>15</v>
      </c>
      <c r="G77" s="740">
        <v>15</v>
      </c>
      <c r="H77" s="740">
        <v>15</v>
      </c>
      <c r="I77" s="740">
        <v>15</v>
      </c>
      <c r="J77" s="740">
        <v>15</v>
      </c>
      <c r="K77" s="740">
        <v>15</v>
      </c>
      <c r="L77" s="740">
        <v>15</v>
      </c>
      <c r="M77" s="740">
        <v>15</v>
      </c>
    </row>
    <row r="78" spans="1:13" ht="25.5">
      <c r="A78" s="737" t="s">
        <v>1051</v>
      </c>
      <c r="B78" s="738">
        <f aca="true" t="shared" si="4" ref="B78:M78">SUM(B68:B77)</f>
        <v>0</v>
      </c>
      <c r="C78" s="738">
        <f t="shared" si="4"/>
        <v>0</v>
      </c>
      <c r="D78" s="738">
        <f t="shared" si="4"/>
        <v>135</v>
      </c>
      <c r="E78" s="738">
        <f t="shared" si="4"/>
        <v>135</v>
      </c>
      <c r="F78" s="738">
        <f t="shared" si="4"/>
        <v>168</v>
      </c>
      <c r="G78" s="738">
        <f t="shared" si="4"/>
        <v>168</v>
      </c>
      <c r="H78" s="738">
        <f t="shared" si="4"/>
        <v>168</v>
      </c>
      <c r="I78" s="738">
        <f t="shared" si="4"/>
        <v>168</v>
      </c>
      <c r="J78" s="738">
        <f t="shared" si="4"/>
        <v>168</v>
      </c>
      <c r="K78" s="738">
        <f t="shared" si="4"/>
        <v>168</v>
      </c>
      <c r="L78" s="738">
        <f t="shared" si="4"/>
        <v>168</v>
      </c>
      <c r="M78" s="738">
        <f t="shared" si="4"/>
        <v>126</v>
      </c>
    </row>
    <row r="80" spans="1:14" s="742" customFormat="1" ht="25.5" customHeight="1">
      <c r="A80" s="721" t="s">
        <v>1057</v>
      </c>
      <c r="B80" s="722"/>
      <c r="C80" s="722"/>
      <c r="D80" s="722"/>
      <c r="E80" s="722"/>
      <c r="F80" s="722"/>
      <c r="G80" s="722"/>
      <c r="H80" s="722"/>
      <c r="I80" s="722"/>
      <c r="J80" s="722"/>
      <c r="K80" s="722"/>
      <c r="L80" s="722"/>
      <c r="M80" s="722"/>
      <c r="N80" s="743"/>
    </row>
    <row r="81" spans="1:14" s="741" customFormat="1" ht="28.5" customHeight="1">
      <c r="A81" s="739" t="s">
        <v>1043</v>
      </c>
      <c r="B81" s="740">
        <v>0</v>
      </c>
      <c r="C81" s="740">
        <v>0</v>
      </c>
      <c r="D81" s="740">
        <v>0</v>
      </c>
      <c r="E81" s="740">
        <v>0</v>
      </c>
      <c r="F81" s="740">
        <v>0</v>
      </c>
      <c r="G81" s="740">
        <v>0</v>
      </c>
      <c r="H81" s="740">
        <v>4</v>
      </c>
      <c r="I81" s="740">
        <v>1</v>
      </c>
      <c r="J81" s="740">
        <v>0</v>
      </c>
      <c r="K81" s="740">
        <v>0</v>
      </c>
      <c r="L81" s="740">
        <v>0</v>
      </c>
      <c r="M81" s="740">
        <v>0</v>
      </c>
      <c r="N81" s="745"/>
    </row>
    <row r="82" spans="1:14" s="742" customFormat="1" ht="32.25" customHeight="1">
      <c r="A82" s="737" t="s">
        <v>1058</v>
      </c>
      <c r="B82" s="738">
        <f>SUM(B81)</f>
        <v>0</v>
      </c>
      <c r="C82" s="738">
        <f aca="true" t="shared" si="5" ref="C82:M82">SUM(C81)</f>
        <v>0</v>
      </c>
      <c r="D82" s="738">
        <f t="shared" si="5"/>
        <v>0</v>
      </c>
      <c r="E82" s="738">
        <f t="shared" si="5"/>
        <v>0</v>
      </c>
      <c r="F82" s="738">
        <f t="shared" si="5"/>
        <v>0</v>
      </c>
      <c r="G82" s="738">
        <f t="shared" si="5"/>
        <v>0</v>
      </c>
      <c r="H82" s="738">
        <f t="shared" si="5"/>
        <v>4</v>
      </c>
      <c r="I82" s="738">
        <f t="shared" si="5"/>
        <v>1</v>
      </c>
      <c r="J82" s="738">
        <f t="shared" si="5"/>
        <v>0</v>
      </c>
      <c r="K82" s="738">
        <f t="shared" si="5"/>
        <v>0</v>
      </c>
      <c r="L82" s="738">
        <f t="shared" si="5"/>
        <v>0</v>
      </c>
      <c r="M82" s="738">
        <f t="shared" si="5"/>
        <v>0</v>
      </c>
      <c r="N82" s="743"/>
    </row>
  </sheetData>
  <sheetProtection/>
  <mergeCells count="3">
    <mergeCell ref="A4:M4"/>
    <mergeCell ref="A5:M5"/>
    <mergeCell ref="A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83"/>
  <sheetViews>
    <sheetView zoomScaleSheetLayoutView="100" zoomScalePageLayoutView="0" workbookViewId="0" topLeftCell="A1">
      <selection activeCell="A3" sqref="A3:D77"/>
    </sheetView>
  </sheetViews>
  <sheetFormatPr defaultColWidth="8.875" defaultRowHeight="12.75"/>
  <cols>
    <col min="1" max="1" width="4.125" style="78" bestFit="1" customWidth="1"/>
    <col min="2" max="2" width="2.375" style="2" customWidth="1"/>
    <col min="3" max="3" width="94.875" style="2" customWidth="1"/>
    <col min="4" max="4" width="15.625" style="2" bestFit="1" customWidth="1"/>
    <col min="5" max="16384" width="8.875" style="2" customWidth="1"/>
  </cols>
  <sheetData>
    <row r="1" spans="3:5" ht="15">
      <c r="C1" s="811" t="s">
        <v>1069</v>
      </c>
      <c r="D1" s="1043"/>
      <c r="E1" s="77"/>
    </row>
    <row r="2" spans="3:5" ht="15">
      <c r="C2" s="4"/>
      <c r="D2" s="142"/>
      <c r="E2" s="77"/>
    </row>
    <row r="3" spans="2:4" ht="15.75">
      <c r="B3" s="1044" t="s">
        <v>793</v>
      </c>
      <c r="C3" s="1044"/>
      <c r="D3" s="1044"/>
    </row>
    <row r="4" spans="2:4" ht="15">
      <c r="B4" s="150"/>
      <c r="C4" s="150"/>
      <c r="D4" s="150"/>
    </row>
    <row r="5" ht="15.75" thickBot="1">
      <c r="D5" s="4"/>
    </row>
    <row r="6" spans="1:4" s="3" customFormat="1" ht="14.25">
      <c r="A6" s="1035" t="s">
        <v>452</v>
      </c>
      <c r="B6" s="1045" t="s">
        <v>375</v>
      </c>
      <c r="C6" s="1046"/>
      <c r="D6" s="5" t="s">
        <v>387</v>
      </c>
    </row>
    <row r="7" spans="1:4" s="90" customFormat="1" ht="12">
      <c r="A7" s="1036"/>
      <c r="B7" s="1047" t="s">
        <v>446</v>
      </c>
      <c r="C7" s="1047"/>
      <c r="D7" s="89" t="s">
        <v>447</v>
      </c>
    </row>
    <row r="8" spans="1:4" s="3" customFormat="1" ht="14.25">
      <c r="A8" s="95">
        <v>1</v>
      </c>
      <c r="B8" s="91" t="s">
        <v>381</v>
      </c>
      <c r="C8" s="9"/>
      <c r="D8" s="283"/>
    </row>
    <row r="9" spans="1:4" s="11" customFormat="1" ht="15">
      <c r="A9" s="95">
        <v>2</v>
      </c>
      <c r="B9" s="92" t="s">
        <v>461</v>
      </c>
      <c r="C9" s="10"/>
      <c r="D9" s="284"/>
    </row>
    <row r="10" spans="1:4" ht="18.75" customHeight="1">
      <c r="A10" s="95">
        <v>3</v>
      </c>
      <c r="B10" s="80" t="s">
        <v>388</v>
      </c>
      <c r="C10" s="136" t="s">
        <v>810</v>
      </c>
      <c r="D10" s="285">
        <v>3000000</v>
      </c>
    </row>
    <row r="11" spans="1:4" ht="27.75" customHeight="1">
      <c r="A11" s="95">
        <v>4</v>
      </c>
      <c r="B11" s="80" t="s">
        <v>388</v>
      </c>
      <c r="C11" s="136" t="s">
        <v>879</v>
      </c>
      <c r="D11" s="285">
        <f>3700000+9000000</f>
        <v>12700000</v>
      </c>
    </row>
    <row r="12" spans="1:4" ht="43.5" customHeight="1">
      <c r="A12" s="95">
        <v>5</v>
      </c>
      <c r="B12" s="80" t="s">
        <v>388</v>
      </c>
      <c r="C12" s="136" t="s">
        <v>882</v>
      </c>
      <c r="D12" s="285">
        <f>17462500+100000</f>
        <v>17562500</v>
      </c>
    </row>
    <row r="13" spans="1:4" ht="27.75" customHeight="1">
      <c r="A13" s="95">
        <v>6</v>
      </c>
      <c r="B13" s="80" t="s">
        <v>388</v>
      </c>
      <c r="C13" s="136" t="s">
        <v>811</v>
      </c>
      <c r="D13" s="285">
        <v>525300</v>
      </c>
    </row>
    <row r="14" spans="1:4" ht="27.75" customHeight="1">
      <c r="A14" s="95">
        <v>7</v>
      </c>
      <c r="B14" s="80" t="s">
        <v>388</v>
      </c>
      <c r="C14" s="136" t="s">
        <v>812</v>
      </c>
      <c r="D14" s="285">
        <v>3225085</v>
      </c>
    </row>
    <row r="15" spans="1:4" ht="18.75" customHeight="1">
      <c r="A15" s="95">
        <v>8</v>
      </c>
      <c r="B15" s="80" t="s">
        <v>388</v>
      </c>
      <c r="C15" s="136" t="s">
        <v>813</v>
      </c>
      <c r="D15" s="285">
        <v>25400</v>
      </c>
    </row>
    <row r="16" spans="1:4" ht="27.75" customHeight="1">
      <c r="A16" s="95">
        <v>9</v>
      </c>
      <c r="B16" s="80" t="s">
        <v>388</v>
      </c>
      <c r="C16" s="136" t="s">
        <v>814</v>
      </c>
      <c r="D16" s="285">
        <f>4445000-2059095</f>
        <v>2385905</v>
      </c>
    </row>
    <row r="17" spans="1:4" ht="27.75" customHeight="1">
      <c r="A17" s="95">
        <v>10</v>
      </c>
      <c r="B17" s="80" t="s">
        <v>388</v>
      </c>
      <c r="C17" s="136" t="s">
        <v>815</v>
      </c>
      <c r="D17" s="285">
        <v>11201400</v>
      </c>
    </row>
    <row r="18" spans="1:4" ht="45.75" customHeight="1">
      <c r="A18" s="95">
        <v>11</v>
      </c>
      <c r="B18" s="80" t="s">
        <v>388</v>
      </c>
      <c r="C18" s="136" t="s">
        <v>816</v>
      </c>
      <c r="D18" s="285">
        <f>1237243-3</f>
        <v>1237240</v>
      </c>
    </row>
    <row r="19" spans="1:4" ht="17.25" customHeight="1">
      <c r="A19" s="95">
        <v>12</v>
      </c>
      <c r="B19" s="80" t="s">
        <v>388</v>
      </c>
      <c r="C19" s="136" t="s">
        <v>877</v>
      </c>
      <c r="D19" s="285">
        <v>3150000</v>
      </c>
    </row>
    <row r="20" spans="1:4" ht="17.25" customHeight="1">
      <c r="A20" s="95">
        <v>13</v>
      </c>
      <c r="B20" s="685" t="s">
        <v>388</v>
      </c>
      <c r="C20" s="682" t="s">
        <v>934</v>
      </c>
      <c r="D20" s="285">
        <f>500000+500000</f>
        <v>1000000</v>
      </c>
    </row>
    <row r="21" spans="1:4" ht="17.25" customHeight="1">
      <c r="A21" s="95">
        <v>14</v>
      </c>
      <c r="B21" s="685" t="s">
        <v>388</v>
      </c>
      <c r="C21" s="682" t="s">
        <v>880</v>
      </c>
      <c r="D21" s="285">
        <v>1707563</v>
      </c>
    </row>
    <row r="22" spans="1:4" ht="17.25" customHeight="1">
      <c r="A22" s="95">
        <v>15</v>
      </c>
      <c r="B22" s="685" t="s">
        <v>388</v>
      </c>
      <c r="C22" s="682" t="s">
        <v>881</v>
      </c>
      <c r="D22" s="285">
        <v>1398066</v>
      </c>
    </row>
    <row r="23" spans="1:4" ht="17.25" customHeight="1">
      <c r="A23" s="95">
        <v>16</v>
      </c>
      <c r="B23" s="685" t="s">
        <v>388</v>
      </c>
      <c r="C23" s="682" t="s">
        <v>988</v>
      </c>
      <c r="D23" s="285">
        <f>88773+67850</f>
        <v>156623</v>
      </c>
    </row>
    <row r="24" spans="1:4" ht="17.25" customHeight="1">
      <c r="A24" s="95">
        <v>17</v>
      </c>
      <c r="B24" s="685" t="s">
        <v>388</v>
      </c>
      <c r="C24" s="682" t="s">
        <v>1059</v>
      </c>
      <c r="D24" s="285">
        <v>16990</v>
      </c>
    </row>
    <row r="25" spans="1:4" ht="20.25" customHeight="1">
      <c r="A25" s="95">
        <v>18</v>
      </c>
      <c r="B25" s="685" t="s">
        <v>388</v>
      </c>
      <c r="C25" s="682" t="s">
        <v>944</v>
      </c>
      <c r="D25" s="285">
        <v>242560000</v>
      </c>
    </row>
    <row r="26" spans="1:4" ht="30" customHeight="1">
      <c r="A26" s="95">
        <v>19</v>
      </c>
      <c r="B26" s="685" t="s">
        <v>388</v>
      </c>
      <c r="C26" s="682" t="s">
        <v>1060</v>
      </c>
      <c r="D26" s="285">
        <v>3832400</v>
      </c>
    </row>
    <row r="27" spans="1:4" ht="17.25" customHeight="1">
      <c r="A27" s="95">
        <v>20</v>
      </c>
      <c r="B27" s="685" t="s">
        <v>388</v>
      </c>
      <c r="C27" s="682" t="s">
        <v>945</v>
      </c>
      <c r="D27" s="285">
        <v>17861888</v>
      </c>
    </row>
    <row r="28" spans="1:4" ht="17.25" customHeight="1">
      <c r="A28" s="95">
        <v>21</v>
      </c>
      <c r="B28" s="685" t="s">
        <v>388</v>
      </c>
      <c r="C28" s="682" t="s">
        <v>946</v>
      </c>
      <c r="D28" s="285">
        <v>6019000</v>
      </c>
    </row>
    <row r="29" spans="1:4" ht="17.25" customHeight="1">
      <c r="A29" s="95">
        <v>22</v>
      </c>
      <c r="B29" s="685" t="s">
        <v>388</v>
      </c>
      <c r="C29" s="682" t="s">
        <v>967</v>
      </c>
      <c r="D29" s="285">
        <v>200000</v>
      </c>
    </row>
    <row r="30" spans="1:4" ht="17.25" customHeight="1">
      <c r="A30" s="95">
        <v>23</v>
      </c>
      <c r="B30" s="685" t="s">
        <v>388</v>
      </c>
      <c r="C30" s="682" t="s">
        <v>968</v>
      </c>
      <c r="D30" s="285">
        <f>698500+7620</f>
        <v>706120</v>
      </c>
    </row>
    <row r="31" spans="1:4" ht="17.25" customHeight="1">
      <c r="A31" s="95">
        <v>24</v>
      </c>
      <c r="B31" s="685" t="s">
        <v>388</v>
      </c>
      <c r="C31" s="682" t="s">
        <v>1061</v>
      </c>
      <c r="D31" s="285">
        <v>540000</v>
      </c>
    </row>
    <row r="32" spans="1:4" s="35" customFormat="1" ht="15">
      <c r="A32" s="95">
        <v>25</v>
      </c>
      <c r="B32" s="80"/>
      <c r="C32" s="13" t="s">
        <v>398</v>
      </c>
      <c r="D32" s="286">
        <f>SUM(D10:D31)</f>
        <v>331011480</v>
      </c>
    </row>
    <row r="33" spans="1:4" s="35" customFormat="1" ht="15">
      <c r="A33" s="95">
        <v>26</v>
      </c>
      <c r="B33" s="1040" t="s">
        <v>385</v>
      </c>
      <c r="C33" s="1041"/>
      <c r="D33" s="1042"/>
    </row>
    <row r="34" spans="1:4" ht="18.75" customHeight="1">
      <c r="A34" s="95">
        <v>27</v>
      </c>
      <c r="B34" s="80" t="s">
        <v>388</v>
      </c>
      <c r="C34" s="136" t="s">
        <v>818</v>
      </c>
      <c r="D34" s="285">
        <v>374000</v>
      </c>
    </row>
    <row r="35" spans="1:4" ht="18.75" customHeight="1">
      <c r="A35" s="95">
        <v>28</v>
      </c>
      <c r="B35" s="80" t="s">
        <v>388</v>
      </c>
      <c r="C35" s="136" t="s">
        <v>817</v>
      </c>
      <c r="D35" s="285">
        <v>126000</v>
      </c>
    </row>
    <row r="36" spans="1:4" s="35" customFormat="1" ht="15">
      <c r="A36" s="95">
        <v>29</v>
      </c>
      <c r="B36" s="135"/>
      <c r="C36" s="13" t="s">
        <v>524</v>
      </c>
      <c r="D36" s="286">
        <f>SUM(D34:D35)</f>
        <v>500000</v>
      </c>
    </row>
    <row r="37" spans="1:4" s="35" customFormat="1" ht="15">
      <c r="A37" s="95">
        <v>30</v>
      </c>
      <c r="B37" s="1040" t="s">
        <v>917</v>
      </c>
      <c r="C37" s="1041"/>
      <c r="D37" s="1042"/>
    </row>
    <row r="38" spans="1:4" ht="18.75" customHeight="1">
      <c r="A38" s="95">
        <v>31</v>
      </c>
      <c r="B38" s="80" t="s">
        <v>388</v>
      </c>
      <c r="C38" s="136" t="s">
        <v>795</v>
      </c>
      <c r="D38" s="285">
        <f>231140-78780-30991+3480</f>
        <v>124849</v>
      </c>
    </row>
    <row r="39" spans="1:4" ht="18.75" customHeight="1">
      <c r="A39" s="95">
        <v>32</v>
      </c>
      <c r="B39" s="80" t="s">
        <v>388</v>
      </c>
      <c r="C39" s="136" t="s">
        <v>796</v>
      </c>
      <c r="D39" s="285">
        <f>127000-127000</f>
        <v>0</v>
      </c>
    </row>
    <row r="40" spans="1:4" ht="18.75" customHeight="1">
      <c r="A40" s="95">
        <v>33</v>
      </c>
      <c r="B40" s="80" t="s">
        <v>388</v>
      </c>
      <c r="C40" s="136" t="s">
        <v>797</v>
      </c>
      <c r="D40" s="285">
        <f>124000-54709</f>
        <v>69291</v>
      </c>
    </row>
    <row r="41" spans="1:4" ht="18.75" customHeight="1">
      <c r="A41" s="95">
        <v>34</v>
      </c>
      <c r="B41" s="80" t="s">
        <v>388</v>
      </c>
      <c r="C41" s="136" t="s">
        <v>798</v>
      </c>
      <c r="D41" s="285">
        <v>76200</v>
      </c>
    </row>
    <row r="42" spans="1:4" ht="18.75" customHeight="1">
      <c r="A42" s="683">
        <v>35</v>
      </c>
      <c r="B42" s="80" t="s">
        <v>388</v>
      </c>
      <c r="C42" s="136" t="s">
        <v>981</v>
      </c>
      <c r="D42" s="285">
        <v>3853622</v>
      </c>
    </row>
    <row r="43" spans="1:4" s="35" customFormat="1" ht="15">
      <c r="A43" s="683">
        <v>36</v>
      </c>
      <c r="B43" s="135"/>
      <c r="C43" s="13" t="s">
        <v>920</v>
      </c>
      <c r="D43" s="286">
        <f>SUM(D38:D42)</f>
        <v>4123962</v>
      </c>
    </row>
    <row r="44" spans="1:4" s="3" customFormat="1" ht="15" thickBot="1">
      <c r="A44" s="96">
        <v>37</v>
      </c>
      <c r="B44" s="14" t="s">
        <v>378</v>
      </c>
      <c r="C44" s="14"/>
      <c r="D44" s="287">
        <f>SUM(D43+D36+D32)</f>
        <v>335635442</v>
      </c>
    </row>
    <row r="45" spans="1:4" ht="15">
      <c r="A45" s="95">
        <v>38</v>
      </c>
      <c r="B45" s="1037" t="s">
        <v>386</v>
      </c>
      <c r="C45" s="1037"/>
      <c r="D45" s="1038"/>
    </row>
    <row r="46" spans="1:4" s="11" customFormat="1" ht="15">
      <c r="A46" s="95">
        <v>39</v>
      </c>
      <c r="B46" s="113" t="s">
        <v>461</v>
      </c>
      <c r="C46" s="12"/>
      <c r="D46" s="6"/>
    </row>
    <row r="47" spans="1:4" ht="18.75" customHeight="1">
      <c r="A47" s="95">
        <v>40</v>
      </c>
      <c r="B47" s="80" t="s">
        <v>388</v>
      </c>
      <c r="C47" s="136" t="s">
        <v>652</v>
      </c>
      <c r="D47" s="285">
        <v>1000000</v>
      </c>
    </row>
    <row r="48" spans="1:4" ht="18.75" customHeight="1">
      <c r="A48" s="95">
        <v>41</v>
      </c>
      <c r="B48" s="80" t="s">
        <v>388</v>
      </c>
      <c r="C48" s="136" t="s">
        <v>819</v>
      </c>
      <c r="D48" s="285">
        <v>254000</v>
      </c>
    </row>
    <row r="49" spans="1:4" s="35" customFormat="1" ht="29.25" customHeight="1">
      <c r="A49" s="95">
        <v>42</v>
      </c>
      <c r="B49" s="80" t="s">
        <v>388</v>
      </c>
      <c r="C49" s="136" t="s">
        <v>941</v>
      </c>
      <c r="D49" s="285">
        <v>1587500</v>
      </c>
    </row>
    <row r="50" spans="1:4" s="35" customFormat="1" ht="29.25" customHeight="1">
      <c r="A50" s="95">
        <v>43</v>
      </c>
      <c r="B50" s="80" t="s">
        <v>388</v>
      </c>
      <c r="C50" s="136" t="s">
        <v>942</v>
      </c>
      <c r="D50" s="285">
        <f>2500000+19779919</f>
        <v>22279919</v>
      </c>
    </row>
    <row r="51" spans="1:4" s="35" customFormat="1" ht="33" customHeight="1">
      <c r="A51" s="95">
        <v>44</v>
      </c>
      <c r="B51" s="80" t="s">
        <v>388</v>
      </c>
      <c r="C51" s="136" t="s">
        <v>820</v>
      </c>
      <c r="D51" s="285">
        <f>11154409+3</f>
        <v>11154412</v>
      </c>
    </row>
    <row r="52" spans="1:4" s="35" customFormat="1" ht="30" customHeight="1">
      <c r="A52" s="95">
        <v>45</v>
      </c>
      <c r="B52" s="80" t="s">
        <v>388</v>
      </c>
      <c r="C52" s="136" t="s">
        <v>969</v>
      </c>
      <c r="D52" s="285">
        <f>2645132+14989072</f>
        <v>17634204</v>
      </c>
    </row>
    <row r="53" spans="1:4" s="35" customFormat="1" ht="18" customHeight="1">
      <c r="A53" s="95">
        <v>46</v>
      </c>
      <c r="B53" s="80" t="s">
        <v>388</v>
      </c>
      <c r="C53" s="136" t="s">
        <v>943</v>
      </c>
      <c r="D53" s="285">
        <v>5000000</v>
      </c>
    </row>
    <row r="54" spans="1:4" s="35" customFormat="1" ht="18" customHeight="1">
      <c r="A54" s="95">
        <v>47</v>
      </c>
      <c r="B54" s="80" t="s">
        <v>388</v>
      </c>
      <c r="C54" s="136" t="s">
        <v>947</v>
      </c>
      <c r="D54" s="285">
        <v>2500000</v>
      </c>
    </row>
    <row r="55" spans="1:4" ht="18.75" customHeight="1">
      <c r="A55" s="683">
        <v>48</v>
      </c>
      <c r="B55" s="80" t="s">
        <v>388</v>
      </c>
      <c r="C55" s="702" t="s">
        <v>970</v>
      </c>
      <c r="D55" s="503">
        <v>739140</v>
      </c>
    </row>
    <row r="56" spans="1:4" ht="18.75" customHeight="1">
      <c r="A56" s="683">
        <v>49</v>
      </c>
      <c r="B56" s="713" t="s">
        <v>388</v>
      </c>
      <c r="C56" s="702" t="s">
        <v>971</v>
      </c>
      <c r="D56" s="503">
        <v>309766</v>
      </c>
    </row>
    <row r="57" spans="1:4" s="11" customFormat="1" ht="15">
      <c r="A57" s="95">
        <v>50</v>
      </c>
      <c r="B57" s="714"/>
      <c r="C57" s="13" t="s">
        <v>398</v>
      </c>
      <c r="D57" s="288">
        <f>SUM(D45:D56)</f>
        <v>62458941</v>
      </c>
    </row>
    <row r="58" spans="1:4" s="35" customFormat="1" ht="15">
      <c r="A58" s="95">
        <v>51</v>
      </c>
      <c r="B58" s="1040" t="s">
        <v>917</v>
      </c>
      <c r="C58" s="1041"/>
      <c r="D58" s="1042"/>
    </row>
    <row r="59" spans="1:4" ht="18.75" customHeight="1">
      <c r="A59" s="95">
        <v>52</v>
      </c>
      <c r="B59" s="80" t="s">
        <v>388</v>
      </c>
      <c r="C59" s="136" t="s">
        <v>794</v>
      </c>
      <c r="D59" s="285">
        <v>196850</v>
      </c>
    </row>
    <row r="60" spans="1:4" s="35" customFormat="1" ht="15">
      <c r="A60" s="683">
        <v>53</v>
      </c>
      <c r="B60" s="292"/>
      <c r="C60" s="13" t="s">
        <v>920</v>
      </c>
      <c r="D60" s="286">
        <f>SUM(D59:D59)</f>
        <v>196850</v>
      </c>
    </row>
    <row r="61" spans="1:4" ht="15.75" thickBot="1">
      <c r="A61" s="96">
        <v>54</v>
      </c>
      <c r="B61" s="93" t="s">
        <v>378</v>
      </c>
      <c r="C61" s="14"/>
      <c r="D61" s="289">
        <f>SUM(D57+D60)</f>
        <v>62655791</v>
      </c>
    </row>
    <row r="62" spans="1:4" ht="15">
      <c r="A62" s="621">
        <v>55</v>
      </c>
      <c r="B62" s="1037" t="s">
        <v>131</v>
      </c>
      <c r="C62" s="1037"/>
      <c r="D62" s="1038"/>
    </row>
    <row r="63" spans="1:4" s="11" customFormat="1" ht="15">
      <c r="A63" s="95">
        <v>56</v>
      </c>
      <c r="B63" s="15" t="s">
        <v>461</v>
      </c>
      <c r="C63" s="12"/>
      <c r="D63" s="7"/>
    </row>
    <row r="64" spans="1:4" s="35" customFormat="1" ht="20.25" customHeight="1">
      <c r="A64" s="95">
        <v>57</v>
      </c>
      <c r="B64" s="80" t="s">
        <v>388</v>
      </c>
      <c r="C64" s="136" t="s">
        <v>442</v>
      </c>
      <c r="D64" s="503">
        <v>449520</v>
      </c>
    </row>
    <row r="65" spans="1:4" ht="32.25" customHeight="1">
      <c r="A65" s="95">
        <v>58</v>
      </c>
      <c r="B65" s="80" t="s">
        <v>388</v>
      </c>
      <c r="C65" s="136" t="s">
        <v>821</v>
      </c>
      <c r="D65" s="503">
        <f>80026110-35026110</f>
        <v>45000000</v>
      </c>
    </row>
    <row r="66" spans="1:4" ht="27.75" customHeight="1">
      <c r="A66" s="683">
        <v>59</v>
      </c>
      <c r="B66" s="80" t="s">
        <v>388</v>
      </c>
      <c r="C66" s="136" t="s">
        <v>822</v>
      </c>
      <c r="D66" s="285">
        <f>1159500-904841</f>
        <v>254659</v>
      </c>
    </row>
    <row r="67" spans="1:6" ht="30" customHeight="1">
      <c r="A67" s="683">
        <v>60</v>
      </c>
      <c r="B67" s="80" t="s">
        <v>388</v>
      </c>
      <c r="C67" s="136" t="s">
        <v>878</v>
      </c>
      <c r="D67" s="684">
        <v>788000</v>
      </c>
      <c r="F67" s="2" t="s">
        <v>108</v>
      </c>
    </row>
    <row r="68" spans="1:4" ht="21.75" customHeight="1">
      <c r="A68" s="683">
        <v>61</v>
      </c>
      <c r="B68" s="80" t="s">
        <v>388</v>
      </c>
      <c r="C68" s="702" t="s">
        <v>910</v>
      </c>
      <c r="D68" s="503">
        <v>50000</v>
      </c>
    </row>
    <row r="69" spans="1:4" s="3" customFormat="1" ht="15" thickBot="1">
      <c r="A69" s="96">
        <v>62</v>
      </c>
      <c r="B69" s="16" t="s">
        <v>378</v>
      </c>
      <c r="C69" s="14"/>
      <c r="D69" s="290">
        <f>SUM(D64:D68)</f>
        <v>46542179</v>
      </c>
    </row>
    <row r="70" spans="1:4" ht="15" hidden="1">
      <c r="A70" s="621">
        <v>46</v>
      </c>
      <c r="B70" s="1037" t="s">
        <v>443</v>
      </c>
      <c r="C70" s="1037"/>
      <c r="D70" s="1038"/>
    </row>
    <row r="71" spans="1:4" s="11" customFormat="1" ht="15" hidden="1">
      <c r="A71" s="95">
        <v>47</v>
      </c>
      <c r="B71" s="80"/>
      <c r="C71" s="18"/>
      <c r="D71" s="17"/>
    </row>
    <row r="72" spans="1:4" s="3" customFormat="1" ht="15" hidden="1" thickBot="1">
      <c r="A72" s="95">
        <v>51</v>
      </c>
      <c r="B72" s="16" t="s">
        <v>378</v>
      </c>
      <c r="C72" s="14"/>
      <c r="D72" s="8">
        <f>SUM(D71:D71)</f>
        <v>0</v>
      </c>
    </row>
    <row r="73" spans="1:4" ht="15">
      <c r="A73" s="95">
        <v>63</v>
      </c>
      <c r="B73" s="1037" t="s">
        <v>444</v>
      </c>
      <c r="C73" s="1037"/>
      <c r="D73" s="1038"/>
    </row>
    <row r="74" spans="1:4" ht="15">
      <c r="A74" s="95">
        <v>64</v>
      </c>
      <c r="B74" s="15" t="s">
        <v>461</v>
      </c>
      <c r="C74" s="88"/>
      <c r="D74" s="87"/>
    </row>
    <row r="75" spans="1:4" ht="30">
      <c r="A75" s="683">
        <v>65</v>
      </c>
      <c r="B75" s="80" t="s">
        <v>388</v>
      </c>
      <c r="C75" s="81" t="s">
        <v>883</v>
      </c>
      <c r="D75" s="291">
        <f>389000+4649000-35571-825910</f>
        <v>4176519</v>
      </c>
    </row>
    <row r="76" spans="1:4" s="3" customFormat="1" ht="15" thickBot="1">
      <c r="A76" s="96">
        <v>66</v>
      </c>
      <c r="B76" s="16" t="s">
        <v>378</v>
      </c>
      <c r="C76" s="14"/>
      <c r="D76" s="290">
        <f>SUM(D75:D75)</f>
        <v>4176519</v>
      </c>
    </row>
    <row r="77" spans="1:4" ht="21" customHeight="1" thickBot="1">
      <c r="A77" s="96">
        <v>67</v>
      </c>
      <c r="B77" s="94" t="s">
        <v>379</v>
      </c>
      <c r="C77" s="16"/>
      <c r="D77" s="290">
        <f>SUM(D76+D69+D61+D44)</f>
        <v>449009931</v>
      </c>
    </row>
    <row r="79" ht="21" customHeight="1"/>
    <row r="81" spans="2:4" ht="15">
      <c r="B81" s="1039"/>
      <c r="C81" s="1039"/>
      <c r="D81" s="1039"/>
    </row>
    <row r="83" ht="15">
      <c r="H83" s="79"/>
    </row>
  </sheetData>
  <sheetProtection/>
  <mergeCells count="13">
    <mergeCell ref="B45:D45"/>
    <mergeCell ref="B7:C7"/>
    <mergeCell ref="B33:D33"/>
    <mergeCell ref="A6:A7"/>
    <mergeCell ref="B70:D70"/>
    <mergeCell ref="B73:D73"/>
    <mergeCell ref="B81:D81"/>
    <mergeCell ref="B37:D37"/>
    <mergeCell ref="C1:D1"/>
    <mergeCell ref="B62:D62"/>
    <mergeCell ref="B3:D3"/>
    <mergeCell ref="B6:C6"/>
    <mergeCell ref="B58:D5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"/>
  <sheetViews>
    <sheetView zoomScalePageLayoutView="0" workbookViewId="0" topLeftCell="A1">
      <selection activeCell="A3" sqref="A3:I13"/>
    </sheetView>
  </sheetViews>
  <sheetFormatPr defaultColWidth="8.875" defaultRowHeight="12.75"/>
  <cols>
    <col min="1" max="1" width="4.125" style="108" bestFit="1" customWidth="1"/>
    <col min="2" max="2" width="14.625" style="103" customWidth="1"/>
    <col min="3" max="9" width="16.75390625" style="103" customWidth="1"/>
    <col min="10" max="10" width="13.875" style="103" bestFit="1" customWidth="1"/>
    <col min="11" max="11" width="14.25390625" style="103" bestFit="1" customWidth="1"/>
    <col min="12" max="16384" width="8.875" style="103" customWidth="1"/>
  </cols>
  <sheetData>
    <row r="1" ht="15.75">
      <c r="I1" s="139" t="s">
        <v>1070</v>
      </c>
    </row>
    <row r="3" spans="1:9" ht="40.5" customHeight="1">
      <c r="A3" s="1048" t="s">
        <v>153</v>
      </c>
      <c r="B3" s="1049"/>
      <c r="C3" s="1049"/>
      <c r="D3" s="1049"/>
      <c r="E3" s="1049"/>
      <c r="F3" s="1049"/>
      <c r="G3" s="1049"/>
      <c r="H3" s="1049"/>
      <c r="I3" s="1049"/>
    </row>
    <row r="4" spans="2:9" ht="16.5" thickBot="1">
      <c r="B4" s="104"/>
      <c r="C4" s="104"/>
      <c r="D4" s="104"/>
      <c r="E4" s="104"/>
      <c r="F4" s="104"/>
      <c r="G4" s="104"/>
      <c r="H4" s="104"/>
      <c r="I4" s="104"/>
    </row>
    <row r="5" spans="1:9" ht="15.75">
      <c r="A5" s="1050" t="s">
        <v>452</v>
      </c>
      <c r="B5" s="1052" t="s">
        <v>433</v>
      </c>
      <c r="C5" s="1052" t="s">
        <v>439</v>
      </c>
      <c r="D5" s="1052"/>
      <c r="E5" s="1052"/>
      <c r="F5" s="1052"/>
      <c r="G5" s="1052"/>
      <c r="H5" s="1052"/>
      <c r="I5" s="1054" t="s">
        <v>440</v>
      </c>
    </row>
    <row r="6" spans="1:9" s="105" customFormat="1" ht="102.75" customHeight="1">
      <c r="A6" s="1051"/>
      <c r="B6" s="1053"/>
      <c r="C6" s="106" t="s">
        <v>435</v>
      </c>
      <c r="D6" s="106" t="s">
        <v>436</v>
      </c>
      <c r="E6" s="106" t="s">
        <v>441</v>
      </c>
      <c r="F6" s="106" t="s">
        <v>437</v>
      </c>
      <c r="G6" s="106" t="s">
        <v>434</v>
      </c>
      <c r="H6" s="106" t="s">
        <v>438</v>
      </c>
      <c r="I6" s="1055"/>
    </row>
    <row r="7" spans="1:9" s="108" customFormat="1" ht="12">
      <c r="A7" s="1051"/>
      <c r="B7" s="110" t="s">
        <v>446</v>
      </c>
      <c r="C7" s="109" t="s">
        <v>447</v>
      </c>
      <c r="D7" s="109" t="s">
        <v>448</v>
      </c>
      <c r="E7" s="109" t="s">
        <v>449</v>
      </c>
      <c r="F7" s="109" t="s">
        <v>450</v>
      </c>
      <c r="G7" s="109" t="s">
        <v>451</v>
      </c>
      <c r="H7" s="109" t="s">
        <v>453</v>
      </c>
      <c r="I7" s="112" t="s">
        <v>454</v>
      </c>
    </row>
    <row r="8" spans="1:9" s="145" customFormat="1" ht="15.75">
      <c r="A8" s="144">
        <v>1</v>
      </c>
      <c r="B8" s="111" t="s">
        <v>462</v>
      </c>
      <c r="C8" s="504">
        <v>162200000</v>
      </c>
      <c r="D8" s="505">
        <v>137073676</v>
      </c>
      <c r="E8" s="505">
        <v>6000</v>
      </c>
      <c r="F8" s="505"/>
      <c r="G8" s="504">
        <v>560000</v>
      </c>
      <c r="H8" s="505"/>
      <c r="I8" s="506">
        <f aca="true" t="shared" si="0" ref="I8:I13">SUM(C8:H8)</f>
        <v>299839676</v>
      </c>
    </row>
    <row r="9" spans="1:9" ht="15.75">
      <c r="A9" s="107">
        <v>2</v>
      </c>
      <c r="B9" s="111" t="s">
        <v>463</v>
      </c>
      <c r="C9" s="507">
        <v>150000000</v>
      </c>
      <c r="D9" s="508">
        <v>12000000</v>
      </c>
      <c r="E9" s="508">
        <v>300000</v>
      </c>
      <c r="F9" s="508"/>
      <c r="G9" s="507">
        <v>900000</v>
      </c>
      <c r="H9" s="508"/>
      <c r="I9" s="509">
        <f t="shared" si="0"/>
        <v>163200000</v>
      </c>
    </row>
    <row r="10" spans="1:9" ht="15.75">
      <c r="A10" s="107">
        <v>3</v>
      </c>
      <c r="B10" s="111" t="s">
        <v>464</v>
      </c>
      <c r="C10" s="507">
        <v>152000000</v>
      </c>
      <c r="D10" s="508">
        <v>10000000</v>
      </c>
      <c r="E10" s="508">
        <v>250000</v>
      </c>
      <c r="F10" s="508"/>
      <c r="G10" s="507">
        <v>800000</v>
      </c>
      <c r="H10" s="508"/>
      <c r="I10" s="509">
        <f t="shared" si="0"/>
        <v>163050000</v>
      </c>
    </row>
    <row r="11" spans="1:9" ht="15.75">
      <c r="A11" s="107">
        <v>4</v>
      </c>
      <c r="B11" s="111" t="s">
        <v>465</v>
      </c>
      <c r="C11" s="507">
        <v>154000000</v>
      </c>
      <c r="D11" s="508">
        <v>8000000</v>
      </c>
      <c r="E11" s="508">
        <v>200000</v>
      </c>
      <c r="F11" s="508"/>
      <c r="G11" s="507">
        <v>700000</v>
      </c>
      <c r="H11" s="508"/>
      <c r="I11" s="509">
        <f t="shared" si="0"/>
        <v>162900000</v>
      </c>
    </row>
    <row r="12" spans="1:9" ht="15.75">
      <c r="A12" s="107">
        <v>5</v>
      </c>
      <c r="B12" s="111" t="s">
        <v>466</v>
      </c>
      <c r="C12" s="507">
        <v>128585000</v>
      </c>
      <c r="D12" s="508">
        <v>6000000</v>
      </c>
      <c r="E12" s="508">
        <v>266000</v>
      </c>
      <c r="F12" s="508">
        <v>100000</v>
      </c>
      <c r="G12" s="507">
        <v>350000</v>
      </c>
      <c r="H12" s="508"/>
      <c r="I12" s="509">
        <f t="shared" si="0"/>
        <v>135301000</v>
      </c>
    </row>
    <row r="13" spans="1:9" ht="16.5" thickBot="1">
      <c r="A13" s="146">
        <v>6</v>
      </c>
      <c r="B13" s="147" t="s">
        <v>467</v>
      </c>
      <c r="C13" s="510">
        <v>130615000</v>
      </c>
      <c r="D13" s="511">
        <v>6000000</v>
      </c>
      <c r="E13" s="511">
        <v>271000</v>
      </c>
      <c r="F13" s="511">
        <v>100000</v>
      </c>
      <c r="G13" s="510">
        <v>340000</v>
      </c>
      <c r="H13" s="511"/>
      <c r="I13" s="512">
        <f t="shared" si="0"/>
        <v>137326000</v>
      </c>
    </row>
    <row r="15" ht="15.75">
      <c r="E15" s="145"/>
    </row>
  </sheetData>
  <sheetProtection/>
  <mergeCells count="5">
    <mergeCell ref="A3:I3"/>
    <mergeCell ref="A5:A7"/>
    <mergeCell ref="B5:B6"/>
    <mergeCell ref="C5:H5"/>
    <mergeCell ref="I5:I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Juhász Anikó</cp:lastModifiedBy>
  <cp:lastPrinted>2018-02-23T14:28:42Z</cp:lastPrinted>
  <dcterms:created xsi:type="dcterms:W3CDTF">2001-11-30T10:27:10Z</dcterms:created>
  <dcterms:modified xsi:type="dcterms:W3CDTF">2018-02-23T14:29:08Z</dcterms:modified>
  <cp:category/>
  <cp:version/>
  <cp:contentType/>
  <cp:contentStatus/>
</cp:coreProperties>
</file>