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87" firstSheet="29" activeTab="39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state="hidden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9. sz. mell" sheetId="28" r:id="rId28"/>
    <sheet name="1.tájékoztató" sheetId="29" r:id="rId29"/>
    <sheet name="2. tájékoztató tábla" sheetId="30" r:id="rId30"/>
    <sheet name="3. tájékoztató tábla" sheetId="31" r:id="rId31"/>
    <sheet name="4. tájékoztató tábla" sheetId="32" r:id="rId32"/>
    <sheet name="5. tájékoztató tábla" sheetId="33" r:id="rId33"/>
    <sheet name="6. tájékoztató tábla" sheetId="34" r:id="rId34"/>
    <sheet name="7.1. tájékoztató tábla" sheetId="35" r:id="rId35"/>
    <sheet name="7.2. tájékoztató tábla" sheetId="36" r:id="rId36"/>
    <sheet name="7.3. tájékoztató tábla" sheetId="37" r:id="rId37"/>
    <sheet name="7.4. tájékoztató tábla" sheetId="38" r:id="rId38"/>
    <sheet name="8. tájékoztató tábla" sheetId="39" r:id="rId39"/>
    <sheet name="9. tájékoztató tábla" sheetId="40" r:id="rId40"/>
    <sheet name="Munka2" sheetId="41" r:id="rId41"/>
    <sheet name="Munka1" sheetId="42" r:id="rId42"/>
  </sheets>
  <definedNames>
    <definedName name="_ftn1" localSheetId="36">'7.3. tájékoztató tábla'!$A$27</definedName>
    <definedName name="_ftnref1" localSheetId="36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4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28">'1.tájékoztató'!$A$1:$E$145</definedName>
    <definedName name="_xlnm.Print_Area" localSheetId="5">'2.1.sz.mell  '!$A$1:$J$32</definedName>
    <definedName name="_xlnm.Print_Area" localSheetId="10">'5. sz. mell. '!$A$1:$N$33</definedName>
  </definedNames>
  <calcPr fullCalcOnLoad="1"/>
</workbook>
</file>

<file path=xl/sharedStrings.xml><?xml version="1.0" encoding="utf-8"?>
<sst xmlns="http://schemas.openxmlformats.org/spreadsheetml/2006/main" count="4960" uniqueCount="796">
  <si>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</si>
  <si>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</si>
  <si>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</si>
  <si>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</si>
  <si>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</si>
  <si>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</si>
  <si>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</si>
  <si>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</si>
  <si>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</si>
  <si>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</si>
  <si>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</si>
  <si>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</si>
  <si>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</si>
  <si>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</si>
  <si>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</si>
  <si>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</si>
  <si>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</si>
  <si>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</si>
  <si>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</si>
  <si>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</si>
  <si>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</si>
  <si>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</si>
  <si>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</si>
  <si>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</si>
  <si>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</si>
  <si>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</si>
  <si>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</si>
  <si>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</si>
  <si>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</si>
  <si>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</si>
  <si>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</si>
  <si>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</si>
  <si>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</si>
  <si>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</si>
  <si>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</si>
  <si>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</si>
  <si>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</si>
  <si>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</si>
  <si>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</si>
  <si>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</si>
  <si>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</si>
  <si>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</si>
  <si>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</si>
  <si>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</si>
  <si>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</si>
  <si>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</si>
  <si>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</si>
  <si>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</si>
  <si>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</si>
  <si>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</si>
  <si>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</si>
  <si>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</si>
  <si>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</si>
  <si>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</si>
  <si>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</si>
  <si>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</si>
  <si>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</si>
  <si>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</si>
  <si>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</si>
  <si>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</si>
  <si>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</si>
  <si>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</si>
  <si>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</si>
  <si>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</si>
  <si>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</si>
  <si>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</si>
  <si>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</si>
  <si>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</si>
  <si>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</si>
  <si>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</si>
  <si>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</si>
  <si>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</si>
  <si>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</si>
  <si>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</si>
  <si>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</si>
  <si>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</si>
  <si>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</si>
  <si>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</si>
  <si>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</si>
  <si>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</si>
  <si>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</si>
  <si>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</si>
  <si>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</si>
  <si>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</si>
  <si>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</si>
  <si>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</si>
  <si>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</si>
  <si>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</si>
  <si>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</si>
  <si>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</si>
  <si>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</si>
  <si>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</si>
  <si>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</si>
  <si>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</si>
  <si>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</si>
  <si>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</si>
  <si>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</si>
  <si>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</si>
  <si>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</si>
  <si>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</si>
  <si>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</si>
  <si>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</si>
  <si>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</si>
  <si>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</si>
  <si>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</si>
  <si>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</si>
  <si>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</si>
  <si>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</si>
  <si>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</si>
  <si>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</si>
  <si>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</si>
  <si>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</si>
  <si>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</si>
  <si>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</si>
  <si>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</si>
  <si>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</si>
  <si>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</si>
  <si>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</si>
  <si>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</si>
  <si>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</si>
  <si>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</si>
  <si>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</si>
  <si>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</si>
  <si>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</si>
  <si>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</si>
  <si>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</si>
  <si>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</si>
  <si>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</si>
  <si>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</si>
  <si>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</si>
  <si>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</si>
  <si>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</si>
  <si>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</si>
  <si>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</si>
  <si>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</si>
  <si>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</si>
  <si>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</si>
  <si>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</si>
  <si>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</si>
  <si>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</si>
  <si>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</si>
  <si>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</si>
  <si>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</si>
  <si>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</si>
  <si>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</si>
  <si>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</si>
  <si>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</si>
  <si>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</si>
  <si>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</si>
  <si>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</si>
  <si>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</si>
  <si>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</si>
  <si>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</si>
  <si>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</si>
  <si>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</si>
  <si>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</si>
  <si>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</si>
  <si>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</si>
  <si>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</si>
  <si>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</si>
  <si>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</si>
  <si>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</si>
  <si>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</si>
  <si>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</si>
  <si>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</si>
  <si>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</si>
  <si>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</si>
  <si>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</si>
  <si>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</si>
  <si>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</si>
  <si>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</si>
  <si>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</si>
  <si>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</si>
  <si>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</si>
  <si>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</si>
  <si>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</si>
  <si>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</si>
  <si>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</si>
  <si>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</si>
  <si>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</si>
  <si>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</si>
  <si>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</si>
  <si>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</si>
  <si>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</si>
  <si>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</si>
  <si>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</si>
  <si>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</si>
  <si>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</si>
  <si>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</si>
  <si>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</si>
  <si>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</si>
  <si>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</si>
  <si>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</si>
  <si>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</si>
  <si>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</si>
  <si>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</si>
  <si>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</si>
  <si>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</si>
  <si>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</si>
  <si>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</si>
  <si>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</si>
  <si>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</si>
  <si>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</si>
  <si>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</si>
  <si>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</si>
  <si>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</si>
  <si>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</si>
  <si>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</si>
  <si>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</si>
  <si>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</si>
  <si>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</si>
  <si>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</si>
  <si>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</si>
  <si>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</si>
  <si>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</si>
  <si>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</si>
  <si>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</si>
  <si>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</si>
  <si>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</si>
  <si>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</si>
  <si>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</si>
  <si>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</si>
  <si>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</si>
  <si>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</si>
  <si>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</si>
  <si>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</si>
  <si>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</si>
  <si>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</si>
  <si>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</si>
  <si>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</si>
  <si>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</si>
  <si>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</si>
  <si>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</si>
  <si>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</si>
  <si>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</si>
  <si>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</si>
  <si>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</si>
  <si>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</si>
  <si>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</si>
  <si>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</si>
  <si>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</si>
  <si>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</si>
  <si>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</si>
  <si>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</si>
  <si>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</si>
  <si>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</si>
  <si>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</si>
  <si>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</si>
  <si>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</si>
  <si>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</si>
  <si>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</si>
  <si>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</si>
  <si>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</si>
  <si>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</si>
  <si>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</si>
  <si>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</si>
  <si>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</si>
  <si>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</si>
  <si>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</si>
  <si>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</si>
  <si>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</si>
  <si>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</si>
  <si>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</si>
  <si>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</si>
  <si>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</si>
  <si>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</si>
  <si>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</si>
  <si>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</si>
  <si>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</si>
  <si>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</si>
  <si>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</si>
  <si>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</si>
  <si>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</si>
  <si>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</si>
  <si>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</si>
  <si>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</si>
  <si>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</si>
  <si>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</si>
  <si>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</si>
  <si>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</si>
  <si>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</si>
  <si>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</si>
  <si>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</si>
  <si>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</si>
  <si>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</si>
  <si>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</si>
  <si>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</si>
  <si>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</si>
  <si>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</si>
  <si>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</si>
  <si>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</si>
  <si>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</si>
  <si>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</si>
  <si>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</si>
  <si>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</si>
  <si>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</si>
  <si>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</si>
  <si>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</si>
  <si>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</si>
  <si>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</si>
  <si>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</si>
  <si>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</si>
  <si>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</si>
  <si>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</si>
  <si>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</si>
  <si>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</si>
  <si>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</si>
  <si>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</si>
  <si>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</si>
  <si>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</si>
  <si>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</si>
  <si>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</si>
  <si>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</si>
  <si>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</si>
  <si>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</si>
  <si>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</si>
  <si>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</si>
  <si>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</si>
  <si>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</si>
  <si>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</si>
  <si>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</si>
  <si>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</si>
  <si>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</si>
  <si>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</si>
  <si>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</si>
  <si>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</si>
  <si>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</si>
  <si>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</si>
  <si>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</si>
  <si>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</si>
  <si>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</si>
  <si>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</si>
  <si>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</si>
  <si>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</si>
  <si>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</si>
  <si>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</si>
  <si>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</si>
  <si>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</si>
  <si>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</si>
  <si>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</si>
  <si>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</si>
  <si>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</si>
  <si>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</si>
  <si>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</si>
  <si>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</si>
  <si>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</si>
  <si>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</si>
  <si>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</si>
  <si>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</si>
  <si>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</si>
  <si>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</si>
  <si>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</si>
  <si>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</si>
  <si>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</si>
  <si>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</si>
  <si>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</si>
  <si>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</si>
  <si>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</si>
  <si>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</si>
  <si>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</si>
  <si>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</si>
  <si>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</si>
  <si>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</si>
  <si>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</si>
  <si>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</si>
  <si>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</si>
  <si>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</si>
  <si>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</si>
  <si>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</si>
  <si>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</si>
  <si>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</si>
  <si>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</si>
  <si>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</si>
  <si>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</si>
  <si>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</si>
  <si>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</si>
  <si>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</si>
  <si>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</si>
  <si>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</si>
  <si>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</si>
  <si>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</si>
  <si>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</si>
  <si>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</si>
  <si>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</si>
  <si>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</si>
  <si>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</si>
  <si>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</si>
  <si>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</si>
  <si>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</si>
  <si>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</si>
  <si>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</si>
  <si>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</si>
  <si>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</si>
  <si>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</si>
  <si>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</si>
  <si>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</si>
  <si>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</si>
  <si>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</si>
  <si>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</si>
  <si>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</si>
  <si>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</si>
  <si>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</si>
  <si>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</si>
  <si>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</si>
  <si>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</si>
  <si>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</si>
  <si>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</si>
  <si>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</si>
  <si>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</si>
  <si>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</si>
  <si>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</si>
  <si>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</si>
  <si>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</si>
  <si>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</si>
  <si>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</si>
  <si>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</si>
  <si>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</si>
  <si>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</si>
  <si>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</si>
  <si>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</si>
  <si>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</si>
  <si>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</si>
  <si>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</si>
  <si>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</si>
  <si>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</si>
  <si>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</si>
  <si>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</si>
  <si>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</si>
  <si>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</si>
  <si>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</si>
  <si>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</si>
  <si>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</si>
  <si>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</si>
  <si>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</si>
  <si>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</si>
  <si>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</si>
  <si>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</si>
  <si>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</si>
  <si>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</si>
  <si>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</si>
  <si>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</si>
  <si>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</si>
  <si>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</si>
  <si>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</si>
  <si>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</si>
  <si>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</si>
  <si>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</si>
  <si>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</si>
  <si>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</si>
  <si>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</si>
  <si>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</si>
  <si>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</si>
  <si>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</si>
  <si>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</si>
  <si>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</si>
  <si>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</si>
  <si>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</si>
  <si>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</si>
  <si>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</si>
  <si>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</si>
  <si>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</si>
  <si>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</si>
  <si>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</si>
  <si>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</si>
  <si>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</si>
  <si>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</si>
  <si>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</si>
  <si>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</si>
  <si>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</si>
  <si>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</si>
  <si>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</si>
  <si>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</si>
  <si>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</si>
  <si>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</si>
  <si>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</si>
  <si>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</si>
  <si>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</si>
  <si>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</si>
  <si>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</si>
  <si>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</si>
  <si>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</si>
  <si>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</si>
  <si>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</si>
  <si>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</si>
  <si>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</si>
  <si>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</si>
  <si>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</si>
  <si>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</si>
  <si>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</si>
  <si>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</si>
  <si>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</si>
  <si>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</si>
  <si>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</si>
  <si>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</si>
  <si>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</si>
  <si>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</si>
  <si>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</si>
  <si>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</si>
  <si>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</si>
  <si>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</si>
  <si>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</si>
  <si>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</si>
  <si>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</si>
  <si>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</si>
  <si>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</si>
  <si>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</si>
  <si>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</si>
  <si>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</si>
  <si>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</si>
  <si>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</si>
  <si>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</si>
  <si>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</si>
  <si>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</si>
  <si>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</si>
  <si>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</si>
  <si>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</si>
  <si>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</si>
  <si>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</si>
  <si>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</si>
  <si>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</si>
  <si>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</si>
  <si>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</si>
  <si>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</si>
  <si>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</si>
  <si>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</si>
  <si>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</si>
  <si>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</si>
  <si>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</si>
  <si>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</si>
  <si>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</si>
  <si>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</si>
  <si>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</si>
  <si>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</si>
  <si>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</si>
  <si>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</si>
  <si>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</si>
  <si>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</si>
  <si>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</si>
  <si>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</si>
  <si>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</si>
  <si>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</si>
  <si>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</si>
  <si>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</si>
  <si>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</si>
  <si>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</si>
  <si>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</si>
  <si>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</si>
  <si>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</si>
  <si>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</si>
  <si>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</si>
  <si>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</si>
  <si>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</si>
  <si>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</si>
  <si>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</si>
  <si>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</si>
  <si>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</si>
  <si>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</si>
  <si>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</si>
  <si>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</si>
  <si>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</si>
  <si>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</si>
  <si>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</si>
  <si>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</si>
  <si>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</si>
  <si>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</si>
  <si>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</si>
  <si>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</si>
  <si>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</si>
  <si>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</si>
  <si>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</si>
  <si>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</si>
  <si>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</si>
  <si>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</si>
  <si>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</si>
  <si>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</si>
  <si>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</si>
  <si>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</si>
  <si>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</si>
  <si>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</si>
  <si>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</si>
  <si>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</si>
  <si>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</si>
  <si>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</si>
  <si>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</si>
  <si>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</si>
  <si>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</si>
  <si>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</si>
  <si>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</si>
  <si>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</si>
  <si>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</si>
  <si>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</si>
  <si>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</si>
  <si>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</si>
  <si>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</si>
  <si>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</si>
  <si>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</si>
  <si>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</si>
  <si>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</si>
  <si>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</si>
  <si>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</si>
  <si>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</si>
  <si>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</si>
  <si>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</si>
  <si>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</si>
  <si>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</si>
  <si>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</si>
  <si>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</si>
  <si>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</si>
  <si>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</si>
  <si>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</si>
  <si>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</si>
  <si>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</si>
  <si>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</si>
  <si>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</si>
  <si>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</si>
  <si>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</si>
  <si>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</si>
  <si>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</si>
  <si>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</si>
  <si>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</si>
  <si>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</si>
  <si>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</si>
  <si>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</si>
  <si>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</si>
  <si>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</si>
  <si>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</si>
  <si>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</si>
  <si>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</si>
  <si>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</si>
  <si>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</si>
  <si>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</si>
  <si>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</si>
  <si>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</si>
  <si>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</si>
  <si>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</si>
  <si>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</si>
  <si>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</si>
  <si>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</si>
  <si>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</si>
  <si>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</si>
  <si>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</si>
  <si>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</si>
  <si>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</si>
  <si>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</si>
  <si>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</si>
  <si>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</si>
  <si>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</si>
  <si>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</si>
  <si>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</si>
  <si>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</si>
  <si>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</si>
  <si>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</si>
  <si>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</si>
  <si>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</si>
  <si>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</si>
  <si>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</si>
  <si>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</si>
  <si>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</si>
  <si>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</si>
  <si>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</si>
  <si>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</si>
  <si>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</si>
  <si>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</si>
  <si>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</si>
  <si>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</si>
  <si>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</si>
  <si>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</si>
  <si>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</si>
  <si>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</si>
  <si>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</si>
  <si>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</si>
  <si>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</si>
  <si>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</si>
  <si>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</si>
  <si>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</si>
  <si>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</si>
  <si>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</si>
  <si>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</si>
  <si>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</si>
  <si>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</si>
  <si>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</si>
  <si>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</si>
  <si>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</si>
  <si>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</si>
  <si>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</si>
  <si>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</si>
  <si>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</si>
  <si>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</si>
  <si>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</si>
  <si>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</si>
  <si>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</si>
  <si>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</si>
  <si>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</si>
  <si>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</si>
  <si>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</si>
  <si>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</si>
  <si>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</si>
  <si>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</si>
  <si>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</si>
  <si>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</si>
  <si>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</si>
  <si>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</si>
  <si>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</si>
  <si>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</si>
  <si>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</si>
  <si>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</si>
  <si>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</si>
  <si>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</si>
  <si>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</si>
  <si>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</si>
  <si>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</si>
  <si>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</si>
  <si>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</si>
  <si>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</si>
  <si>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</si>
  <si>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</si>
  <si>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</si>
  <si>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</si>
  <si>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</si>
  <si>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</si>
  <si>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</si>
  <si>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</si>
  <si>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</si>
  <si>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</si>
  <si>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</si>
  <si>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</si>
  <si>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</si>
  <si>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</si>
  <si>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</si>
  <si>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</si>
  <si>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</si>
  <si>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</si>
  <si>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</si>
  <si>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</si>
  <si>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</si>
  <si>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</si>
  <si>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</si>
  <si>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</si>
  <si>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</si>
  <si>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2016. évi eredeti előirányzat BEVÉTELEK</t>
  </si>
  <si>
    <t>Bruttó  hiány:</t>
  </si>
  <si>
    <t>Bruttó  többlet:</t>
  </si>
  <si>
    <t>Zárszámadási rendelet űrlapjainak összefüggései:</t>
  </si>
  <si>
    <t>Könyvtár Nyírpazony</t>
  </si>
  <si>
    <t>Nyírpazonyi Aranyalma Óvoda</t>
  </si>
  <si>
    <t>Nyírpazonyi Polgármesteri hivatal</t>
  </si>
  <si>
    <t>Nyírpazony Nagyközség Önkormányzat</t>
  </si>
  <si>
    <t>Nyírpazonyi Polgármesteri Hivatal</t>
  </si>
  <si>
    <t>Gépjárműadó</t>
  </si>
  <si>
    <t>NEMLEGES</t>
  </si>
  <si>
    <t>Polgármesteri Hivatal belső átalakítása</t>
  </si>
  <si>
    <t>2016</t>
  </si>
  <si>
    <t>Kosárlabda pálya kialakítása</t>
  </si>
  <si>
    <t>Könyvtár felújítás</t>
  </si>
  <si>
    <t>2016-2017</t>
  </si>
  <si>
    <t>Telekvásárlás Arany J. utca Sportegyesület részére</t>
  </si>
  <si>
    <t>2015-2016</t>
  </si>
  <si>
    <t>Ingatlan vásárlás Parókia - Közösségi tér létrehozása</t>
  </si>
  <si>
    <t>206-2017</t>
  </si>
  <si>
    <t>Nissan Gépjármű beszerzés</t>
  </si>
  <si>
    <t>Ingatlanvásárlás Záhony Önkormányzat</t>
  </si>
  <si>
    <t>Ingatlanvásárlás Nyírtelek Önkormányzat</t>
  </si>
  <si>
    <t>Ingatlanvásárlás Vaja Önkormányzat</t>
  </si>
  <si>
    <t>Tárgyi eszköz beszerzés - Betonelem gyártó sablon</t>
  </si>
  <si>
    <t>Tárgyi eszköz beszerzés - Döngölőbéka</t>
  </si>
  <si>
    <t>Tárgyi eszköz beszerzés - Hűtőgép</t>
  </si>
  <si>
    <t>Tárgyi eszköz beszerzés - Betonkeverő</t>
  </si>
  <si>
    <t>Tárgyi eszköz beszerzés - Sörpad</t>
  </si>
  <si>
    <t>Tárgyi eszköz beszerzés -Forgalomlassító küszöb</t>
  </si>
  <si>
    <t>Tárgyi eszköz beszerzés -Kamerarendszer kiépítése</t>
  </si>
  <si>
    <t>Tárgyi eszköz beszerzés -Nyomtató beszerzés Hivatal</t>
  </si>
  <si>
    <t>Tárgyi eszköz beszerzés - Fénymásoló beszerzés Hivatal</t>
  </si>
  <si>
    <t>Tárgyi eszköz beszerzés -Telefonkészülékek hivatal</t>
  </si>
  <si>
    <t>Könyvtár berendezési tárgyak</t>
  </si>
  <si>
    <t>Tárgyi eszköz beszerzés - Fényképező</t>
  </si>
  <si>
    <t xml:space="preserve">Tárgyi eszköz beszerzés - MTZ Traktor </t>
  </si>
  <si>
    <t>Tárgyi eszköz beszerzés -Pótkocsi beszerzés</t>
  </si>
  <si>
    <t>Tárgyi eszköz beszerzés - ventilátor</t>
  </si>
  <si>
    <t>Tárgyi eszköz beszerzés -Thomas mini rakodó</t>
  </si>
  <si>
    <t>Tárgyi eszköz beszerzés - Vízszivattyú</t>
  </si>
  <si>
    <t>Tárgyi eszköz beszerzés - Hótoló beszerzés</t>
  </si>
  <si>
    <t xml:space="preserve"> Tárgyi eszköz beszerzés - takarítógép, gőzákkomás, porszívó</t>
  </si>
  <si>
    <t>Tárgyi eszköz beszerzés -berendezési tárgyak</t>
  </si>
  <si>
    <t>Egyéb belső finanszírozási kiadások</t>
  </si>
  <si>
    <t>Nyírpazonyi Nők klubja</t>
  </si>
  <si>
    <t>Nyírpazonyi Sportegyesület</t>
  </si>
  <si>
    <t>Kabalási Polgárőr Egyesület</t>
  </si>
  <si>
    <t>Nyírpazonyi Településüzemeltetési Kft</t>
  </si>
  <si>
    <t>Nyírpazonyi Polgárőrség támogatása</t>
  </si>
  <si>
    <t>népi  hagyományok megteremtése</t>
  </si>
  <si>
    <t xml:space="preserve">TAO </t>
  </si>
  <si>
    <t>utánpótlás nevelés</t>
  </si>
  <si>
    <t>polgárőrség fenntartása</t>
  </si>
  <si>
    <t>településüzemeltetés</t>
  </si>
  <si>
    <t>Csalogány Nyugdíjas Klub</t>
  </si>
  <si>
    <t>Adósságkonszolidáció támogatói okratában vállalt kötelezettségek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</si>
</sst>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7" borderId="0" applyNumberFormat="0" applyBorder="0" applyAlignment="0" applyProtection="0"/>
    <xf numFmtId="0" fontId="73" fillId="6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2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2" fillId="17" borderId="0" applyNumberFormat="0" applyBorder="0" applyAlignment="0" applyProtection="0"/>
    <xf numFmtId="0" fontId="72" fillId="5" borderId="0" applyNumberFormat="0" applyBorder="0" applyAlignment="0" applyProtection="0"/>
    <xf numFmtId="0" fontId="74" fillId="12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75" fillId="1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19" borderId="7" applyNumberFormat="0" applyFont="0" applyAlignment="0" applyProtection="0"/>
    <xf numFmtId="0" fontId="79" fillId="20" borderId="0" applyNumberFormat="0" applyBorder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1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3" applyNumberFormat="1" applyFont="1" applyFill="1" applyBorder="1" applyAlignment="1" applyProtection="1">
      <alignment vertical="center"/>
      <protection/>
    </xf>
    <xf numFmtId="164" fontId="21" fillId="0" borderId="20" xfId="63" applyNumberFormat="1" applyFont="1" applyFill="1" applyBorder="1" applyAlignment="1" applyProtection="1">
      <alignment/>
      <protection/>
    </xf>
    <xf numFmtId="0" fontId="6" fillId="0" borderId="21" xfId="63" applyFont="1" applyFill="1" applyBorder="1" applyAlignment="1" applyProtection="1">
      <alignment horizontal="center" vertical="center" wrapText="1"/>
      <protection/>
    </xf>
    <xf numFmtId="0" fontId="6" fillId="0" borderId="22" xfId="63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5" applyFill="1">
      <alignment/>
      <protection/>
    </xf>
    <xf numFmtId="0" fontId="17" fillId="0" borderId="0" xfId="65" applyFont="1" applyFill="1">
      <alignment/>
      <protection/>
    </xf>
    <xf numFmtId="0" fontId="29" fillId="0" borderId="0" xfId="65" applyFont="1" applyFill="1">
      <alignment/>
      <protection/>
    </xf>
    <xf numFmtId="3" fontId="29" fillId="0" borderId="0" xfId="65" applyNumberFormat="1" applyFont="1" applyFill="1" applyAlignment="1">
      <alignment horizontal="center"/>
      <protection/>
    </xf>
    <xf numFmtId="0" fontId="0" fillId="0" borderId="0" xfId="64" applyFill="1" applyAlignment="1" applyProtection="1">
      <alignment vertical="center" wrapText="1"/>
      <protection/>
    </xf>
    <xf numFmtId="0" fontId="0" fillId="0" borderId="0" xfId="64" applyFill="1" applyAlignment="1" applyProtection="1">
      <alignment horizontal="center" vertical="center"/>
      <protection/>
    </xf>
    <xf numFmtId="49" fontId="12" fillId="0" borderId="51" xfId="64" applyNumberFormat="1" applyFont="1" applyFill="1" applyBorder="1" applyAlignment="1" applyProtection="1">
      <alignment horizontal="center" vertical="center" wrapText="1"/>
      <protection/>
    </xf>
    <xf numFmtId="49" fontId="12" fillId="0" borderId="21" xfId="64" applyNumberFormat="1" applyFont="1" applyFill="1" applyBorder="1" applyAlignment="1" applyProtection="1">
      <alignment horizontal="center" vertical="center"/>
      <protection/>
    </xf>
    <xf numFmtId="49" fontId="12" fillId="0" borderId="22" xfId="64" applyNumberFormat="1" applyFont="1" applyFill="1" applyBorder="1" applyAlignment="1" applyProtection="1">
      <alignment horizontal="center" vertical="center"/>
      <protection/>
    </xf>
    <xf numFmtId="49" fontId="0" fillId="0" borderId="0" xfId="64" applyNumberFormat="1" applyFont="1" applyFill="1" applyAlignment="1" applyProtection="1">
      <alignment horizontal="center" vertical="center"/>
      <protection/>
    </xf>
    <xf numFmtId="173" fontId="13" fillId="0" borderId="37" xfId="64" applyNumberFormat="1" applyFont="1" applyFill="1" applyBorder="1" applyAlignment="1" applyProtection="1">
      <alignment horizontal="center" vertical="center"/>
      <protection/>
    </xf>
    <xf numFmtId="174" fontId="13" fillId="0" borderId="59" xfId="64" applyNumberFormat="1" applyFont="1" applyFill="1" applyBorder="1" applyAlignment="1" applyProtection="1">
      <alignment vertical="center"/>
      <protection locked="0"/>
    </xf>
    <xf numFmtId="173" fontId="13" fillId="0" borderId="10" xfId="64" applyNumberFormat="1" applyFont="1" applyFill="1" applyBorder="1" applyAlignment="1" applyProtection="1">
      <alignment horizontal="center" vertical="center"/>
      <protection/>
    </xf>
    <xf numFmtId="174" fontId="13" fillId="0" borderId="18" xfId="64" applyNumberFormat="1" applyFont="1" applyFill="1" applyBorder="1" applyAlignment="1" applyProtection="1">
      <alignment vertical="center"/>
      <protection locked="0"/>
    </xf>
    <xf numFmtId="174" fontId="12" fillId="0" borderId="18" xfId="64" applyNumberFormat="1" applyFont="1" applyFill="1" applyBorder="1" applyAlignment="1" applyProtection="1">
      <alignment vertical="center"/>
      <protection/>
    </xf>
    <xf numFmtId="0" fontId="12" fillId="0" borderId="51" xfId="64" applyFont="1" applyFill="1" applyBorder="1" applyAlignment="1" applyProtection="1">
      <alignment horizontal="left" vertical="center" wrapText="1"/>
      <protection/>
    </xf>
    <xf numFmtId="173" fontId="13" fillId="0" borderId="21" xfId="64" applyNumberFormat="1" applyFont="1" applyFill="1" applyBorder="1" applyAlignment="1" applyProtection="1">
      <alignment horizontal="center" vertical="center"/>
      <protection/>
    </xf>
    <xf numFmtId="174" fontId="12" fillId="0" borderId="22" xfId="64" applyNumberFormat="1" applyFont="1" applyFill="1" applyBorder="1" applyAlignment="1" applyProtection="1">
      <alignment vertical="center"/>
      <protection/>
    </xf>
    <xf numFmtId="0" fontId="29" fillId="0" borderId="0" xfId="65" applyFont="1" applyFill="1" applyAlignment="1">
      <alignment/>
      <protection/>
    </xf>
    <xf numFmtId="0" fontId="11" fillId="0" borderId="0" xfId="64" applyFont="1" applyFill="1" applyAlignment="1" applyProtection="1">
      <alignment horizontal="center" vertical="center"/>
      <protection/>
    </xf>
    <xf numFmtId="0" fontId="16" fillId="0" borderId="17" xfId="65" applyFont="1" applyFill="1" applyBorder="1" applyAlignment="1">
      <alignment horizontal="center" vertical="center"/>
      <protection/>
    </xf>
    <xf numFmtId="0" fontId="16" fillId="0" borderId="15" xfId="65" applyFont="1" applyFill="1" applyBorder="1" applyAlignment="1">
      <alignment horizontal="center" vertical="center" wrapText="1"/>
      <protection/>
    </xf>
    <xf numFmtId="0" fontId="16" fillId="0" borderId="16" xfId="65" applyFont="1" applyFill="1" applyBorder="1" applyAlignment="1">
      <alignment horizontal="center" vertical="center" wrapText="1"/>
      <protection/>
    </xf>
    <xf numFmtId="0" fontId="17" fillId="0" borderId="34" xfId="65" applyFont="1" applyFill="1" applyBorder="1" applyAlignment="1" applyProtection="1">
      <alignment horizontal="left" indent="1"/>
      <protection locked="0"/>
    </xf>
    <xf numFmtId="0" fontId="17" fillId="0" borderId="37" xfId="65" applyFont="1" applyFill="1" applyBorder="1" applyAlignment="1">
      <alignment horizontal="right" indent="1"/>
      <protection/>
    </xf>
    <xf numFmtId="3" fontId="17" fillId="0" borderId="37" xfId="65" applyNumberFormat="1" applyFont="1" applyFill="1" applyBorder="1" applyProtection="1">
      <alignment/>
      <protection locked="0"/>
    </xf>
    <xf numFmtId="3" fontId="17" fillId="0" borderId="59" xfId="65" applyNumberFormat="1" applyFont="1" applyFill="1" applyBorder="1" applyProtection="1">
      <alignment/>
      <protection locked="0"/>
    </xf>
    <xf numFmtId="0" fontId="17" fillId="0" borderId="12" xfId="65" applyFont="1" applyFill="1" applyBorder="1" applyAlignment="1" applyProtection="1">
      <alignment horizontal="left" indent="1"/>
      <protection locked="0"/>
    </xf>
    <xf numFmtId="0" fontId="17" fillId="0" borderId="10" xfId="65" applyFont="1" applyFill="1" applyBorder="1" applyAlignment="1">
      <alignment horizontal="right" indent="1"/>
      <protection/>
    </xf>
    <xf numFmtId="3" fontId="17" fillId="0" borderId="10" xfId="65" applyNumberFormat="1" applyFont="1" applyFill="1" applyBorder="1" applyProtection="1">
      <alignment/>
      <protection locked="0"/>
    </xf>
    <xf numFmtId="3" fontId="17" fillId="0" borderId="18" xfId="65" applyNumberFormat="1" applyFont="1" applyFill="1" applyBorder="1" applyProtection="1">
      <alignment/>
      <protection locked="0"/>
    </xf>
    <xf numFmtId="0" fontId="17" fillId="0" borderId="12" xfId="65" applyFont="1" applyFill="1" applyBorder="1" applyProtection="1">
      <alignment/>
      <protection locked="0"/>
    </xf>
    <xf numFmtId="0" fontId="17" fillId="0" borderId="14" xfId="65" applyFont="1" applyFill="1" applyBorder="1" applyProtection="1">
      <alignment/>
      <protection locked="0"/>
    </xf>
    <xf numFmtId="0" fontId="17" fillId="0" borderId="11" xfId="65" applyFont="1" applyFill="1" applyBorder="1" applyAlignment="1">
      <alignment horizontal="right" indent="1"/>
      <protection/>
    </xf>
    <xf numFmtId="3" fontId="17" fillId="0" borderId="11" xfId="65" applyNumberFormat="1" applyFont="1" applyFill="1" applyBorder="1" applyProtection="1">
      <alignment/>
      <protection locked="0"/>
    </xf>
    <xf numFmtId="3" fontId="17" fillId="0" borderId="58" xfId="65" applyNumberFormat="1" applyFont="1" applyFill="1" applyBorder="1" applyProtection="1">
      <alignment/>
      <protection locked="0"/>
    </xf>
    <xf numFmtId="3" fontId="17" fillId="0" borderId="60" xfId="65" applyNumberFormat="1" applyFont="1" applyFill="1" applyBorder="1">
      <alignment/>
      <protection/>
    </xf>
    <xf numFmtId="0" fontId="34" fillId="0" borderId="0" xfId="65" applyFont="1" applyFill="1">
      <alignment/>
      <protection/>
    </xf>
    <xf numFmtId="0" fontId="35" fillId="0" borderId="17" xfId="65" applyFont="1" applyFill="1" applyBorder="1" applyAlignment="1">
      <alignment horizontal="center" vertical="center"/>
      <protection/>
    </xf>
    <xf numFmtId="0" fontId="35" fillId="0" borderId="15" xfId="65" applyFont="1" applyFill="1" applyBorder="1" applyAlignment="1">
      <alignment horizontal="center" vertical="center" wrapText="1"/>
      <protection/>
    </xf>
    <xf numFmtId="0" fontId="35" fillId="0" borderId="16" xfId="65" applyFont="1" applyFill="1" applyBorder="1" applyAlignment="1">
      <alignment horizontal="center" vertical="center" wrapText="1"/>
      <protection/>
    </xf>
    <xf numFmtId="0" fontId="17" fillId="0" borderId="51" xfId="65" applyFont="1" applyFill="1" applyBorder="1" applyAlignment="1" applyProtection="1">
      <alignment horizontal="left" indent="1"/>
      <protection locked="0"/>
    </xf>
    <xf numFmtId="0" fontId="17" fillId="0" borderId="21" xfId="65" applyFont="1" applyFill="1" applyBorder="1" applyAlignment="1">
      <alignment horizontal="right" indent="1"/>
      <protection/>
    </xf>
    <xf numFmtId="3" fontId="17" fillId="0" borderId="21" xfId="65" applyNumberFormat="1" applyFont="1" applyFill="1" applyBorder="1" applyProtection="1">
      <alignment/>
      <protection locked="0"/>
    </xf>
    <xf numFmtId="3" fontId="17" fillId="0" borderId="22" xfId="65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25" borderId="15" xfId="0" applyFont="1" applyFill="1" applyBorder="1" applyAlignment="1" applyProtection="1">
      <alignment horizontal="center" vertical="top" wrapText="1"/>
      <protection/>
    </xf>
    <xf numFmtId="0" fontId="42" fillId="0" borderId="37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37" xfId="72" applyFont="1" applyBorder="1" applyAlignment="1" applyProtection="1">
      <alignment horizontal="center" vertical="center" wrapText="1"/>
      <protection locked="0"/>
    </xf>
    <xf numFmtId="9" fontId="42" fillId="0" borderId="10" xfId="72" applyFont="1" applyBorder="1" applyAlignment="1" applyProtection="1">
      <alignment horizontal="center" vertical="center" wrapText="1"/>
      <protection locked="0"/>
    </xf>
    <xf numFmtId="9" fontId="42" fillId="0" borderId="11" xfId="72" applyFont="1" applyBorder="1" applyAlignment="1" applyProtection="1">
      <alignment horizontal="center" vertical="center" wrapText="1"/>
      <protection locked="0"/>
    </xf>
    <xf numFmtId="166" fontId="42" fillId="0" borderId="37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5" xfId="46" applyNumberFormat="1" applyFont="1" applyBorder="1" applyAlignment="1" applyProtection="1">
      <alignment horizontal="center" vertical="center" wrapText="1"/>
      <protection/>
    </xf>
    <xf numFmtId="166" fontId="42" fillId="0" borderId="59" xfId="46" applyNumberFormat="1" applyFont="1" applyBorder="1" applyAlignment="1" applyProtection="1">
      <alignment horizontal="center" vertical="top" wrapText="1"/>
      <protection locked="0"/>
    </xf>
    <xf numFmtId="166" fontId="42" fillId="0" borderId="18" xfId="46" applyNumberFormat="1" applyFont="1" applyBorder="1" applyAlignment="1" applyProtection="1">
      <alignment horizontal="center" vertical="top" wrapText="1"/>
      <protection locked="0"/>
    </xf>
    <xf numFmtId="166" fontId="42" fillId="0" borderId="58" xfId="46" applyNumberFormat="1" applyFont="1" applyBorder="1" applyAlignment="1" applyProtection="1">
      <alignment horizontal="center" vertical="top" wrapText="1"/>
      <protection locked="0"/>
    </xf>
    <xf numFmtId="166" fontId="42" fillId="0" borderId="16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4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1" xfId="6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3" applyFont="1" applyFill="1" applyBorder="1" applyAlignment="1" applyProtection="1">
      <alignment horizontal="left" vertical="center" wrapText="1" indent="1"/>
      <protection/>
    </xf>
    <xf numFmtId="0" fontId="13" fillId="0" borderId="10" xfId="63" applyFont="1" applyFill="1" applyBorder="1" applyAlignment="1" applyProtection="1">
      <alignment horizontal="left" vertical="center" wrapText="1" indent="1"/>
      <protection/>
    </xf>
    <xf numFmtId="0" fontId="13" fillId="0" borderId="37" xfId="63" applyFont="1" applyFill="1" applyBorder="1" applyAlignment="1" applyProtection="1">
      <alignment horizontal="left" vertical="center" wrapText="1" indent="1"/>
      <protection/>
    </xf>
    <xf numFmtId="0" fontId="13" fillId="0" borderId="36" xfId="63" applyFont="1" applyFill="1" applyBorder="1" applyAlignment="1" applyProtection="1">
      <alignment horizontal="left" vertical="center" wrapText="1" indent="1"/>
      <protection/>
    </xf>
    <xf numFmtId="0" fontId="13" fillId="0" borderId="53" xfId="63" applyFont="1" applyFill="1" applyBorder="1" applyAlignment="1" applyProtection="1">
      <alignment horizontal="left" vertical="center" wrapText="1" indent="1"/>
      <protection/>
    </xf>
    <xf numFmtId="0" fontId="13" fillId="0" borderId="11" xfId="63" applyFont="1" applyFill="1" applyBorder="1" applyAlignment="1" applyProtection="1">
      <alignment horizontal="left" vertical="center" wrapText="1" indent="1"/>
      <protection/>
    </xf>
    <xf numFmtId="49" fontId="13" fillId="0" borderId="13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3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3" applyFont="1" applyFill="1" applyBorder="1" applyAlignment="1" applyProtection="1">
      <alignment horizontal="left" vertical="center" wrapText="1" indent="1"/>
      <protection/>
    </xf>
    <xf numFmtId="0" fontId="12" fillId="0" borderId="17" xfId="63" applyFont="1" applyFill="1" applyBorder="1" applyAlignment="1" applyProtection="1">
      <alignment horizontal="left" vertical="center" wrapText="1" indent="1"/>
      <protection/>
    </xf>
    <xf numFmtId="0" fontId="12" fillId="0" borderId="15" xfId="63" applyFont="1" applyFill="1" applyBorder="1" applyAlignment="1" applyProtection="1">
      <alignment horizontal="left" vertical="center" wrapText="1" indent="1"/>
      <protection/>
    </xf>
    <xf numFmtId="0" fontId="12" fillId="0" borderId="54" xfId="63" applyFont="1" applyFill="1" applyBorder="1" applyAlignment="1" applyProtection="1">
      <alignment horizontal="left" vertical="center" wrapText="1" indent="1"/>
      <protection/>
    </xf>
    <xf numFmtId="0" fontId="12" fillId="0" borderId="15" xfId="63" applyFont="1" applyFill="1" applyBorder="1" applyAlignment="1" applyProtection="1">
      <alignment vertical="center" wrapText="1"/>
      <protection/>
    </xf>
    <xf numFmtId="0" fontId="12" fillId="0" borderId="55" xfId="63" applyFont="1" applyFill="1" applyBorder="1" applyAlignment="1" applyProtection="1">
      <alignment vertical="center" wrapText="1"/>
      <protection/>
    </xf>
    <xf numFmtId="0" fontId="12" fillId="0" borderId="17" xfId="63" applyFont="1" applyFill="1" applyBorder="1" applyAlignment="1" applyProtection="1">
      <alignment horizontal="center" vertical="center" wrapText="1"/>
      <protection/>
    </xf>
    <xf numFmtId="0" fontId="12" fillId="0" borderId="15" xfId="63" applyFont="1" applyFill="1" applyBorder="1" applyAlignment="1" applyProtection="1">
      <alignment horizontal="center" vertical="center" wrapText="1"/>
      <protection/>
    </xf>
    <xf numFmtId="0" fontId="12" fillId="0" borderId="16" xfId="63" applyFont="1" applyFill="1" applyBorder="1" applyAlignment="1" applyProtection="1">
      <alignment horizontal="center" vertical="center" wrapText="1"/>
      <protection/>
    </xf>
    <xf numFmtId="0" fontId="12" fillId="0" borderId="15" xfId="63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3" applyNumberFormat="1" applyFont="1" applyFill="1" applyBorder="1" applyAlignment="1" applyProtection="1">
      <alignment horizontal="left" vertical="center"/>
      <protection/>
    </xf>
    <xf numFmtId="0" fontId="13" fillId="0" borderId="10" xfId="63" applyFont="1" applyFill="1" applyBorder="1" applyAlignment="1" applyProtection="1">
      <alignment horizontal="left" indent="6"/>
      <protection/>
    </xf>
    <xf numFmtId="0" fontId="13" fillId="0" borderId="10" xfId="63" applyFont="1" applyFill="1" applyBorder="1" applyAlignment="1" applyProtection="1">
      <alignment horizontal="left" vertical="center" wrapText="1" indent="6"/>
      <protection/>
    </xf>
    <xf numFmtId="0" fontId="13" fillId="0" borderId="11" xfId="63" applyFont="1" applyFill="1" applyBorder="1" applyAlignment="1" applyProtection="1">
      <alignment horizontal="left" vertical="center" wrapText="1" indent="6"/>
      <protection/>
    </xf>
    <xf numFmtId="0" fontId="13" fillId="0" borderId="21" xfId="63" applyFont="1" applyFill="1" applyBorder="1" applyAlignment="1" applyProtection="1">
      <alignment horizontal="left" vertical="center" wrapText="1" indent="6"/>
      <protection/>
    </xf>
    <xf numFmtId="164" fontId="12" fillId="0" borderId="38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64" fontId="12" fillId="0" borderId="16" xfId="63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3" applyFont="1" applyFill="1" applyProtection="1">
      <alignment/>
      <protection/>
    </xf>
    <xf numFmtId="0" fontId="2" fillId="0" borderId="0" xfId="63" applyFont="1" applyFill="1" applyAlignment="1" applyProtection="1">
      <alignment horizontal="right" vertical="center" indent="1"/>
      <protection/>
    </xf>
    <xf numFmtId="164" fontId="12" fillId="0" borderId="55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3" applyFont="1" applyFill="1" applyBorder="1" applyAlignment="1" applyProtection="1">
      <alignment horizontal="left" vertical="center" wrapText="1" indent="6"/>
      <protection/>
    </xf>
    <xf numFmtId="0" fontId="2" fillId="0" borderId="0" xfId="63" applyFill="1" applyProtection="1">
      <alignment/>
      <protection/>
    </xf>
    <xf numFmtId="0" fontId="13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3" applyFill="1" applyAlignment="1" applyProtection="1">
      <alignment/>
      <protection/>
    </xf>
    <xf numFmtId="0" fontId="15" fillId="0" borderId="0" xfId="63" applyFont="1" applyFill="1" applyProtection="1">
      <alignment/>
      <protection/>
    </xf>
    <xf numFmtId="0" fontId="5" fillId="0" borderId="0" xfId="63" applyFont="1" applyFill="1" applyProtection="1">
      <alignment/>
      <protection/>
    </xf>
    <xf numFmtId="164" fontId="12" fillId="0" borderId="38" xfId="63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3" applyFont="1" applyFill="1" applyBorder="1" applyAlignment="1" applyProtection="1">
      <alignment horizontal="center" vertical="center" wrapText="1"/>
      <protection/>
    </xf>
    <xf numFmtId="164" fontId="1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3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3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3" applyNumberFormat="1" applyFont="1" applyFill="1" applyBorder="1" applyAlignment="1" applyProtection="1">
      <alignment horizontal="center" vertical="center" wrapText="1"/>
      <protection/>
    </xf>
    <xf numFmtId="49" fontId="13" fillId="0" borderId="12" xfId="63" applyNumberFormat="1" applyFont="1" applyFill="1" applyBorder="1" applyAlignment="1" applyProtection="1">
      <alignment horizontal="center" vertical="center" wrapText="1"/>
      <protection/>
    </xf>
    <xf numFmtId="49" fontId="13" fillId="0" borderId="14" xfId="63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6" xfId="63" applyNumberFormat="1" applyFont="1" applyFill="1" applyBorder="1" applyAlignment="1" applyProtection="1">
      <alignment horizontal="center" vertical="center" wrapText="1"/>
      <protection/>
    </xf>
    <xf numFmtId="49" fontId="13" fillId="0" borderId="13" xfId="63" applyNumberFormat="1" applyFont="1" applyFill="1" applyBorder="1" applyAlignment="1" applyProtection="1">
      <alignment horizontal="center" vertical="center" wrapText="1"/>
      <protection/>
    </xf>
    <xf numFmtId="49" fontId="13" fillId="0" borderId="51" xfId="63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3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3" applyFont="1" applyFill="1" applyBorder="1" applyAlignment="1" applyProtection="1">
      <alignment horizontal="left" vertical="center" wrapText="1" indent="1"/>
      <protection/>
    </xf>
    <xf numFmtId="0" fontId="13" fillId="0" borderId="10" xfId="63" applyFont="1" applyFill="1" applyBorder="1" applyAlignment="1" applyProtection="1">
      <alignment horizontal="left" vertical="center" wrapText="1" indent="1"/>
      <protection/>
    </xf>
    <xf numFmtId="0" fontId="13" fillId="0" borderId="62" xfId="63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3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3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10" xfId="63" applyFont="1" applyFill="1" applyBorder="1" applyAlignment="1" applyProtection="1">
      <alignment horizontal="left" vertical="center" wrapText="1"/>
      <protection/>
    </xf>
    <xf numFmtId="0" fontId="13" fillId="0" borderId="53" xfId="63" applyFont="1" applyFill="1" applyBorder="1" applyAlignment="1" applyProtection="1">
      <alignment horizontal="left" vertical="center" wrapText="1"/>
      <protection/>
    </xf>
    <xf numFmtId="0" fontId="13" fillId="0" borderId="0" xfId="63" applyFont="1" applyFill="1" applyBorder="1" applyAlignment="1" applyProtection="1">
      <alignment horizontal="left" vertical="center" wrapText="1"/>
      <protection/>
    </xf>
    <xf numFmtId="0" fontId="13" fillId="0" borderId="10" xfId="63" applyFont="1" applyFill="1" applyBorder="1" applyAlignment="1" applyProtection="1">
      <alignment horizontal="left" vertical="center"/>
      <protection/>
    </xf>
    <xf numFmtId="0" fontId="13" fillId="0" borderId="11" xfId="63" applyFont="1" applyFill="1" applyBorder="1" applyAlignment="1" applyProtection="1">
      <alignment horizontal="left" vertical="center" wrapText="1"/>
      <protection/>
    </xf>
    <xf numFmtId="0" fontId="13" fillId="0" borderId="21" xfId="63" applyFont="1" applyFill="1" applyBorder="1" applyAlignment="1" applyProtection="1">
      <alignment horizontal="left" vertical="center" wrapText="1"/>
      <protection/>
    </xf>
    <xf numFmtId="0" fontId="13" fillId="0" borderId="37" xfId="63" applyFont="1" applyFill="1" applyBorder="1" applyAlignment="1" applyProtection="1">
      <alignment horizontal="left" vertical="center" wrapText="1"/>
      <protection/>
    </xf>
    <xf numFmtId="0" fontId="13" fillId="0" borderId="19" xfId="63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5" applyFill="1" applyProtection="1">
      <alignment/>
      <protection/>
    </xf>
    <xf numFmtId="0" fontId="44" fillId="0" borderId="0" xfId="65" applyFont="1" applyFill="1" applyProtection="1">
      <alignment/>
      <protection/>
    </xf>
    <xf numFmtId="0" fontId="28" fillId="0" borderId="51" xfId="65" applyFont="1" applyFill="1" applyBorder="1" applyAlignment="1" applyProtection="1">
      <alignment horizontal="center" vertical="center" wrapText="1"/>
      <protection/>
    </xf>
    <xf numFmtId="0" fontId="28" fillId="0" borderId="21" xfId="65" applyFont="1" applyFill="1" applyBorder="1" applyAlignment="1" applyProtection="1">
      <alignment horizontal="center" vertical="center" wrapText="1"/>
      <protection/>
    </xf>
    <xf numFmtId="0" fontId="28" fillId="0" borderId="22" xfId="65" applyFont="1" applyFill="1" applyBorder="1" applyAlignment="1" applyProtection="1">
      <alignment horizontal="center" vertical="center" wrapText="1"/>
      <protection/>
    </xf>
    <xf numFmtId="0" fontId="29" fillId="0" borderId="0" xfId="65" applyFill="1" applyAlignment="1" applyProtection="1">
      <alignment horizontal="center" vertical="center"/>
      <protection/>
    </xf>
    <xf numFmtId="0" fontId="18" fillId="0" borderId="46" xfId="65" applyFont="1" applyFill="1" applyBorder="1" applyAlignment="1" applyProtection="1">
      <alignment vertical="center" wrapText="1"/>
      <protection/>
    </xf>
    <xf numFmtId="173" fontId="13" fillId="0" borderId="36" xfId="64" applyNumberFormat="1" applyFont="1" applyFill="1" applyBorder="1" applyAlignment="1" applyProtection="1">
      <alignment horizontal="center" vertical="center"/>
      <protection/>
    </xf>
    <xf numFmtId="0" fontId="29" fillId="0" borderId="0" xfId="65" applyFill="1" applyAlignment="1" applyProtection="1">
      <alignment vertical="center"/>
      <protection/>
    </xf>
    <xf numFmtId="0" fontId="18" fillId="0" borderId="12" xfId="65" applyFont="1" applyFill="1" applyBorder="1" applyAlignment="1" applyProtection="1">
      <alignment vertical="center" wrapText="1"/>
      <protection/>
    </xf>
    <xf numFmtId="0" fontId="27" fillId="0" borderId="12" xfId="65" applyFont="1" applyFill="1" applyBorder="1" applyAlignment="1" applyProtection="1">
      <alignment horizontal="left" vertical="center" wrapText="1" indent="1"/>
      <protection/>
    </xf>
    <xf numFmtId="0" fontId="18" fillId="0" borderId="51" xfId="65" applyFont="1" applyFill="1" applyBorder="1" applyAlignment="1" applyProtection="1">
      <alignment vertical="center" wrapText="1"/>
      <protection/>
    </xf>
    <xf numFmtId="0" fontId="17" fillId="0" borderId="0" xfId="65" applyFont="1" applyFill="1" applyProtection="1">
      <alignment/>
      <protection/>
    </xf>
    <xf numFmtId="3" fontId="29" fillId="0" borderId="0" xfId="65" applyNumberFormat="1" applyFont="1" applyFill="1" applyProtection="1">
      <alignment/>
      <protection/>
    </xf>
    <xf numFmtId="3" fontId="29" fillId="0" borderId="0" xfId="65" applyNumberFormat="1" applyFont="1" applyFill="1" applyAlignment="1" applyProtection="1">
      <alignment horizontal="center"/>
      <protection/>
    </xf>
    <xf numFmtId="0" fontId="29" fillId="0" borderId="0" xfId="65" applyFont="1" applyFill="1" applyProtection="1">
      <alignment/>
      <protection/>
    </xf>
    <xf numFmtId="0" fontId="29" fillId="0" borderId="0" xfId="65" applyFill="1" applyAlignment="1" applyProtection="1">
      <alignment horizontal="center"/>
      <protection/>
    </xf>
    <xf numFmtId="0" fontId="0" fillId="0" borderId="0" xfId="64" applyFill="1" applyAlignment="1" applyProtection="1">
      <alignment vertical="center"/>
      <protection/>
    </xf>
    <xf numFmtId="174" fontId="12" fillId="0" borderId="18" xfId="64" applyNumberFormat="1" applyFont="1" applyFill="1" applyBorder="1" applyAlignment="1" applyProtection="1">
      <alignment vertical="center"/>
      <protection locked="0"/>
    </xf>
    <xf numFmtId="0" fontId="0" fillId="0" borderId="0" xfId="64" applyFont="1" applyFill="1" applyAlignment="1" applyProtection="1">
      <alignment vertical="center"/>
      <protection/>
    </xf>
    <xf numFmtId="0" fontId="29" fillId="0" borderId="0" xfId="65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4" xfId="65" applyFont="1" applyFill="1" applyBorder="1" applyAlignment="1">
      <alignment horizontal="center" vertical="center"/>
      <protection/>
    </xf>
    <xf numFmtId="0" fontId="16" fillId="0" borderId="55" xfId="65" applyFont="1" applyFill="1" applyBorder="1" applyAlignment="1">
      <alignment horizontal="center" vertical="center" wrapText="1"/>
      <protection/>
    </xf>
    <xf numFmtId="0" fontId="16" fillId="0" borderId="56" xfId="65" applyFont="1" applyFill="1" applyBorder="1" applyAlignment="1">
      <alignment horizontal="center" vertical="center" wrapText="1"/>
      <protection/>
    </xf>
    <xf numFmtId="0" fontId="17" fillId="0" borderId="34" xfId="65" applyFont="1" applyFill="1" applyBorder="1" applyProtection="1">
      <alignment/>
      <protection locked="0"/>
    </xf>
    <xf numFmtId="0" fontId="18" fillId="0" borderId="17" xfId="65" applyFont="1" applyFill="1" applyBorder="1" applyProtection="1">
      <alignment/>
      <protection locked="0"/>
    </xf>
    <xf numFmtId="0" fontId="17" fillId="0" borderId="15" xfId="65" applyFont="1" applyFill="1" applyBorder="1" applyAlignment="1">
      <alignment horizontal="right" indent="1"/>
      <protection/>
    </xf>
    <xf numFmtId="3" fontId="17" fillId="0" borderId="15" xfId="65" applyNumberFormat="1" applyFont="1" applyFill="1" applyBorder="1" applyProtection="1">
      <alignment/>
      <protection locked="0"/>
    </xf>
    <xf numFmtId="174" fontId="12" fillId="0" borderId="16" xfId="64" applyNumberFormat="1" applyFont="1" applyFill="1" applyBorder="1" applyAlignment="1" applyProtection="1">
      <alignment vertical="center"/>
      <protection/>
    </xf>
    <xf numFmtId="0" fontId="45" fillId="0" borderId="0" xfId="65" applyFont="1" applyFill="1">
      <alignment/>
      <protection/>
    </xf>
    <xf numFmtId="0" fontId="35" fillId="0" borderId="54" xfId="65" applyFont="1" applyFill="1" applyBorder="1" applyAlignment="1">
      <alignment horizontal="center" vertical="center"/>
      <protection/>
    </xf>
    <xf numFmtId="0" fontId="35" fillId="0" borderId="55" xfId="65" applyFont="1" applyFill="1" applyBorder="1" applyAlignment="1">
      <alignment horizontal="center" vertical="center" wrapText="1"/>
      <protection/>
    </xf>
    <xf numFmtId="0" fontId="35" fillId="0" borderId="56" xfId="65" applyFont="1" applyFill="1" applyBorder="1" applyAlignment="1">
      <alignment horizontal="center" vertical="center" wrapText="1"/>
      <protection/>
    </xf>
    <xf numFmtId="0" fontId="17" fillId="0" borderId="14" xfId="65" applyFont="1" applyFill="1" applyBorder="1" applyAlignment="1" applyProtection="1">
      <alignment horizontal="left" indent="1"/>
      <protection locked="0"/>
    </xf>
    <xf numFmtId="0" fontId="18" fillId="0" borderId="50" xfId="65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4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7" fillId="0" borderId="48" xfId="0" applyNumberFormat="1" applyFont="1" applyFill="1" applyBorder="1" applyAlignment="1" applyProtection="1">
      <alignment horizontal="right" vertical="center"/>
      <protection locked="0"/>
    </xf>
    <xf numFmtId="3" fontId="47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6" fillId="0" borderId="48" xfId="0" applyNumberFormat="1" applyFont="1" applyFill="1" applyBorder="1" applyAlignment="1" applyProtection="1">
      <alignment horizontal="right" vertical="center"/>
      <protection locked="0"/>
    </xf>
    <xf numFmtId="3" fontId="46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79" xfId="0" applyNumberFormat="1" applyFont="1" applyFill="1" applyBorder="1" applyAlignment="1" applyProtection="1">
      <alignment horizontal="right" vertical="center"/>
      <protection locked="0"/>
    </xf>
    <xf numFmtId="3" fontId="4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64" fontId="30" fillId="0" borderId="26" xfId="0" applyNumberFormat="1" applyFont="1" applyFill="1" applyBorder="1" applyAlignment="1">
      <alignment vertical="center"/>
    </xf>
    <xf numFmtId="4" fontId="46" fillId="0" borderId="26" xfId="0" applyNumberFormat="1" applyFont="1" applyFill="1" applyBorder="1" applyAlignment="1" applyProtection="1">
      <alignment vertical="center" wrapText="1"/>
      <protection locked="0"/>
    </xf>
    <xf numFmtId="164" fontId="30" fillId="0" borderId="78" xfId="0" applyNumberFormat="1" applyFont="1" applyFill="1" applyBorder="1" applyAlignment="1" applyProtection="1">
      <alignment horizontal="right" vertical="center" wrapText="1"/>
      <protection/>
    </xf>
    <xf numFmtId="164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6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8" fillId="0" borderId="36" xfId="65" applyNumberFormat="1" applyFont="1" applyFill="1" applyBorder="1" applyAlignment="1" applyProtection="1">
      <alignment horizontal="right" vertical="center" wrapText="1"/>
      <protection locked="0"/>
    </xf>
    <xf numFmtId="172" fontId="48" fillId="0" borderId="57" xfId="65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5" applyNumberFormat="1" applyFont="1" applyFill="1" applyBorder="1" applyAlignment="1" applyProtection="1">
      <alignment horizontal="right" vertical="center" wrapText="1"/>
      <protection/>
    </xf>
    <xf numFmtId="172" fontId="48" fillId="0" borderId="18" xfId="65" applyNumberFormat="1" applyFont="1" applyFill="1" applyBorder="1" applyAlignment="1" applyProtection="1">
      <alignment horizontal="right" vertical="center" wrapText="1"/>
      <protection/>
    </xf>
    <xf numFmtId="172" fontId="49" fillId="0" borderId="10" xfId="65" applyNumberFormat="1" applyFont="1" applyFill="1" applyBorder="1" applyAlignment="1" applyProtection="1">
      <alignment horizontal="right" vertical="center" wrapText="1"/>
      <protection locked="0"/>
    </xf>
    <xf numFmtId="172" fontId="49" fillId="0" borderId="18" xfId="65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5" applyNumberFormat="1" applyFont="1" applyFill="1" applyBorder="1" applyAlignment="1" applyProtection="1">
      <alignment horizontal="right" vertical="center" wrapText="1"/>
      <protection locked="0"/>
    </xf>
    <xf numFmtId="172" fontId="50" fillId="0" borderId="18" xfId="65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5" applyNumberFormat="1" applyFont="1" applyFill="1" applyBorder="1" applyAlignment="1" applyProtection="1">
      <alignment horizontal="right" vertical="center" wrapText="1"/>
      <protection/>
    </xf>
    <xf numFmtId="172" fontId="50" fillId="0" borderId="18" xfId="65" applyNumberFormat="1" applyFont="1" applyFill="1" applyBorder="1" applyAlignment="1" applyProtection="1">
      <alignment horizontal="right" vertical="center" wrapText="1"/>
      <protection/>
    </xf>
    <xf numFmtId="172" fontId="48" fillId="0" borderId="21" xfId="65" applyNumberFormat="1" applyFont="1" applyFill="1" applyBorder="1" applyAlignment="1" applyProtection="1">
      <alignment horizontal="right" vertical="center" wrapText="1"/>
      <protection/>
    </xf>
    <xf numFmtId="172" fontId="48" fillId="0" borderId="22" xfId="65" applyNumberFormat="1" applyFont="1" applyFill="1" applyBorder="1" applyAlignment="1" applyProtection="1">
      <alignment horizontal="right" vertical="center" wrapText="1"/>
      <protection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7" fillId="27" borderId="10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0" fontId="88" fillId="0" borderId="10" xfId="0" applyFont="1" applyBorder="1" applyAlignment="1" applyProtection="1">
      <alignment/>
      <protection locked="0"/>
    </xf>
    <xf numFmtId="0" fontId="13" fillId="0" borderId="1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textRotation="180"/>
    </xf>
    <xf numFmtId="0" fontId="5" fillId="0" borderId="0" xfId="63" applyFont="1" applyFill="1" applyAlignment="1" applyProtection="1">
      <alignment horizontal="center"/>
      <protection/>
    </xf>
    <xf numFmtId="164" fontId="5" fillId="0" borderId="0" xfId="63" applyNumberFormat="1" applyFont="1" applyFill="1" applyBorder="1" applyAlignment="1" applyProtection="1">
      <alignment horizontal="center" vertical="center"/>
      <protection/>
    </xf>
    <xf numFmtId="0" fontId="6" fillId="0" borderId="46" xfId="63" applyFont="1" applyFill="1" applyBorder="1" applyAlignment="1" applyProtection="1">
      <alignment horizontal="center" vertical="center" wrapText="1"/>
      <protection/>
    </xf>
    <xf numFmtId="0" fontId="6" fillId="0" borderId="51" xfId="63" applyFont="1" applyFill="1" applyBorder="1" applyAlignment="1" applyProtection="1">
      <alignment horizontal="center" vertical="center" wrapText="1"/>
      <protection/>
    </xf>
    <xf numFmtId="0" fontId="6" fillId="0" borderId="36" xfId="63" applyFont="1" applyFill="1" applyBorder="1" applyAlignment="1" applyProtection="1">
      <alignment horizontal="center" vertical="center" wrapText="1"/>
      <protection/>
    </xf>
    <xf numFmtId="0" fontId="6" fillId="0" borderId="21" xfId="63" applyFont="1" applyFill="1" applyBorder="1" applyAlignment="1" applyProtection="1">
      <alignment horizontal="center" vertical="center" wrapText="1"/>
      <protection/>
    </xf>
    <xf numFmtId="164" fontId="6" fillId="0" borderId="36" xfId="63" applyNumberFormat="1" applyFont="1" applyFill="1" applyBorder="1" applyAlignment="1" applyProtection="1">
      <alignment horizontal="center" vertical="center"/>
      <protection/>
    </xf>
    <xf numFmtId="164" fontId="6" fillId="0" borderId="57" xfId="63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2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3" applyFont="1" applyFill="1" applyBorder="1" applyAlignment="1" applyProtection="1">
      <alignment horizontal="center" vertical="center" wrapText="1"/>
      <protection/>
    </xf>
    <xf numFmtId="0" fontId="6" fillId="0" borderId="62" xfId="63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9" fillId="0" borderId="0" xfId="65" applyFont="1" applyFill="1" applyAlignment="1" applyProtection="1">
      <alignment horizontal="left"/>
      <protection/>
    </xf>
    <xf numFmtId="0" fontId="31" fillId="0" borderId="0" xfId="65" applyFont="1" applyFill="1" applyAlignment="1" applyProtection="1">
      <alignment horizontal="center" vertical="center" wrapText="1"/>
      <protection/>
    </xf>
    <xf numFmtId="0" fontId="31" fillId="0" borderId="0" xfId="65" applyFont="1" applyFill="1" applyAlignment="1" applyProtection="1">
      <alignment horizontal="center" vertical="center"/>
      <protection/>
    </xf>
    <xf numFmtId="0" fontId="32" fillId="0" borderId="0" xfId="65" applyFont="1" applyFill="1" applyBorder="1" applyAlignment="1" applyProtection="1">
      <alignment horizontal="right"/>
      <protection/>
    </xf>
    <xf numFmtId="0" fontId="33" fillId="0" borderId="54" xfId="65" applyFont="1" applyFill="1" applyBorder="1" applyAlignment="1" applyProtection="1">
      <alignment horizontal="center" vertical="center" wrapText="1"/>
      <protection/>
    </xf>
    <xf numFmtId="0" fontId="33" fillId="0" borderId="13" xfId="65" applyFont="1" applyFill="1" applyBorder="1" applyAlignment="1" applyProtection="1">
      <alignment horizontal="center" vertical="center" wrapText="1"/>
      <protection/>
    </xf>
    <xf numFmtId="0" fontId="33" fillId="0" borderId="34" xfId="65" applyFont="1" applyFill="1" applyBorder="1" applyAlignment="1" applyProtection="1">
      <alignment horizontal="center" vertical="center" wrapText="1"/>
      <protection/>
    </xf>
    <xf numFmtId="0" fontId="21" fillId="0" borderId="55" xfId="64" applyFont="1" applyFill="1" applyBorder="1" applyAlignment="1" applyProtection="1">
      <alignment horizontal="center" vertical="center" textRotation="90"/>
      <protection/>
    </xf>
    <xf numFmtId="0" fontId="21" fillId="0" borderId="19" xfId="64" applyFont="1" applyFill="1" applyBorder="1" applyAlignment="1" applyProtection="1">
      <alignment horizontal="center" vertical="center" textRotation="90"/>
      <protection/>
    </xf>
    <xf numFmtId="0" fontId="21" fillId="0" borderId="37" xfId="64" applyFont="1" applyFill="1" applyBorder="1" applyAlignment="1" applyProtection="1">
      <alignment horizontal="center" vertical="center" textRotation="90"/>
      <protection/>
    </xf>
    <xf numFmtId="0" fontId="32" fillId="0" borderId="36" xfId="65" applyFont="1" applyFill="1" applyBorder="1" applyAlignment="1" applyProtection="1">
      <alignment horizontal="center" vertical="center" wrapText="1"/>
      <protection/>
    </xf>
    <xf numFmtId="0" fontId="32" fillId="0" borderId="10" xfId="65" applyFont="1" applyFill="1" applyBorder="1" applyAlignment="1" applyProtection="1">
      <alignment horizontal="center" vertical="center" wrapText="1"/>
      <protection/>
    </xf>
    <xf numFmtId="0" fontId="32" fillId="0" borderId="56" xfId="65" applyFont="1" applyFill="1" applyBorder="1" applyAlignment="1" applyProtection="1">
      <alignment horizontal="center" vertical="center" wrapText="1"/>
      <protection/>
    </xf>
    <xf numFmtId="0" fontId="32" fillId="0" borderId="59" xfId="65" applyFont="1" applyFill="1" applyBorder="1" applyAlignment="1" applyProtection="1">
      <alignment horizontal="center" vertical="center" wrapText="1"/>
      <protection/>
    </xf>
    <xf numFmtId="0" fontId="32" fillId="0" borderId="10" xfId="65" applyFont="1" applyFill="1" applyBorder="1" applyAlignment="1" applyProtection="1">
      <alignment horizontal="center" wrapText="1"/>
      <protection/>
    </xf>
    <xf numFmtId="0" fontId="32" fillId="0" borderId="18" xfId="65" applyFont="1" applyFill="1" applyBorder="1" applyAlignment="1" applyProtection="1">
      <alignment horizontal="center" wrapText="1"/>
      <protection/>
    </xf>
    <xf numFmtId="0" fontId="29" fillId="0" borderId="0" xfId="65" applyFont="1" applyFill="1" applyAlignment="1" applyProtection="1">
      <alignment horizontal="center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 vertical="center" wrapText="1"/>
      <protection/>
    </xf>
    <xf numFmtId="0" fontId="21" fillId="0" borderId="0" xfId="64" applyFont="1" applyFill="1" applyBorder="1" applyAlignment="1" applyProtection="1">
      <alignment horizontal="right" vertical="center"/>
      <protection/>
    </xf>
    <xf numFmtId="0" fontId="5" fillId="0" borderId="46" xfId="64" applyFont="1" applyFill="1" applyBorder="1" applyAlignment="1" applyProtection="1">
      <alignment horizontal="center" vertical="center" wrapText="1"/>
      <protection/>
    </xf>
    <xf numFmtId="0" fontId="5" fillId="0" borderId="12" xfId="64" applyFont="1" applyFill="1" applyBorder="1" applyAlignment="1" applyProtection="1">
      <alignment horizontal="center" vertical="center" wrapText="1"/>
      <protection/>
    </xf>
    <xf numFmtId="0" fontId="21" fillId="0" borderId="36" xfId="64" applyFont="1" applyFill="1" applyBorder="1" applyAlignment="1" applyProtection="1">
      <alignment horizontal="center" vertical="center" textRotation="90"/>
      <protection/>
    </xf>
    <xf numFmtId="0" fontId="21" fillId="0" borderId="10" xfId="64" applyFont="1" applyFill="1" applyBorder="1" applyAlignment="1" applyProtection="1">
      <alignment horizontal="center" vertical="center" textRotation="90"/>
      <protection/>
    </xf>
    <xf numFmtId="0" fontId="4" fillId="0" borderId="57" xfId="64" applyFont="1" applyFill="1" applyBorder="1" applyAlignment="1" applyProtection="1">
      <alignment horizontal="center" vertical="center" wrapText="1"/>
      <protection/>
    </xf>
    <xf numFmtId="0" fontId="4" fillId="0" borderId="18" xfId="64" applyFont="1" applyFill="1" applyBorder="1" applyAlignment="1" applyProtection="1">
      <alignment horizontal="center" vertical="center"/>
      <protection/>
    </xf>
    <xf numFmtId="0" fontId="31" fillId="0" borderId="0" xfId="65" applyFont="1" applyFill="1" applyAlignment="1">
      <alignment horizontal="center" vertical="center" wrapText="1"/>
      <protection/>
    </xf>
    <xf numFmtId="0" fontId="31" fillId="0" borderId="0" xfId="65" applyFont="1" applyFill="1" applyAlignment="1">
      <alignment horizontal="center" vertical="center"/>
      <protection/>
    </xf>
    <xf numFmtId="0" fontId="16" fillId="0" borderId="32" xfId="65" applyFont="1" applyFill="1" applyBorder="1" applyAlignment="1">
      <alignment horizontal="left"/>
      <protection/>
    </xf>
    <xf numFmtId="0" fontId="16" fillId="0" borderId="39" xfId="65" applyFont="1" applyFill="1" applyBorder="1" applyAlignment="1">
      <alignment horizontal="left"/>
      <protection/>
    </xf>
    <xf numFmtId="3" fontId="29" fillId="0" borderId="0" xfId="65" applyNumberFormat="1" applyFont="1" applyFill="1" applyAlignment="1">
      <alignment horizontal="center"/>
      <protection/>
    </xf>
    <xf numFmtId="0" fontId="31" fillId="0" borderId="0" xfId="65" applyFont="1" applyFill="1" applyAlignment="1">
      <alignment horizontal="center" wrapText="1"/>
      <protection/>
    </xf>
    <xf numFmtId="0" fontId="31" fillId="0" borderId="0" xfId="65" applyFont="1" applyFill="1" applyAlignment="1">
      <alignment horizontal="center"/>
      <protection/>
    </xf>
    <xf numFmtId="0" fontId="16" fillId="0" borderId="32" xfId="65" applyFont="1" applyFill="1" applyBorder="1" applyAlignment="1">
      <alignment horizontal="left" indent="1"/>
      <protection/>
    </xf>
    <xf numFmtId="0" fontId="16" fillId="0" borderId="39" xfId="65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 locked="0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3 2" xfId="51"/>
    <cellStyle name="Ezres 4" xfId="52"/>
    <cellStyle name="Figyelmeztetés" xfId="53"/>
    <cellStyle name="Hiperhivatkozás" xfId="54"/>
    <cellStyle name="Hyperlink" xfId="55"/>
    <cellStyle name="Hivatkozott cella" xfId="56"/>
    <cellStyle name="Jegyzet" xfId="57"/>
    <cellStyle name="Jó" xfId="58"/>
    <cellStyle name="Kimenet" xfId="59"/>
    <cellStyle name="Followed Hyperlink" xfId="60"/>
    <cellStyle name="Magyarázó szöveg" xfId="61"/>
    <cellStyle name="Már látott hiperhivatkozás" xfId="62"/>
    <cellStyle name="Normál_KVRENMUNKA" xfId="63"/>
    <cellStyle name="Normál_VAGYONK" xfId="64"/>
    <cellStyle name="Normál_VAGYONKIM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  <cellStyle name="Százalék 2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G32" sqref="G32"/>
    </sheetView>
  </sheetViews>
  <sheetFormatPr defaultColWidth="9.00390625" defaultRowHeight="12.75"/>
  <cols>
    <col min="1" max="1" width="46.375" style="282" customWidth="1"/>
    <col min="2" max="2" width="66.125" style="282" customWidth="1"/>
    <col min="3" max="16384" width="9.375" style="282" customWidth="1"/>
  </cols>
  <sheetData>
    <row r="1" ht="18.75">
      <c r="A1" s="469" t="s">
        <v>742</v>
      </c>
    </row>
    <row r="3" spans="1:2" ht="12.75">
      <c r="A3" s="470"/>
      <c r="B3" s="470"/>
    </row>
    <row r="4" spans="1:2" ht="15.75">
      <c r="A4" s="444" t="s">
        <v>739</v>
      </c>
      <c r="B4" s="471"/>
    </row>
    <row r="5" spans="1:2" s="472" customFormat="1" ht="12.75">
      <c r="A5" s="470"/>
      <c r="B5" s="470"/>
    </row>
    <row r="6" spans="1:2" ht="12.75">
      <c r="A6" s="470" t="s">
        <v>505</v>
      </c>
      <c r="B6" s="470" t="s">
        <v>506</v>
      </c>
    </row>
    <row r="7" spans="1:2" ht="12.75">
      <c r="A7" s="470" t="s">
        <v>507</v>
      </c>
      <c r="B7" s="470" t="s">
        <v>508</v>
      </c>
    </row>
    <row r="8" spans="1:2" ht="12.75">
      <c r="A8" s="470" t="s">
        <v>509</v>
      </c>
      <c r="B8" s="470" t="s">
        <v>510</v>
      </c>
    </row>
    <row r="9" spans="1:2" ht="12.75">
      <c r="A9" s="470"/>
      <c r="B9" s="470"/>
    </row>
    <row r="10" spans="1:2" ht="15.75">
      <c r="A10" s="444" t="str">
        <f>+CONCATENATE(LEFT(A4,4),". évi módosított előirányzat BEVÉTELEK")</f>
        <v>2016. évi módosított előirányzat BEVÉTELEK</v>
      </c>
      <c r="B10" s="471"/>
    </row>
    <row r="11" spans="1:2" ht="12.75">
      <c r="A11" s="470"/>
      <c r="B11" s="470"/>
    </row>
    <row r="12" spans="1:2" s="472" customFormat="1" ht="12.75">
      <c r="A12" s="470" t="s">
        <v>511</v>
      </c>
      <c r="B12" s="470" t="s">
        <v>517</v>
      </c>
    </row>
    <row r="13" spans="1:2" ht="12.75">
      <c r="A13" s="470" t="s">
        <v>512</v>
      </c>
      <c r="B13" s="470" t="s">
        <v>518</v>
      </c>
    </row>
    <row r="14" spans="1:2" ht="12.75">
      <c r="A14" s="470" t="s">
        <v>513</v>
      </c>
      <c r="B14" s="470" t="s">
        <v>519</v>
      </c>
    </row>
    <row r="15" spans="1:2" ht="12.75">
      <c r="A15" s="470"/>
      <c r="B15" s="470"/>
    </row>
    <row r="16" spans="1:2" ht="14.25">
      <c r="A16" s="473" t="str">
        <f>+CONCATENATE(LEFT(A4,4),". évi teljesítés BEVÉTELEK")</f>
        <v>2016. évi teljesítés BEVÉTELEK</v>
      </c>
      <c r="B16" s="471"/>
    </row>
    <row r="17" spans="1:2" ht="12.75">
      <c r="A17" s="470"/>
      <c r="B17" s="470"/>
    </row>
    <row r="18" spans="1:2" ht="12.75">
      <c r="A18" s="470" t="s">
        <v>514</v>
      </c>
      <c r="B18" s="470" t="s">
        <v>520</v>
      </c>
    </row>
    <row r="19" spans="1:2" ht="12.75">
      <c r="A19" s="470" t="s">
        <v>515</v>
      </c>
      <c r="B19" s="470" t="s">
        <v>521</v>
      </c>
    </row>
    <row r="20" spans="1:2" ht="12.75">
      <c r="A20" s="470" t="s">
        <v>516</v>
      </c>
      <c r="B20" s="470" t="s">
        <v>522</v>
      </c>
    </row>
    <row r="21" spans="1:2" ht="12.75">
      <c r="A21" s="470"/>
      <c r="B21" s="470"/>
    </row>
    <row r="22" spans="1:2" ht="15.75">
      <c r="A22" s="444" t="str">
        <f>+CONCATENATE(LEFT(A4,4),". évi eredeti előirányzat KIADÁSOK")</f>
        <v>2016. évi eredeti előirányzat KIADÁSOK</v>
      </c>
      <c r="B22" s="471"/>
    </row>
    <row r="23" spans="1:2" ht="12.75">
      <c r="A23" s="470"/>
      <c r="B23" s="470"/>
    </row>
    <row r="24" spans="1:2" ht="12.75">
      <c r="A24" s="470" t="s">
        <v>523</v>
      </c>
      <c r="B24" s="470" t="s">
        <v>529</v>
      </c>
    </row>
    <row r="25" spans="1:2" ht="12.75">
      <c r="A25" s="470" t="s">
        <v>502</v>
      </c>
      <c r="B25" s="470" t="s">
        <v>530</v>
      </c>
    </row>
    <row r="26" spans="1:2" ht="12.75">
      <c r="A26" s="470" t="s">
        <v>524</v>
      </c>
      <c r="B26" s="470" t="s">
        <v>531</v>
      </c>
    </row>
    <row r="27" spans="1:2" ht="12.75">
      <c r="A27" s="470"/>
      <c r="B27" s="470"/>
    </row>
    <row r="28" spans="1:2" ht="15.75">
      <c r="A28" s="444" t="str">
        <f>+CONCATENATE(LEFT(A4,4),". évi módosított előirányzat KIADÁSOK")</f>
        <v>2016. évi módosított előirányzat KIADÁSOK</v>
      </c>
      <c r="B28" s="471"/>
    </row>
    <row r="29" spans="1:2" ht="12.75">
      <c r="A29" s="470"/>
      <c r="B29" s="470"/>
    </row>
    <row r="30" spans="1:2" ht="12.75">
      <c r="A30" s="470" t="s">
        <v>525</v>
      </c>
      <c r="B30" s="470" t="s">
        <v>536</v>
      </c>
    </row>
    <row r="31" spans="1:2" ht="12.75">
      <c r="A31" s="470" t="s">
        <v>503</v>
      </c>
      <c r="B31" s="470" t="s">
        <v>533</v>
      </c>
    </row>
    <row r="32" spans="1:2" ht="12.75">
      <c r="A32" s="470" t="s">
        <v>526</v>
      </c>
      <c r="B32" s="470" t="s">
        <v>532</v>
      </c>
    </row>
    <row r="33" spans="1:2" ht="12.75">
      <c r="A33" s="470"/>
      <c r="B33" s="470"/>
    </row>
    <row r="34" spans="1:2" ht="15.75">
      <c r="A34" s="474" t="str">
        <f>+CONCATENATE(LEFT(A4,4),". évi teljesítés KIADÁSOK")</f>
        <v>2016. évi teljesítés KIADÁSOK</v>
      </c>
      <c r="B34" s="471"/>
    </row>
    <row r="35" spans="1:2" ht="12.75">
      <c r="A35" s="470"/>
      <c r="B35" s="470"/>
    </row>
    <row r="36" spans="1:2" ht="12.75">
      <c r="A36" s="470" t="s">
        <v>527</v>
      </c>
      <c r="B36" s="470" t="s">
        <v>537</v>
      </c>
    </row>
    <row r="37" spans="1:2" ht="12.75">
      <c r="A37" s="470" t="s">
        <v>504</v>
      </c>
      <c r="B37" s="470" t="s">
        <v>535</v>
      </c>
    </row>
    <row r="38" spans="1:2" ht="12.75">
      <c r="A38" s="470" t="s">
        <v>528</v>
      </c>
      <c r="B38" s="470" t="s">
        <v>534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2"/>
  <sheetViews>
    <sheetView zoomScaleSheetLayoutView="130" workbookViewId="0" topLeftCell="A1">
      <selection activeCell="H23" sqref="H23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17" t="s">
        <v>2</v>
      </c>
      <c r="B1" s="717"/>
      <c r="C1" s="717"/>
      <c r="D1" s="717"/>
      <c r="E1" s="717"/>
      <c r="F1" s="717"/>
      <c r="G1" s="717"/>
      <c r="H1" s="719" t="str">
        <f>+CONCATENATE("4. melléklet a 7/",LEFT(ÖSSZEFÜGGÉSEK!A4,4)+1,". (IV. 28.) önkormányzati rendelethez")</f>
        <v>4. melléklet a 7/2017. (IV. 28.) önkormányzati rendelethez</v>
      </c>
    </row>
    <row r="2" spans="1:8" ht="23.25" customHeight="1" thickBot="1">
      <c r="A2" s="27"/>
      <c r="B2" s="10"/>
      <c r="C2" s="10"/>
      <c r="D2" s="10"/>
      <c r="E2" s="10"/>
      <c r="F2" s="643"/>
      <c r="G2" s="641" t="str">
        <f>'3.sz.mell.'!G2</f>
        <v>Forintban!</v>
      </c>
      <c r="H2" s="719"/>
    </row>
    <row r="3" spans="1:8" s="6" customFormat="1" ht="48.75" customHeight="1" thickBot="1">
      <c r="A3" s="28" t="s">
        <v>56</v>
      </c>
      <c r="B3" s="29" t="s">
        <v>54</v>
      </c>
      <c r="C3" s="29" t="s">
        <v>55</v>
      </c>
      <c r="D3" s="29" t="str">
        <f>+'3.sz.mell.'!D3</f>
        <v>Felhasználás 2015. XII.31-ig</v>
      </c>
      <c r="E3" s="29" t="str">
        <f>+'3.sz.mell.'!E3</f>
        <v>2016. évi módosított előirányzat</v>
      </c>
      <c r="F3" s="83" t="str">
        <f>+'3.sz.mell.'!F3</f>
        <v>2016. évi teljesítés</v>
      </c>
      <c r="G3" s="82" t="str">
        <f>+'3.sz.mell.'!G3</f>
        <v>Összes teljesítés 2016. dec. 31-ig</v>
      </c>
      <c r="H3" s="719"/>
    </row>
    <row r="4" spans="1:8" s="10" customFormat="1" ht="15" customHeight="1" thickBot="1">
      <c r="A4" s="437" t="s">
        <v>411</v>
      </c>
      <c r="B4" s="438" t="s">
        <v>412</v>
      </c>
      <c r="C4" s="438" t="s">
        <v>413</v>
      </c>
      <c r="D4" s="438" t="s">
        <v>414</v>
      </c>
      <c r="E4" s="438" t="s">
        <v>415</v>
      </c>
      <c r="F4" s="50" t="s">
        <v>492</v>
      </c>
      <c r="G4" s="439" t="s">
        <v>538</v>
      </c>
      <c r="H4" s="719"/>
    </row>
    <row r="5" spans="1:8" ht="15.75" customHeight="1">
      <c r="A5" s="18" t="s">
        <v>750</v>
      </c>
      <c r="B5" s="689">
        <v>3947395</v>
      </c>
      <c r="C5" s="690" t="s">
        <v>751</v>
      </c>
      <c r="D5" s="689">
        <v>0</v>
      </c>
      <c r="E5" s="689">
        <v>3947395</v>
      </c>
      <c r="F5" s="689">
        <v>3947395</v>
      </c>
      <c r="G5" s="691">
        <f>D5+F5</f>
        <v>3947395</v>
      </c>
      <c r="H5" s="719"/>
    </row>
    <row r="6" spans="1:8" ht="15.75" customHeight="1">
      <c r="A6" s="18" t="s">
        <v>752</v>
      </c>
      <c r="B6" s="689">
        <v>1627563</v>
      </c>
      <c r="C6" s="690" t="s">
        <v>751</v>
      </c>
      <c r="D6" s="689"/>
      <c r="E6" s="689">
        <v>1627563</v>
      </c>
      <c r="F6" s="689">
        <v>1627563</v>
      </c>
      <c r="G6" s="691">
        <v>1627563</v>
      </c>
      <c r="H6" s="719"/>
    </row>
    <row r="7" spans="1:8" ht="15.75" customHeight="1">
      <c r="A7" s="18" t="s">
        <v>753</v>
      </c>
      <c r="B7" s="689">
        <v>2500000</v>
      </c>
      <c r="C7" s="690" t="s">
        <v>754</v>
      </c>
      <c r="D7" s="689"/>
      <c r="E7" s="689">
        <v>4672297</v>
      </c>
      <c r="F7" s="689">
        <v>2500000</v>
      </c>
      <c r="G7" s="691">
        <v>2500000</v>
      </c>
      <c r="H7" s="719"/>
    </row>
    <row r="8" spans="1:8" ht="15.75" customHeight="1">
      <c r="A8" s="18"/>
      <c r="B8" s="689"/>
      <c r="C8" s="690"/>
      <c r="D8" s="689"/>
      <c r="E8" s="689"/>
      <c r="F8" s="689"/>
      <c r="G8" s="691">
        <f>E8+F8</f>
        <v>0</v>
      </c>
      <c r="H8" s="719"/>
    </row>
    <row r="9" spans="1:8" ht="15.75" customHeight="1">
      <c r="A9" s="18"/>
      <c r="B9" s="2"/>
      <c r="C9" s="306"/>
      <c r="D9" s="2"/>
      <c r="E9" s="2"/>
      <c r="F9" s="51"/>
      <c r="G9" s="52">
        <f aca="true" t="shared" si="0" ref="G9:G21">+D9+F9</f>
        <v>0</v>
      </c>
      <c r="H9" s="719"/>
    </row>
    <row r="10" spans="1:8" ht="15.75" customHeight="1">
      <c r="A10" s="18"/>
      <c r="B10" s="2"/>
      <c r="C10" s="306"/>
      <c r="D10" s="2"/>
      <c r="E10" s="2"/>
      <c r="F10" s="51"/>
      <c r="G10" s="52">
        <f t="shared" si="0"/>
        <v>0</v>
      </c>
      <c r="H10" s="719"/>
    </row>
    <row r="11" spans="1:8" ht="15.75" customHeight="1">
      <c r="A11" s="18"/>
      <c r="B11" s="2"/>
      <c r="C11" s="306"/>
      <c r="D11" s="2"/>
      <c r="E11" s="2"/>
      <c r="F11" s="51"/>
      <c r="G11" s="52">
        <f t="shared" si="0"/>
        <v>0</v>
      </c>
      <c r="H11" s="719"/>
    </row>
    <row r="12" spans="1:8" ht="15.75" customHeight="1">
      <c r="A12" s="18"/>
      <c r="B12" s="2"/>
      <c r="C12" s="306"/>
      <c r="D12" s="2"/>
      <c r="E12" s="2"/>
      <c r="F12" s="51"/>
      <c r="G12" s="52">
        <f t="shared" si="0"/>
        <v>0</v>
      </c>
      <c r="H12" s="719"/>
    </row>
    <row r="13" spans="1:8" ht="15.75" customHeight="1">
      <c r="A13" s="18"/>
      <c r="B13" s="2"/>
      <c r="C13" s="306"/>
      <c r="D13" s="2"/>
      <c r="E13" s="2"/>
      <c r="F13" s="51"/>
      <c r="G13" s="52">
        <f t="shared" si="0"/>
        <v>0</v>
      </c>
      <c r="H13" s="719"/>
    </row>
    <row r="14" spans="1:8" ht="15.75" customHeight="1">
      <c r="A14" s="18"/>
      <c r="B14" s="2"/>
      <c r="C14" s="306"/>
      <c r="D14" s="2"/>
      <c r="E14" s="2"/>
      <c r="F14" s="51"/>
      <c r="G14" s="52">
        <f t="shared" si="0"/>
        <v>0</v>
      </c>
      <c r="H14" s="719"/>
    </row>
    <row r="15" spans="1:8" ht="15.75" customHeight="1">
      <c r="A15" s="18"/>
      <c r="B15" s="2"/>
      <c r="C15" s="306"/>
      <c r="D15" s="2"/>
      <c r="E15" s="2"/>
      <c r="F15" s="51"/>
      <c r="G15" s="52">
        <f t="shared" si="0"/>
        <v>0</v>
      </c>
      <c r="H15" s="719"/>
    </row>
    <row r="16" spans="1:8" ht="15.75" customHeight="1">
      <c r="A16" s="18"/>
      <c r="B16" s="2"/>
      <c r="C16" s="306"/>
      <c r="D16" s="2"/>
      <c r="E16" s="2"/>
      <c r="F16" s="51"/>
      <c r="G16" s="52">
        <f t="shared" si="0"/>
        <v>0</v>
      </c>
      <c r="H16" s="719"/>
    </row>
    <row r="17" spans="1:8" ht="15.75" customHeight="1">
      <c r="A17" s="18"/>
      <c r="B17" s="2"/>
      <c r="C17" s="306"/>
      <c r="D17" s="2"/>
      <c r="E17" s="2"/>
      <c r="F17" s="51"/>
      <c r="G17" s="52">
        <f t="shared" si="0"/>
        <v>0</v>
      </c>
      <c r="H17" s="719"/>
    </row>
    <row r="18" spans="1:8" ht="15.75" customHeight="1">
      <c r="A18" s="18"/>
      <c r="B18" s="2"/>
      <c r="C18" s="306"/>
      <c r="D18" s="2"/>
      <c r="E18" s="2"/>
      <c r="F18" s="51"/>
      <c r="G18" s="52">
        <f t="shared" si="0"/>
        <v>0</v>
      </c>
      <c r="H18" s="719"/>
    </row>
    <row r="19" spans="1:8" ht="15.75" customHeight="1">
      <c r="A19" s="18"/>
      <c r="B19" s="2"/>
      <c r="C19" s="306"/>
      <c r="D19" s="2"/>
      <c r="E19" s="2"/>
      <c r="F19" s="51"/>
      <c r="G19" s="52">
        <f t="shared" si="0"/>
        <v>0</v>
      </c>
      <c r="H19" s="719"/>
    </row>
    <row r="20" spans="1:8" ht="15.75" customHeight="1">
      <c r="A20" s="18"/>
      <c r="B20" s="2"/>
      <c r="C20" s="306"/>
      <c r="D20" s="2"/>
      <c r="E20" s="2"/>
      <c r="F20" s="51"/>
      <c r="G20" s="52">
        <f t="shared" si="0"/>
        <v>0</v>
      </c>
      <c r="H20" s="719"/>
    </row>
    <row r="21" spans="1:8" ht="15.75" customHeight="1" thickBot="1">
      <c r="A21" s="19"/>
      <c r="B21" s="3"/>
      <c r="C21" s="307"/>
      <c r="D21" s="3"/>
      <c r="E21" s="3"/>
      <c r="F21" s="53"/>
      <c r="G21" s="52">
        <f t="shared" si="0"/>
        <v>0</v>
      </c>
      <c r="H21" s="719"/>
    </row>
    <row r="22" spans="1:8" s="17" customFormat="1" ht="18" customHeight="1" thickBot="1">
      <c r="A22" s="30" t="s">
        <v>52</v>
      </c>
      <c r="B22" s="15">
        <f>SUM(B5:B21)</f>
        <v>8074958</v>
      </c>
      <c r="C22" s="22"/>
      <c r="D22" s="15">
        <f>SUM(D5:D21)</f>
        <v>0</v>
      </c>
      <c r="E22" s="15">
        <f>SUM(E5:E21)</f>
        <v>10247255</v>
      </c>
      <c r="F22" s="15">
        <f>SUM(F5:F21)</f>
        <v>8074958</v>
      </c>
      <c r="G22" s="16">
        <f>SUM(G5:G21)</f>
        <v>8074958</v>
      </c>
      <c r="H22" s="719"/>
    </row>
  </sheetData>
  <sheetProtection/>
  <mergeCells count="2">
    <mergeCell ref="A1:G1"/>
    <mergeCell ref="H1:H2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zoomScale="130" zoomScaleNormal="130" zoomScaleSheetLayoutView="100" workbookViewId="0" topLeftCell="A3">
      <selection activeCell="N33" sqref="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23" t="s">
        <v>0</v>
      </c>
      <c r="B1" s="723"/>
      <c r="C1" s="723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1" t="str">
        <f>+CONCATENATE("5. melléklet a 7/",LEFT(ÖSSZEFÜGGÉSEK!A4,4)+1,". (IV. 28.) önkormányzati rendelethez  ")</f>
        <v>5. melléklet a 7/2017. (IV. 28.) önkormányzati rendelethez  </v>
      </c>
    </row>
    <row r="2" spans="1:14" ht="15.75" thickBot="1">
      <c r="A2" s="20"/>
      <c r="B2" s="20"/>
      <c r="C2" s="20"/>
      <c r="D2" s="732" t="s">
        <v>749</v>
      </c>
      <c r="E2" s="732"/>
      <c r="F2" s="732"/>
      <c r="G2" s="732"/>
      <c r="H2" s="20"/>
      <c r="I2" s="20"/>
      <c r="J2" s="20"/>
      <c r="K2" s="20"/>
      <c r="L2" s="644"/>
      <c r="M2" s="642" t="str">
        <f>'4.sz.mell.'!G2</f>
        <v>Forintban!</v>
      </c>
      <c r="N2" s="721"/>
    </row>
    <row r="3" spans="1:14" ht="13.5" thickBot="1">
      <c r="A3" s="728" t="s">
        <v>90</v>
      </c>
      <c r="B3" s="727" t="s">
        <v>177</v>
      </c>
      <c r="C3" s="727"/>
      <c r="D3" s="727"/>
      <c r="E3" s="727"/>
      <c r="F3" s="727"/>
      <c r="G3" s="727"/>
      <c r="H3" s="727"/>
      <c r="I3" s="727"/>
      <c r="J3" s="740" t="s">
        <v>179</v>
      </c>
      <c r="K3" s="740"/>
      <c r="L3" s="740"/>
      <c r="M3" s="740"/>
      <c r="N3" s="721"/>
    </row>
    <row r="4" spans="1:14" ht="15" customHeight="1" thickBot="1">
      <c r="A4" s="729"/>
      <c r="B4" s="720" t="s">
        <v>180</v>
      </c>
      <c r="C4" s="726" t="s">
        <v>181</v>
      </c>
      <c r="D4" s="722" t="s">
        <v>175</v>
      </c>
      <c r="E4" s="722"/>
      <c r="F4" s="722"/>
      <c r="G4" s="722"/>
      <c r="H4" s="722"/>
      <c r="I4" s="722"/>
      <c r="J4" s="741"/>
      <c r="K4" s="741"/>
      <c r="L4" s="741"/>
      <c r="M4" s="741"/>
      <c r="N4" s="721"/>
    </row>
    <row r="5" spans="1:14" ht="21.75" thickBot="1">
      <c r="A5" s="729"/>
      <c r="B5" s="720"/>
      <c r="C5" s="726"/>
      <c r="D5" s="55" t="s">
        <v>180</v>
      </c>
      <c r="E5" s="55" t="s">
        <v>181</v>
      </c>
      <c r="F5" s="55" t="s">
        <v>180</v>
      </c>
      <c r="G5" s="55" t="s">
        <v>181</v>
      </c>
      <c r="H5" s="55" t="s">
        <v>180</v>
      </c>
      <c r="I5" s="55" t="s">
        <v>181</v>
      </c>
      <c r="J5" s="741"/>
      <c r="K5" s="741"/>
      <c r="L5" s="741"/>
      <c r="M5" s="741"/>
      <c r="N5" s="721"/>
    </row>
    <row r="6" spans="1:14" ht="32.25" thickBot="1">
      <c r="A6" s="730"/>
      <c r="B6" s="726" t="s">
        <v>176</v>
      </c>
      <c r="C6" s="726"/>
      <c r="D6" s="726" t="str">
        <f>+CONCATENATE(LEFT(ÖSSZEFÜGGÉSEK!A4,4),". előtt")</f>
        <v>2016. előtt</v>
      </c>
      <c r="E6" s="726"/>
      <c r="F6" s="726" t="str">
        <f>+CONCATENATE(LEFT(ÖSSZEFÜGGÉSEK!A4,4),". évi")</f>
        <v>2016. évi</v>
      </c>
      <c r="G6" s="726"/>
      <c r="H6" s="720" t="str">
        <f>+CONCATENATE(LEFT(ÖSSZEFÜGGÉSEK!A4,4),". után")</f>
        <v>2016. után</v>
      </c>
      <c r="I6" s="720"/>
      <c r="J6" s="54" t="str">
        <f>+D6</f>
        <v>2016. előtt</v>
      </c>
      <c r="K6" s="55" t="str">
        <f>+F6</f>
        <v>2016. évi</v>
      </c>
      <c r="L6" s="54" t="s">
        <v>39</v>
      </c>
      <c r="M6" s="55" t="str">
        <f>+CONCATENATE("Teljesítés %-a ",LEFT(ÖSSZEFÜGGÉSEK!A4,4),". XII. 31-ig")</f>
        <v>Teljesítés %-a 2016. XII. 31-ig</v>
      </c>
      <c r="N6" s="721"/>
    </row>
    <row r="7" spans="1:14" ht="13.5" thickBot="1">
      <c r="A7" s="56" t="s">
        <v>411</v>
      </c>
      <c r="B7" s="54" t="s">
        <v>412</v>
      </c>
      <c r="C7" s="54" t="s">
        <v>413</v>
      </c>
      <c r="D7" s="57" t="s">
        <v>414</v>
      </c>
      <c r="E7" s="55" t="s">
        <v>415</v>
      </c>
      <c r="F7" s="55" t="s">
        <v>492</v>
      </c>
      <c r="G7" s="55" t="s">
        <v>493</v>
      </c>
      <c r="H7" s="54" t="s">
        <v>494</v>
      </c>
      <c r="I7" s="57" t="s">
        <v>495</v>
      </c>
      <c r="J7" s="57" t="s">
        <v>539</v>
      </c>
      <c r="K7" s="57" t="s">
        <v>540</v>
      </c>
      <c r="L7" s="57" t="s">
        <v>541</v>
      </c>
      <c r="M7" s="58" t="s">
        <v>542</v>
      </c>
      <c r="N7" s="721"/>
    </row>
    <row r="8" spans="1:14" ht="12.75">
      <c r="A8" s="59" t="s">
        <v>91</v>
      </c>
      <c r="B8" s="648"/>
      <c r="C8" s="649"/>
      <c r="D8" s="649"/>
      <c r="E8" s="650"/>
      <c r="F8" s="649"/>
      <c r="G8" s="649"/>
      <c r="H8" s="649"/>
      <c r="I8" s="649"/>
      <c r="J8" s="649"/>
      <c r="K8" s="649"/>
      <c r="L8" s="651">
        <f aca="true" t="shared" si="0" ref="L8:L14">+J8+K8</f>
        <v>0</v>
      </c>
      <c r="M8" s="652">
        <f>IF((C8&lt;&gt;0),ROUND((L8/C8)*100,1),"")</f>
      </c>
      <c r="N8" s="721"/>
    </row>
    <row r="9" spans="1:14" ht="12.75">
      <c r="A9" s="60" t="s">
        <v>103</v>
      </c>
      <c r="B9" s="653"/>
      <c r="C9" s="654"/>
      <c r="D9" s="654"/>
      <c r="E9" s="654"/>
      <c r="F9" s="654"/>
      <c r="G9" s="654"/>
      <c r="H9" s="654"/>
      <c r="I9" s="654"/>
      <c r="J9" s="654"/>
      <c r="K9" s="654"/>
      <c r="L9" s="655">
        <f t="shared" si="0"/>
        <v>0</v>
      </c>
      <c r="M9" s="656">
        <f aca="true" t="shared" si="1" ref="M9:M14">IF((C9&lt;&gt;0),ROUND((L9/C9)*100,1),"")</f>
      </c>
      <c r="N9" s="721"/>
    </row>
    <row r="10" spans="1:14" ht="12.75">
      <c r="A10" s="61" t="s">
        <v>92</v>
      </c>
      <c r="B10" s="657"/>
      <c r="C10" s="658"/>
      <c r="D10" s="658"/>
      <c r="E10" s="658"/>
      <c r="F10" s="658"/>
      <c r="G10" s="658"/>
      <c r="H10" s="658"/>
      <c r="I10" s="658"/>
      <c r="J10" s="658"/>
      <c r="K10" s="658"/>
      <c r="L10" s="655">
        <f t="shared" si="0"/>
        <v>0</v>
      </c>
      <c r="M10" s="656">
        <f t="shared" si="1"/>
      </c>
      <c r="N10" s="721"/>
    </row>
    <row r="11" spans="1:14" ht="12.75">
      <c r="A11" s="61" t="s">
        <v>104</v>
      </c>
      <c r="B11" s="657"/>
      <c r="C11" s="658"/>
      <c r="D11" s="658"/>
      <c r="E11" s="658"/>
      <c r="F11" s="658"/>
      <c r="G11" s="658"/>
      <c r="H11" s="658"/>
      <c r="I11" s="658"/>
      <c r="J11" s="658"/>
      <c r="K11" s="658"/>
      <c r="L11" s="655">
        <f t="shared" si="0"/>
        <v>0</v>
      </c>
      <c r="M11" s="656">
        <f t="shared" si="1"/>
      </c>
      <c r="N11" s="721"/>
    </row>
    <row r="12" spans="1:14" ht="12.75">
      <c r="A12" s="61" t="s">
        <v>93</v>
      </c>
      <c r="B12" s="657"/>
      <c r="C12" s="658"/>
      <c r="D12" s="658"/>
      <c r="E12" s="658"/>
      <c r="F12" s="658"/>
      <c r="G12" s="658"/>
      <c r="H12" s="658"/>
      <c r="I12" s="658"/>
      <c r="J12" s="658"/>
      <c r="K12" s="658"/>
      <c r="L12" s="655">
        <f t="shared" si="0"/>
        <v>0</v>
      </c>
      <c r="M12" s="656">
        <f t="shared" si="1"/>
      </c>
      <c r="N12" s="721"/>
    </row>
    <row r="13" spans="1:14" ht="12.75">
      <c r="A13" s="61" t="s">
        <v>94</v>
      </c>
      <c r="B13" s="657"/>
      <c r="C13" s="658"/>
      <c r="D13" s="658"/>
      <c r="E13" s="658"/>
      <c r="F13" s="658"/>
      <c r="G13" s="658"/>
      <c r="H13" s="658"/>
      <c r="I13" s="658"/>
      <c r="J13" s="658"/>
      <c r="K13" s="658"/>
      <c r="L13" s="655">
        <f t="shared" si="0"/>
        <v>0</v>
      </c>
      <c r="M13" s="656">
        <f t="shared" si="1"/>
      </c>
      <c r="N13" s="721"/>
    </row>
    <row r="14" spans="1:14" ht="15" customHeight="1" thickBot="1">
      <c r="A14" s="62"/>
      <c r="B14" s="659"/>
      <c r="C14" s="660"/>
      <c r="D14" s="660"/>
      <c r="E14" s="660"/>
      <c r="F14" s="660"/>
      <c r="G14" s="660"/>
      <c r="H14" s="660"/>
      <c r="I14" s="660"/>
      <c r="J14" s="660"/>
      <c r="K14" s="660"/>
      <c r="L14" s="655">
        <f t="shared" si="0"/>
        <v>0</v>
      </c>
      <c r="M14" s="661">
        <f t="shared" si="1"/>
      </c>
      <c r="N14" s="721"/>
    </row>
    <row r="15" spans="1:14" ht="13.5" thickBot="1">
      <c r="A15" s="63" t="s">
        <v>96</v>
      </c>
      <c r="B15" s="662">
        <f>B8+SUM(B10:B14)</f>
        <v>0</v>
      </c>
      <c r="C15" s="662">
        <f aca="true" t="shared" si="2" ref="C15:L15">C8+SUM(C10:C14)</f>
        <v>0</v>
      </c>
      <c r="D15" s="662">
        <f t="shared" si="2"/>
        <v>0</v>
      </c>
      <c r="E15" s="662">
        <f t="shared" si="2"/>
        <v>0</v>
      </c>
      <c r="F15" s="662">
        <f t="shared" si="2"/>
        <v>0</v>
      </c>
      <c r="G15" s="662">
        <f t="shared" si="2"/>
        <v>0</v>
      </c>
      <c r="H15" s="662">
        <f t="shared" si="2"/>
        <v>0</v>
      </c>
      <c r="I15" s="662">
        <f t="shared" si="2"/>
        <v>0</v>
      </c>
      <c r="J15" s="662">
        <f t="shared" si="2"/>
        <v>0</v>
      </c>
      <c r="K15" s="662">
        <f t="shared" si="2"/>
        <v>0</v>
      </c>
      <c r="L15" s="662">
        <f t="shared" si="2"/>
        <v>0</v>
      </c>
      <c r="M15" s="663">
        <f>IF((C15&lt;&gt;0),ROUND((L15/C15)*100,1),"")</f>
      </c>
      <c r="N15" s="721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21"/>
    </row>
    <row r="17" spans="1:14" ht="13.5" thickBot="1">
      <c r="A17" s="67" t="s">
        <v>95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21"/>
    </row>
    <row r="18" spans="1:14" ht="12.75">
      <c r="A18" s="70" t="s">
        <v>99</v>
      </c>
      <c r="B18" s="648"/>
      <c r="C18" s="649"/>
      <c r="D18" s="649"/>
      <c r="E18" s="650"/>
      <c r="F18" s="649"/>
      <c r="G18" s="649"/>
      <c r="H18" s="649"/>
      <c r="I18" s="649"/>
      <c r="J18" s="649"/>
      <c r="K18" s="649"/>
      <c r="L18" s="664">
        <f aca="true" t="shared" si="3" ref="L18:L23">+J18+K18</f>
        <v>0</v>
      </c>
      <c r="M18" s="652">
        <f aca="true" t="shared" si="4" ref="M18:M24">IF((C18&lt;&gt;0),ROUND((L18/C18)*100,1),"")</f>
      </c>
      <c r="N18" s="721"/>
    </row>
    <row r="19" spans="1:14" ht="12.75">
      <c r="A19" s="71" t="s">
        <v>100</v>
      </c>
      <c r="B19" s="653"/>
      <c r="C19" s="658"/>
      <c r="D19" s="658"/>
      <c r="E19" s="658"/>
      <c r="F19" s="658"/>
      <c r="G19" s="658"/>
      <c r="H19" s="658"/>
      <c r="I19" s="658"/>
      <c r="J19" s="658"/>
      <c r="K19" s="658"/>
      <c r="L19" s="665">
        <f t="shared" si="3"/>
        <v>0</v>
      </c>
      <c r="M19" s="656">
        <f t="shared" si="4"/>
      </c>
      <c r="N19" s="721"/>
    </row>
    <row r="20" spans="1:14" ht="12.75">
      <c r="A20" s="71" t="s">
        <v>101</v>
      </c>
      <c r="B20" s="657"/>
      <c r="C20" s="658"/>
      <c r="D20" s="658"/>
      <c r="E20" s="658"/>
      <c r="F20" s="658"/>
      <c r="G20" s="658"/>
      <c r="H20" s="658"/>
      <c r="I20" s="658"/>
      <c r="J20" s="658"/>
      <c r="K20" s="658"/>
      <c r="L20" s="665">
        <f t="shared" si="3"/>
        <v>0</v>
      </c>
      <c r="M20" s="656">
        <f t="shared" si="4"/>
      </c>
      <c r="N20" s="721"/>
    </row>
    <row r="21" spans="1:14" ht="12.75">
      <c r="A21" s="71" t="s">
        <v>102</v>
      </c>
      <c r="B21" s="657"/>
      <c r="C21" s="658"/>
      <c r="D21" s="658"/>
      <c r="E21" s="658"/>
      <c r="F21" s="658"/>
      <c r="G21" s="658"/>
      <c r="H21" s="658"/>
      <c r="I21" s="658"/>
      <c r="J21" s="658"/>
      <c r="K21" s="658"/>
      <c r="L21" s="665">
        <f t="shared" si="3"/>
        <v>0</v>
      </c>
      <c r="M21" s="656">
        <f t="shared" si="4"/>
      </c>
      <c r="N21" s="721"/>
    </row>
    <row r="22" spans="1:14" ht="12.75">
      <c r="A22" s="72"/>
      <c r="B22" s="657"/>
      <c r="C22" s="658"/>
      <c r="D22" s="658"/>
      <c r="E22" s="658"/>
      <c r="F22" s="658"/>
      <c r="G22" s="658"/>
      <c r="H22" s="658"/>
      <c r="I22" s="658"/>
      <c r="J22" s="658"/>
      <c r="K22" s="658"/>
      <c r="L22" s="665">
        <f t="shared" si="3"/>
        <v>0</v>
      </c>
      <c r="M22" s="656">
        <f t="shared" si="4"/>
      </c>
      <c r="N22" s="721"/>
    </row>
    <row r="23" spans="1:14" ht="13.5" thickBot="1">
      <c r="A23" s="73"/>
      <c r="B23" s="659"/>
      <c r="C23" s="660"/>
      <c r="D23" s="660"/>
      <c r="E23" s="660"/>
      <c r="F23" s="660"/>
      <c r="G23" s="660"/>
      <c r="H23" s="660"/>
      <c r="I23" s="660"/>
      <c r="J23" s="660"/>
      <c r="K23" s="660"/>
      <c r="L23" s="665">
        <f t="shared" si="3"/>
        <v>0</v>
      </c>
      <c r="M23" s="661">
        <f t="shared" si="4"/>
      </c>
      <c r="N23" s="721"/>
    </row>
    <row r="24" spans="1:14" ht="13.5" thickBot="1">
      <c r="A24" s="74" t="s">
        <v>80</v>
      </c>
      <c r="B24" s="662">
        <f aca="true" t="shared" si="5" ref="B24:L24">SUM(B18:B23)</f>
        <v>0</v>
      </c>
      <c r="C24" s="662">
        <f t="shared" si="5"/>
        <v>0</v>
      </c>
      <c r="D24" s="662">
        <f t="shared" si="5"/>
        <v>0</v>
      </c>
      <c r="E24" s="662">
        <f t="shared" si="5"/>
        <v>0</v>
      </c>
      <c r="F24" s="662">
        <f t="shared" si="5"/>
        <v>0</v>
      </c>
      <c r="G24" s="662">
        <f t="shared" si="5"/>
        <v>0</v>
      </c>
      <c r="H24" s="662">
        <f t="shared" si="5"/>
        <v>0</v>
      </c>
      <c r="I24" s="662">
        <f t="shared" si="5"/>
        <v>0</v>
      </c>
      <c r="J24" s="662">
        <f t="shared" si="5"/>
        <v>0</v>
      </c>
      <c r="K24" s="662">
        <f t="shared" si="5"/>
        <v>0</v>
      </c>
      <c r="L24" s="662">
        <f t="shared" si="5"/>
        <v>0</v>
      </c>
      <c r="M24" s="663">
        <f t="shared" si="4"/>
      </c>
      <c r="N24" s="721"/>
    </row>
    <row r="25" spans="1:14" ht="12.75">
      <c r="A25" s="725" t="s">
        <v>174</v>
      </c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1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21"/>
    </row>
    <row r="27" spans="1:14" ht="15.75">
      <c r="A27" s="735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35"/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2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31" t="str">
        <f>M2</f>
        <v>Forintban!</v>
      </c>
      <c r="M28" s="731"/>
      <c r="N28" s="721"/>
    </row>
    <row r="29" spans="1:14" ht="21.75" thickBot="1">
      <c r="A29" s="742" t="s">
        <v>97</v>
      </c>
      <c r="B29" s="743"/>
      <c r="C29" s="743"/>
      <c r="D29" s="743"/>
      <c r="E29" s="743"/>
      <c r="F29" s="743"/>
      <c r="G29" s="743"/>
      <c r="H29" s="743"/>
      <c r="I29" s="743"/>
      <c r="J29" s="743"/>
      <c r="K29" s="76" t="s">
        <v>664</v>
      </c>
      <c r="L29" s="76" t="s">
        <v>663</v>
      </c>
      <c r="M29" s="76" t="s">
        <v>179</v>
      </c>
      <c r="N29" s="721"/>
    </row>
    <row r="30" spans="1:14" ht="12.75">
      <c r="A30" s="736"/>
      <c r="B30" s="737"/>
      <c r="C30" s="737"/>
      <c r="D30" s="737"/>
      <c r="E30" s="737"/>
      <c r="F30" s="737"/>
      <c r="G30" s="737"/>
      <c r="H30" s="737"/>
      <c r="I30" s="737"/>
      <c r="J30" s="737"/>
      <c r="K30" s="650"/>
      <c r="L30" s="666"/>
      <c r="M30" s="666"/>
      <c r="N30" s="721"/>
    </row>
    <row r="31" spans="1:14" ht="13.5" thickBot="1">
      <c r="A31" s="738"/>
      <c r="B31" s="739"/>
      <c r="C31" s="739"/>
      <c r="D31" s="739"/>
      <c r="E31" s="739"/>
      <c r="F31" s="739"/>
      <c r="G31" s="739"/>
      <c r="H31" s="739"/>
      <c r="I31" s="739"/>
      <c r="J31" s="739"/>
      <c r="K31" s="667"/>
      <c r="L31" s="660"/>
      <c r="M31" s="660"/>
      <c r="N31" s="721"/>
    </row>
    <row r="32" spans="1:14" ht="13.5" thickBot="1">
      <c r="A32" s="733" t="s">
        <v>40</v>
      </c>
      <c r="B32" s="734"/>
      <c r="C32" s="734"/>
      <c r="D32" s="734"/>
      <c r="E32" s="734"/>
      <c r="F32" s="734"/>
      <c r="G32" s="734"/>
      <c r="H32" s="734"/>
      <c r="I32" s="734"/>
      <c r="J32" s="734"/>
      <c r="K32" s="668">
        <f>SUM(K30:K31)</f>
        <v>0</v>
      </c>
      <c r="L32" s="668">
        <f>SUM(L30:L31)</f>
        <v>0</v>
      </c>
      <c r="M32" s="668">
        <f>SUM(M30:M31)</f>
        <v>0</v>
      </c>
      <c r="N32" s="721"/>
    </row>
    <row r="33" ht="12.75">
      <c r="N33" s="702"/>
    </row>
    <row r="48" ht="12.75">
      <c r="A48" s="9"/>
    </row>
  </sheetData>
  <sheetProtection/>
  <mergeCells count="21">
    <mergeCell ref="A29:J29"/>
    <mergeCell ref="D6:E6"/>
    <mergeCell ref="A3:A6"/>
    <mergeCell ref="L28:M28"/>
    <mergeCell ref="D2:G2"/>
    <mergeCell ref="A32:J32"/>
    <mergeCell ref="B4:B5"/>
    <mergeCell ref="A27:M27"/>
    <mergeCell ref="A30:J30"/>
    <mergeCell ref="A31:J31"/>
    <mergeCell ref="J3:M5"/>
    <mergeCell ref="H6:I6"/>
    <mergeCell ref="N1:N32"/>
    <mergeCell ref="D4:I4"/>
    <mergeCell ref="A1:C1"/>
    <mergeCell ref="D1:M1"/>
    <mergeCell ref="A25:M25"/>
    <mergeCell ref="B6:C6"/>
    <mergeCell ref="B3:I3"/>
    <mergeCell ref="F6:G6"/>
    <mergeCell ref="C4:C5"/>
  </mergeCells>
  <printOptions horizontalCentered="1"/>
  <pageMargins left="0.7874015748031497" right="0.7874015748031497" top="1.3779527559055118" bottom="0.7874015748031497" header="0.7874015748031497" footer="0.7874015748031497"/>
  <pageSetup fitToHeight="1" fitToWidth="1"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E5" sqref="E5"/>
    </sheetView>
  </sheetViews>
  <sheetFormatPr defaultColWidth="9.00390625" defaultRowHeight="12.75"/>
  <cols>
    <col min="1" max="1" width="14.875" style="509" customWidth="1"/>
    <col min="2" max="2" width="65.375" style="510" customWidth="1"/>
    <col min="3" max="5" width="17.00390625" style="511" customWidth="1"/>
    <col min="6" max="16384" width="9.375" style="33" customWidth="1"/>
  </cols>
  <sheetData>
    <row r="1" spans="1:5" s="485" customFormat="1" ht="16.5" customHeight="1" thickBot="1">
      <c r="A1" s="484"/>
      <c r="B1" s="486"/>
      <c r="C1" s="531"/>
      <c r="D1" s="496"/>
      <c r="E1" s="619" t="str">
        <f>+CONCATENATE("6.1. melléklet a 7/",LEFT(ÖSSZEFÜGGÉSEK!A4,4)+1,". (IV. 28.) önkormányzati rendelethez")</f>
        <v>6.1. melléklet a 7/2017. (IV. 28.) önkormányzati rendelethez</v>
      </c>
    </row>
    <row r="2" spans="1:5" s="532" customFormat="1" ht="15.75" customHeight="1">
      <c r="A2" s="512" t="s">
        <v>50</v>
      </c>
      <c r="B2" s="747" t="s">
        <v>746</v>
      </c>
      <c r="C2" s="748"/>
      <c r="D2" s="749"/>
      <c r="E2" s="505" t="s">
        <v>41</v>
      </c>
    </row>
    <row r="3" spans="1:5" s="532" customFormat="1" ht="24.75" thickBot="1">
      <c r="A3" s="530" t="s">
        <v>544</v>
      </c>
      <c r="B3" s="750" t="s">
        <v>543</v>
      </c>
      <c r="C3" s="751"/>
      <c r="D3" s="752"/>
      <c r="E3" s="480" t="s">
        <v>41</v>
      </c>
    </row>
    <row r="4" spans="1:5" s="533" customFormat="1" ht="15.75" customHeight="1" thickBot="1">
      <c r="A4" s="487"/>
      <c r="B4" s="487"/>
      <c r="C4" s="488"/>
      <c r="D4" s="488"/>
      <c r="E4" s="488" t="str">
        <f>'5. sz. mell. '!M2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34" customFormat="1" ht="12" customHeight="1" thickBot="1">
      <c r="A8" s="352" t="s">
        <v>7</v>
      </c>
      <c r="B8" s="348" t="s">
        <v>303</v>
      </c>
      <c r="C8" s="379">
        <f>SUM(C9:C14)</f>
        <v>200031103</v>
      </c>
      <c r="D8" s="379">
        <f>SUM(D9:D14)</f>
        <v>203800049</v>
      </c>
      <c r="E8" s="362">
        <f>SUM(E9:E14)</f>
        <v>203800049</v>
      </c>
    </row>
    <row r="9" spans="1:5" s="508" customFormat="1" ht="12" customHeight="1">
      <c r="A9" s="518" t="s">
        <v>69</v>
      </c>
      <c r="B9" s="390" t="s">
        <v>304</v>
      </c>
      <c r="C9" s="381">
        <v>89398134</v>
      </c>
      <c r="D9" s="381">
        <v>89398134</v>
      </c>
      <c r="E9" s="364">
        <v>89398134</v>
      </c>
    </row>
    <row r="10" spans="1:5" s="535" customFormat="1" ht="12" customHeight="1">
      <c r="A10" s="519" t="s">
        <v>70</v>
      </c>
      <c r="B10" s="391" t="s">
        <v>305</v>
      </c>
      <c r="C10" s="380">
        <v>52473700</v>
      </c>
      <c r="D10" s="380">
        <v>52393701</v>
      </c>
      <c r="E10" s="363">
        <v>52393701</v>
      </c>
    </row>
    <row r="11" spans="1:5" s="535" customFormat="1" ht="12" customHeight="1">
      <c r="A11" s="519" t="s">
        <v>71</v>
      </c>
      <c r="B11" s="391" t="s">
        <v>306</v>
      </c>
      <c r="C11" s="380">
        <v>54102009</v>
      </c>
      <c r="D11" s="380">
        <v>55120596</v>
      </c>
      <c r="E11" s="363">
        <v>55120596</v>
      </c>
    </row>
    <row r="12" spans="1:5" s="535" customFormat="1" ht="12" customHeight="1">
      <c r="A12" s="519" t="s">
        <v>72</v>
      </c>
      <c r="B12" s="391" t="s">
        <v>307</v>
      </c>
      <c r="C12" s="380">
        <v>4057260</v>
      </c>
      <c r="D12" s="380">
        <v>4057260</v>
      </c>
      <c r="E12" s="363">
        <v>4057260</v>
      </c>
    </row>
    <row r="13" spans="1:5" s="535" customFormat="1" ht="12" customHeight="1">
      <c r="A13" s="519" t="s">
        <v>105</v>
      </c>
      <c r="B13" s="391" t="s">
        <v>308</v>
      </c>
      <c r="C13" s="380"/>
      <c r="D13" s="380">
        <v>2645791</v>
      </c>
      <c r="E13" s="363">
        <v>2645791</v>
      </c>
    </row>
    <row r="14" spans="1:5" s="508" customFormat="1" ht="12" customHeight="1" thickBot="1">
      <c r="A14" s="520" t="s">
        <v>73</v>
      </c>
      <c r="B14" s="371" t="s">
        <v>309</v>
      </c>
      <c r="C14" s="382"/>
      <c r="D14" s="382">
        <v>184567</v>
      </c>
      <c r="E14" s="365">
        <v>184567</v>
      </c>
    </row>
    <row r="15" spans="1:5" s="508" customFormat="1" ht="12" customHeight="1" thickBot="1">
      <c r="A15" s="352" t="s">
        <v>8</v>
      </c>
      <c r="B15" s="369" t="s">
        <v>310</v>
      </c>
      <c r="C15" s="379">
        <f>SUM(C16:C20)</f>
        <v>73748000</v>
      </c>
      <c r="D15" s="379">
        <f>SUM(D16:D20)</f>
        <v>203491695</v>
      </c>
      <c r="E15" s="362">
        <f>SUM(E16:E20)</f>
        <v>146143238</v>
      </c>
    </row>
    <row r="16" spans="1:5" s="508" customFormat="1" ht="12" customHeight="1">
      <c r="A16" s="518" t="s">
        <v>75</v>
      </c>
      <c r="B16" s="390" t="s">
        <v>311</v>
      </c>
      <c r="C16" s="381"/>
      <c r="D16" s="381">
        <v>7307475</v>
      </c>
      <c r="E16" s="364">
        <v>7307475</v>
      </c>
    </row>
    <row r="17" spans="1:5" s="508" customFormat="1" ht="12" customHeight="1">
      <c r="A17" s="519" t="s">
        <v>76</v>
      </c>
      <c r="B17" s="391" t="s">
        <v>312</v>
      </c>
      <c r="C17" s="380"/>
      <c r="D17" s="380"/>
      <c r="E17" s="363"/>
    </row>
    <row r="18" spans="1:5" s="508" customFormat="1" ht="12" customHeight="1">
      <c r="A18" s="519" t="s">
        <v>77</v>
      </c>
      <c r="B18" s="391" t="s">
        <v>313</v>
      </c>
      <c r="C18" s="380"/>
      <c r="D18" s="380"/>
      <c r="E18" s="363"/>
    </row>
    <row r="19" spans="1:5" s="508" customFormat="1" ht="12" customHeight="1">
      <c r="A19" s="519" t="s">
        <v>78</v>
      </c>
      <c r="B19" s="391" t="s">
        <v>314</v>
      </c>
      <c r="C19" s="380"/>
      <c r="D19" s="380"/>
      <c r="E19" s="363"/>
    </row>
    <row r="20" spans="1:5" s="508" customFormat="1" ht="12" customHeight="1">
      <c r="A20" s="519" t="s">
        <v>79</v>
      </c>
      <c r="B20" s="391" t="s">
        <v>315</v>
      </c>
      <c r="C20" s="380">
        <v>73748000</v>
      </c>
      <c r="D20" s="380">
        <f>196184220</f>
        <v>196184220</v>
      </c>
      <c r="E20" s="363">
        <v>138835763</v>
      </c>
    </row>
    <row r="21" spans="1:5" s="535" customFormat="1" ht="12" customHeight="1" thickBot="1">
      <c r="A21" s="520" t="s">
        <v>86</v>
      </c>
      <c r="B21" s="371" t="s">
        <v>316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317</v>
      </c>
      <c r="C22" s="379">
        <f>SUM(C23:C27)</f>
        <v>0</v>
      </c>
      <c r="D22" s="379">
        <f>SUM(D23:D27)</f>
        <v>111999999</v>
      </c>
      <c r="E22" s="362">
        <f>SUM(E23:E27)</f>
        <v>111999999</v>
      </c>
    </row>
    <row r="23" spans="1:5" s="535" customFormat="1" ht="12" customHeight="1">
      <c r="A23" s="518" t="s">
        <v>58</v>
      </c>
      <c r="B23" s="390" t="s">
        <v>318</v>
      </c>
      <c r="C23" s="381"/>
      <c r="D23" s="381">
        <v>111999999</v>
      </c>
      <c r="E23" s="364">
        <v>111999999</v>
      </c>
    </row>
    <row r="24" spans="1:5" s="508" customFormat="1" ht="12" customHeight="1">
      <c r="A24" s="519" t="s">
        <v>59</v>
      </c>
      <c r="B24" s="391" t="s">
        <v>319</v>
      </c>
      <c r="C24" s="380"/>
      <c r="D24" s="380"/>
      <c r="E24" s="363"/>
    </row>
    <row r="25" spans="1:5" s="535" customFormat="1" ht="12" customHeight="1">
      <c r="A25" s="519" t="s">
        <v>60</v>
      </c>
      <c r="B25" s="391" t="s">
        <v>320</v>
      </c>
      <c r="C25" s="380"/>
      <c r="D25" s="380"/>
      <c r="E25" s="363"/>
    </row>
    <row r="26" spans="1:5" s="535" customFormat="1" ht="12" customHeight="1">
      <c r="A26" s="519" t="s">
        <v>61</v>
      </c>
      <c r="B26" s="391" t="s">
        <v>321</v>
      </c>
      <c r="C26" s="380"/>
      <c r="D26" s="380"/>
      <c r="E26" s="363"/>
    </row>
    <row r="27" spans="1:5" s="535" customFormat="1" ht="12" customHeight="1">
      <c r="A27" s="519" t="s">
        <v>119</v>
      </c>
      <c r="B27" s="391" t="s">
        <v>322</v>
      </c>
      <c r="C27" s="380"/>
      <c r="D27" s="380"/>
      <c r="E27" s="363"/>
    </row>
    <row r="28" spans="1:5" s="535" customFormat="1" ht="12" customHeight="1" thickBot="1">
      <c r="A28" s="520" t="s">
        <v>120</v>
      </c>
      <c r="B28" s="392" t="s">
        <v>323</v>
      </c>
      <c r="C28" s="382"/>
      <c r="D28" s="382"/>
      <c r="E28" s="365"/>
    </row>
    <row r="29" spans="1:5" s="535" customFormat="1" ht="12" customHeight="1" thickBot="1">
      <c r="A29" s="352" t="s">
        <v>121</v>
      </c>
      <c r="B29" s="348" t="s">
        <v>724</v>
      </c>
      <c r="C29" s="385">
        <f>SUM(C30:C35)</f>
        <v>48000000</v>
      </c>
      <c r="D29" s="385">
        <f>SUM(D30:D35)</f>
        <v>57032589</v>
      </c>
      <c r="E29" s="398">
        <f>SUM(E30:E35)</f>
        <v>57032589</v>
      </c>
    </row>
    <row r="30" spans="1:5" s="535" customFormat="1" ht="12" customHeight="1">
      <c r="A30" s="518" t="s">
        <v>324</v>
      </c>
      <c r="B30" s="390" t="s">
        <v>728</v>
      </c>
      <c r="C30" s="381"/>
      <c r="D30" s="381"/>
      <c r="E30" s="364"/>
    </row>
    <row r="31" spans="1:5" s="535" customFormat="1" ht="12" customHeight="1">
      <c r="A31" s="519" t="s">
        <v>325</v>
      </c>
      <c r="B31" s="391" t="s">
        <v>729</v>
      </c>
      <c r="C31" s="380"/>
      <c r="D31" s="380"/>
      <c r="E31" s="363"/>
    </row>
    <row r="32" spans="1:5" s="535" customFormat="1" ht="12" customHeight="1">
      <c r="A32" s="519" t="s">
        <v>326</v>
      </c>
      <c r="B32" s="391" t="s">
        <v>730</v>
      </c>
      <c r="C32" s="380">
        <v>35000000</v>
      </c>
      <c r="D32" s="380">
        <v>44086230</v>
      </c>
      <c r="E32" s="363">
        <v>44086230</v>
      </c>
    </row>
    <row r="33" spans="1:5" s="535" customFormat="1" ht="12" customHeight="1">
      <c r="A33" s="519" t="s">
        <v>725</v>
      </c>
      <c r="B33" s="391" t="s">
        <v>731</v>
      </c>
      <c r="C33" s="380"/>
      <c r="D33" s="380"/>
      <c r="E33" s="363"/>
    </row>
    <row r="34" spans="1:5" s="535" customFormat="1" ht="12" customHeight="1">
      <c r="A34" s="519" t="s">
        <v>726</v>
      </c>
      <c r="B34" s="391" t="s">
        <v>748</v>
      </c>
      <c r="C34" s="380">
        <v>12000000</v>
      </c>
      <c r="D34" s="380">
        <v>10813451</v>
      </c>
      <c r="E34" s="363">
        <v>10813451</v>
      </c>
    </row>
    <row r="35" spans="1:5" s="535" customFormat="1" ht="12" customHeight="1" thickBot="1">
      <c r="A35" s="520" t="s">
        <v>727</v>
      </c>
      <c r="B35" s="371" t="s">
        <v>328</v>
      </c>
      <c r="C35" s="382">
        <v>1000000</v>
      </c>
      <c r="D35" s="382">
        <v>2132908</v>
      </c>
      <c r="E35" s="365">
        <v>2132908</v>
      </c>
    </row>
    <row r="36" spans="1:5" s="535" customFormat="1" ht="12" customHeight="1" thickBot="1">
      <c r="A36" s="352" t="s">
        <v>11</v>
      </c>
      <c r="B36" s="348" t="s">
        <v>329</v>
      </c>
      <c r="C36" s="379">
        <f>SUM(C37:C46)</f>
        <v>11226866</v>
      </c>
      <c r="D36" s="379">
        <f>SUM(D37:D46)</f>
        <v>14477862</v>
      </c>
      <c r="E36" s="362">
        <f>SUM(E37:E46)</f>
        <v>14477862</v>
      </c>
    </row>
    <row r="37" spans="1:5" s="535" customFormat="1" ht="12" customHeight="1">
      <c r="A37" s="518" t="s">
        <v>62</v>
      </c>
      <c r="B37" s="390" t="s">
        <v>330</v>
      </c>
      <c r="C37" s="381"/>
      <c r="D37" s="381"/>
      <c r="E37" s="364"/>
    </row>
    <row r="38" spans="1:5" s="535" customFormat="1" ht="12" customHeight="1">
      <c r="A38" s="519" t="s">
        <v>63</v>
      </c>
      <c r="B38" s="391" t="s">
        <v>331</v>
      </c>
      <c r="C38" s="380"/>
      <c r="D38" s="380">
        <v>5301067</v>
      </c>
      <c r="E38" s="363">
        <v>5301067</v>
      </c>
    </row>
    <row r="39" spans="1:5" s="535" customFormat="1" ht="12" customHeight="1">
      <c r="A39" s="519" t="s">
        <v>64</v>
      </c>
      <c r="B39" s="391" t="s">
        <v>332</v>
      </c>
      <c r="C39" s="380"/>
      <c r="D39" s="380"/>
      <c r="E39" s="363"/>
    </row>
    <row r="40" spans="1:5" s="535" customFormat="1" ht="12" customHeight="1">
      <c r="A40" s="519" t="s">
        <v>123</v>
      </c>
      <c r="B40" s="391" t="s">
        <v>333</v>
      </c>
      <c r="C40" s="380">
        <v>1659000</v>
      </c>
      <c r="D40" s="380"/>
      <c r="E40" s="363"/>
    </row>
    <row r="41" spans="1:5" s="535" customFormat="1" ht="12" customHeight="1">
      <c r="A41" s="519" t="s">
        <v>124</v>
      </c>
      <c r="B41" s="391" t="s">
        <v>334</v>
      </c>
      <c r="C41" s="380">
        <v>6000000</v>
      </c>
      <c r="D41" s="380">
        <v>5877858</v>
      </c>
      <c r="E41" s="363">
        <v>5877858</v>
      </c>
    </row>
    <row r="42" spans="1:5" s="535" customFormat="1" ht="12" customHeight="1">
      <c r="A42" s="519" t="s">
        <v>125</v>
      </c>
      <c r="B42" s="391" t="s">
        <v>335</v>
      </c>
      <c r="C42" s="380">
        <v>2068000</v>
      </c>
      <c r="D42" s="380">
        <v>3018308</v>
      </c>
      <c r="E42" s="363">
        <v>3018308</v>
      </c>
    </row>
    <row r="43" spans="1:5" s="535" customFormat="1" ht="12" customHeight="1">
      <c r="A43" s="519" t="s">
        <v>126</v>
      </c>
      <c r="B43" s="391" t="s">
        <v>336</v>
      </c>
      <c r="C43" s="380"/>
      <c r="D43" s="380"/>
      <c r="E43" s="363"/>
    </row>
    <row r="44" spans="1:5" s="535" customFormat="1" ht="12" customHeight="1">
      <c r="A44" s="519" t="s">
        <v>127</v>
      </c>
      <c r="B44" s="391" t="s">
        <v>337</v>
      </c>
      <c r="C44" s="380">
        <v>1499866</v>
      </c>
      <c r="D44" s="380">
        <v>280629</v>
      </c>
      <c r="E44" s="363">
        <v>280629</v>
      </c>
    </row>
    <row r="45" spans="1:5" s="535" customFormat="1" ht="12" customHeight="1">
      <c r="A45" s="519" t="s">
        <v>338</v>
      </c>
      <c r="B45" s="391" t="s">
        <v>339</v>
      </c>
      <c r="C45" s="383"/>
      <c r="D45" s="383"/>
      <c r="E45" s="366"/>
    </row>
    <row r="46" spans="1:5" s="508" customFormat="1" ht="12" customHeight="1" thickBot="1">
      <c r="A46" s="520" t="s">
        <v>340</v>
      </c>
      <c r="B46" s="392" t="s">
        <v>341</v>
      </c>
      <c r="C46" s="384"/>
      <c r="D46" s="384"/>
      <c r="E46" s="367"/>
    </row>
    <row r="47" spans="1:5" s="535" customFormat="1" ht="12" customHeight="1" thickBot="1">
      <c r="A47" s="352" t="s">
        <v>12</v>
      </c>
      <c r="B47" s="348" t="s">
        <v>342</v>
      </c>
      <c r="C47" s="379">
        <f>SUM(C48:C52)</f>
        <v>0</v>
      </c>
      <c r="D47" s="379">
        <f>SUM(D48:D52)</f>
        <v>50000</v>
      </c>
      <c r="E47" s="362">
        <f>SUM(E48:E52)</f>
        <v>50000</v>
      </c>
    </row>
    <row r="48" spans="1:5" s="535" customFormat="1" ht="12" customHeight="1">
      <c r="A48" s="518" t="s">
        <v>65</v>
      </c>
      <c r="B48" s="390" t="s">
        <v>343</v>
      </c>
      <c r="C48" s="400"/>
      <c r="D48" s="400"/>
      <c r="E48" s="368"/>
    </row>
    <row r="49" spans="1:5" s="535" customFormat="1" ht="12" customHeight="1">
      <c r="A49" s="519" t="s">
        <v>66</v>
      </c>
      <c r="B49" s="391" t="s">
        <v>344</v>
      </c>
      <c r="C49" s="383"/>
      <c r="D49" s="383"/>
      <c r="E49" s="366"/>
    </row>
    <row r="50" spans="1:5" s="535" customFormat="1" ht="12" customHeight="1">
      <c r="A50" s="519" t="s">
        <v>345</v>
      </c>
      <c r="B50" s="391" t="s">
        <v>346</v>
      </c>
      <c r="C50" s="383"/>
      <c r="D50" s="383">
        <v>50000</v>
      </c>
      <c r="E50" s="366">
        <v>50000</v>
      </c>
    </row>
    <row r="51" spans="1:5" s="535" customFormat="1" ht="12" customHeight="1">
      <c r="A51" s="519" t="s">
        <v>347</v>
      </c>
      <c r="B51" s="391" t="s">
        <v>348</v>
      </c>
      <c r="C51" s="383"/>
      <c r="D51" s="383"/>
      <c r="E51" s="366"/>
    </row>
    <row r="52" spans="1:5" s="535" customFormat="1" ht="12" customHeight="1" thickBot="1">
      <c r="A52" s="520" t="s">
        <v>349</v>
      </c>
      <c r="B52" s="392" t="s">
        <v>350</v>
      </c>
      <c r="C52" s="384"/>
      <c r="D52" s="384"/>
      <c r="E52" s="367"/>
    </row>
    <row r="53" spans="1:5" s="535" customFormat="1" ht="12" customHeight="1" thickBot="1">
      <c r="A53" s="352" t="s">
        <v>128</v>
      </c>
      <c r="B53" s="348" t="s">
        <v>351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67</v>
      </c>
      <c r="B54" s="390" t="s">
        <v>352</v>
      </c>
      <c r="C54" s="381"/>
      <c r="D54" s="381"/>
      <c r="E54" s="364"/>
    </row>
    <row r="55" spans="1:5" s="508" customFormat="1" ht="12" customHeight="1">
      <c r="A55" s="519" t="s">
        <v>68</v>
      </c>
      <c r="B55" s="391" t="s">
        <v>353</v>
      </c>
      <c r="C55" s="380"/>
      <c r="D55" s="380"/>
      <c r="E55" s="363"/>
    </row>
    <row r="56" spans="1:5" s="508" customFormat="1" ht="12" customHeight="1">
      <c r="A56" s="519" t="s">
        <v>354</v>
      </c>
      <c r="B56" s="391" t="s">
        <v>355</v>
      </c>
      <c r="C56" s="380"/>
      <c r="D56" s="380"/>
      <c r="E56" s="363"/>
    </row>
    <row r="57" spans="1:5" s="508" customFormat="1" ht="12" customHeight="1" thickBot="1">
      <c r="A57" s="520" t="s">
        <v>356</v>
      </c>
      <c r="B57" s="392" t="s">
        <v>357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358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129</v>
      </c>
      <c r="B59" s="390" t="s">
        <v>359</v>
      </c>
      <c r="C59" s="383"/>
      <c r="D59" s="383"/>
      <c r="E59" s="366"/>
    </row>
    <row r="60" spans="1:5" s="535" customFormat="1" ht="12" customHeight="1">
      <c r="A60" s="519" t="s">
        <v>130</v>
      </c>
      <c r="B60" s="391" t="s">
        <v>547</v>
      </c>
      <c r="C60" s="383"/>
      <c r="D60" s="383"/>
      <c r="E60" s="366"/>
    </row>
    <row r="61" spans="1:5" s="535" customFormat="1" ht="12" customHeight="1">
      <c r="A61" s="519" t="s">
        <v>154</v>
      </c>
      <c r="B61" s="391" t="s">
        <v>361</v>
      </c>
      <c r="C61" s="383"/>
      <c r="D61" s="383"/>
      <c r="E61" s="366"/>
    </row>
    <row r="62" spans="1:5" s="535" customFormat="1" ht="12" customHeight="1" thickBot="1">
      <c r="A62" s="520" t="s">
        <v>362</v>
      </c>
      <c r="B62" s="392" t="s">
        <v>363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364</v>
      </c>
      <c r="C63" s="385">
        <f>+C8+C15+C22+C29+C36+C47+C53+C58</f>
        <v>333005969</v>
      </c>
      <c r="D63" s="385">
        <f>+D8+D15+D22+D29+D36+D47+D53+D58</f>
        <v>590852194</v>
      </c>
      <c r="E63" s="398">
        <f>+E8+E15+E22+E29+E36+E47+E53+E58</f>
        <v>533503737</v>
      </c>
    </row>
    <row r="64" spans="1:5" s="535" customFormat="1" ht="12" customHeight="1" thickBot="1">
      <c r="A64" s="521" t="s">
        <v>545</v>
      </c>
      <c r="B64" s="369" t="s">
        <v>366</v>
      </c>
      <c r="C64" s="379">
        <f>SUM(C65:C67)</f>
        <v>9509000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367</v>
      </c>
      <c r="B65" s="390" t="s">
        <v>368</v>
      </c>
      <c r="C65" s="383"/>
      <c r="D65" s="383"/>
      <c r="E65" s="366"/>
    </row>
    <row r="66" spans="1:5" s="535" customFormat="1" ht="12" customHeight="1">
      <c r="A66" s="519" t="s">
        <v>369</v>
      </c>
      <c r="B66" s="391" t="s">
        <v>370</v>
      </c>
      <c r="C66" s="383">
        <v>9509000</v>
      </c>
      <c r="D66" s="383"/>
      <c r="E66" s="366"/>
    </row>
    <row r="67" spans="1:5" s="535" customFormat="1" ht="12" customHeight="1" thickBot="1">
      <c r="A67" s="520" t="s">
        <v>371</v>
      </c>
      <c r="B67" s="514" t="s">
        <v>372</v>
      </c>
      <c r="C67" s="383"/>
      <c r="D67" s="383"/>
      <c r="E67" s="366"/>
    </row>
    <row r="68" spans="1:5" s="535" customFormat="1" ht="12" customHeight="1" thickBot="1">
      <c r="A68" s="521" t="s">
        <v>373</v>
      </c>
      <c r="B68" s="369" t="s">
        <v>374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106</v>
      </c>
      <c r="B69" s="390" t="s">
        <v>375</v>
      </c>
      <c r="C69" s="383"/>
      <c r="D69" s="383"/>
      <c r="E69" s="366"/>
    </row>
    <row r="70" spans="1:5" s="535" customFormat="1" ht="12" customHeight="1">
      <c r="A70" s="519" t="s">
        <v>107</v>
      </c>
      <c r="B70" s="391" t="s">
        <v>376</v>
      </c>
      <c r="C70" s="383"/>
      <c r="D70" s="383"/>
      <c r="E70" s="366"/>
    </row>
    <row r="71" spans="1:5" s="535" customFormat="1" ht="12" customHeight="1">
      <c r="A71" s="519" t="s">
        <v>377</v>
      </c>
      <c r="B71" s="391" t="s">
        <v>378</v>
      </c>
      <c r="C71" s="383"/>
      <c r="D71" s="383"/>
      <c r="E71" s="366"/>
    </row>
    <row r="72" spans="1:5" s="535" customFormat="1" ht="12" customHeight="1" thickBot="1">
      <c r="A72" s="520" t="s">
        <v>379</v>
      </c>
      <c r="B72" s="392" t="s">
        <v>380</v>
      </c>
      <c r="C72" s="383"/>
      <c r="D72" s="383"/>
      <c r="E72" s="366"/>
    </row>
    <row r="73" spans="1:5" s="535" customFormat="1" ht="12" customHeight="1" thickBot="1">
      <c r="A73" s="521" t="s">
        <v>381</v>
      </c>
      <c r="B73" s="369" t="s">
        <v>382</v>
      </c>
      <c r="C73" s="379">
        <f>SUM(C74:C75)</f>
        <v>0</v>
      </c>
      <c r="D73" s="379">
        <f>SUM(D74:D75)</f>
        <v>29896161</v>
      </c>
      <c r="E73" s="362">
        <f>SUM(E74:E75)</f>
        <v>29896161</v>
      </c>
    </row>
    <row r="74" spans="1:5" s="535" customFormat="1" ht="12" customHeight="1">
      <c r="A74" s="518" t="s">
        <v>383</v>
      </c>
      <c r="B74" s="390" t="s">
        <v>384</v>
      </c>
      <c r="C74" s="383"/>
      <c r="D74" s="383">
        <v>29896161</v>
      </c>
      <c r="E74" s="366">
        <v>29896161</v>
      </c>
    </row>
    <row r="75" spans="1:5" s="535" customFormat="1" ht="12" customHeight="1" thickBot="1">
      <c r="A75" s="520" t="s">
        <v>385</v>
      </c>
      <c r="B75" s="392" t="s">
        <v>386</v>
      </c>
      <c r="C75" s="383"/>
      <c r="D75" s="383"/>
      <c r="E75" s="366"/>
    </row>
    <row r="76" spans="1:5" s="535" customFormat="1" ht="12" customHeight="1" thickBot="1">
      <c r="A76" s="521" t="s">
        <v>387</v>
      </c>
      <c r="B76" s="369" t="s">
        <v>388</v>
      </c>
      <c r="C76" s="379">
        <f>SUM(C77:C79)</f>
        <v>58332000</v>
      </c>
      <c r="D76" s="379">
        <f>SUM(D77:D79)</f>
        <v>47607903</v>
      </c>
      <c r="E76" s="362">
        <f>SUM(E77:E79)</f>
        <v>47607903</v>
      </c>
    </row>
    <row r="77" spans="1:5" s="535" customFormat="1" ht="12" customHeight="1">
      <c r="A77" s="518" t="s">
        <v>389</v>
      </c>
      <c r="B77" s="390" t="s">
        <v>390</v>
      </c>
      <c r="C77" s="383"/>
      <c r="D77" s="383">
        <v>7607903</v>
      </c>
      <c r="E77" s="366">
        <v>7607903</v>
      </c>
    </row>
    <row r="78" spans="1:5" s="535" customFormat="1" ht="12" customHeight="1">
      <c r="A78" s="519" t="s">
        <v>391</v>
      </c>
      <c r="B78" s="391" t="s">
        <v>392</v>
      </c>
      <c r="C78" s="383"/>
      <c r="D78" s="383"/>
      <c r="E78" s="366"/>
    </row>
    <row r="79" spans="1:5" s="535" customFormat="1" ht="12" customHeight="1" thickBot="1">
      <c r="A79" s="520" t="s">
        <v>393</v>
      </c>
      <c r="B79" s="392" t="s">
        <v>394</v>
      </c>
      <c r="C79" s="383">
        <v>58332000</v>
      </c>
      <c r="D79" s="383">
        <v>40000000</v>
      </c>
      <c r="E79" s="366">
        <v>40000000</v>
      </c>
    </row>
    <row r="80" spans="1:5" s="535" customFormat="1" ht="12" customHeight="1" thickBot="1">
      <c r="A80" s="521" t="s">
        <v>395</v>
      </c>
      <c r="B80" s="369" t="s">
        <v>396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397</v>
      </c>
      <c r="B81" s="390" t="s">
        <v>398</v>
      </c>
      <c r="C81" s="383"/>
      <c r="D81" s="383"/>
      <c r="E81" s="366"/>
    </row>
    <row r="82" spans="1:5" s="535" customFormat="1" ht="12" customHeight="1">
      <c r="A82" s="523" t="s">
        <v>399</v>
      </c>
      <c r="B82" s="391" t="s">
        <v>400</v>
      </c>
      <c r="C82" s="383"/>
      <c r="D82" s="383"/>
      <c r="E82" s="366"/>
    </row>
    <row r="83" spans="1:5" s="535" customFormat="1" ht="12" customHeight="1">
      <c r="A83" s="523" t="s">
        <v>401</v>
      </c>
      <c r="B83" s="391" t="s">
        <v>402</v>
      </c>
      <c r="C83" s="383"/>
      <c r="D83" s="383"/>
      <c r="E83" s="366"/>
    </row>
    <row r="84" spans="1:5" s="535" customFormat="1" ht="12" customHeight="1" thickBot="1">
      <c r="A84" s="524" t="s">
        <v>403</v>
      </c>
      <c r="B84" s="392" t="s">
        <v>404</v>
      </c>
      <c r="C84" s="383"/>
      <c r="D84" s="383"/>
      <c r="E84" s="366"/>
    </row>
    <row r="85" spans="1:5" s="535" customFormat="1" ht="12" customHeight="1" thickBot="1">
      <c r="A85" s="521" t="s">
        <v>405</v>
      </c>
      <c r="B85" s="369" t="s">
        <v>406</v>
      </c>
      <c r="C85" s="404"/>
      <c r="D85" s="404"/>
      <c r="E85" s="405"/>
    </row>
    <row r="86" spans="1:5" s="535" customFormat="1" ht="12" customHeight="1" thickBot="1">
      <c r="A86" s="521" t="s">
        <v>407</v>
      </c>
      <c r="B86" s="515" t="s">
        <v>408</v>
      </c>
      <c r="C86" s="385">
        <f>+C64+C68+C73+C76+C80+C85</f>
        <v>67841000</v>
      </c>
      <c r="D86" s="385">
        <f>+D64+D68+D73+D76+D80+D85</f>
        <v>77504064</v>
      </c>
      <c r="E86" s="398">
        <f>+E64+E68+E73+E76+E80+E85</f>
        <v>77504064</v>
      </c>
    </row>
    <row r="87" spans="1:5" s="535" customFormat="1" ht="12" customHeight="1" thickBot="1">
      <c r="A87" s="525" t="s">
        <v>409</v>
      </c>
      <c r="B87" s="516" t="s">
        <v>546</v>
      </c>
      <c r="C87" s="385">
        <f>+C63+C86</f>
        <v>400846969</v>
      </c>
      <c r="D87" s="385">
        <f>+D63+D86</f>
        <v>668356258</v>
      </c>
      <c r="E87" s="398">
        <f>+E63+E86</f>
        <v>611007801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44" t="s">
        <v>43</v>
      </c>
      <c r="B90" s="745"/>
      <c r="C90" s="745"/>
      <c r="D90" s="745"/>
      <c r="E90" s="746"/>
    </row>
    <row r="91" spans="1:5" s="310" customFormat="1" ht="12" customHeight="1" thickBot="1">
      <c r="A91" s="513" t="s">
        <v>7</v>
      </c>
      <c r="B91" s="351" t="s">
        <v>417</v>
      </c>
      <c r="C91" s="497">
        <f>SUM(C92:C96)</f>
        <v>241376969</v>
      </c>
      <c r="D91" s="497">
        <f>SUM(D92:D96)</f>
        <v>285324675</v>
      </c>
      <c r="E91" s="497">
        <f>SUM(E92:E96)</f>
        <v>275468079</v>
      </c>
    </row>
    <row r="92" spans="1:5" ht="12" customHeight="1">
      <c r="A92" s="526" t="s">
        <v>69</v>
      </c>
      <c r="B92" s="337" t="s">
        <v>37</v>
      </c>
      <c r="C92" s="498">
        <v>80960000</v>
      </c>
      <c r="D92" s="498">
        <v>113141384</v>
      </c>
      <c r="E92" s="498">
        <v>113141384</v>
      </c>
    </row>
    <row r="93" spans="1:5" ht="12" customHeight="1">
      <c r="A93" s="519" t="s">
        <v>70</v>
      </c>
      <c r="B93" s="335" t="s">
        <v>131</v>
      </c>
      <c r="C93" s="499">
        <v>16321000</v>
      </c>
      <c r="D93" s="499">
        <v>20868207</v>
      </c>
      <c r="E93" s="499">
        <v>20868207</v>
      </c>
    </row>
    <row r="94" spans="1:5" ht="12" customHeight="1">
      <c r="A94" s="519" t="s">
        <v>71</v>
      </c>
      <c r="B94" s="335" t="s">
        <v>98</v>
      </c>
      <c r="C94" s="501">
        <v>104103969</v>
      </c>
      <c r="D94" s="501">
        <f>117250924</f>
        <v>117250924</v>
      </c>
      <c r="E94" s="501">
        <v>108414328</v>
      </c>
    </row>
    <row r="95" spans="1:5" ht="12" customHeight="1">
      <c r="A95" s="519" t="s">
        <v>72</v>
      </c>
      <c r="B95" s="338" t="s">
        <v>132</v>
      </c>
      <c r="C95" s="501">
        <v>13134000</v>
      </c>
      <c r="D95" s="501">
        <v>7007232</v>
      </c>
      <c r="E95" s="501">
        <v>7007232</v>
      </c>
    </row>
    <row r="96" spans="1:5" ht="12" customHeight="1">
      <c r="A96" s="519" t="s">
        <v>81</v>
      </c>
      <c r="B96" s="346" t="s">
        <v>133</v>
      </c>
      <c r="C96" s="501">
        <v>26858000</v>
      </c>
      <c r="D96" s="501">
        <v>27056928</v>
      </c>
      <c r="E96" s="501">
        <v>26036928</v>
      </c>
    </row>
    <row r="97" spans="1:5" ht="12" customHeight="1">
      <c r="A97" s="519" t="s">
        <v>73</v>
      </c>
      <c r="B97" s="335" t="s">
        <v>418</v>
      </c>
      <c r="C97" s="501"/>
      <c r="D97" s="501"/>
      <c r="E97" s="501"/>
    </row>
    <row r="98" spans="1:5" ht="12" customHeight="1">
      <c r="A98" s="519" t="s">
        <v>74</v>
      </c>
      <c r="B98" s="358" t="s">
        <v>419</v>
      </c>
      <c r="C98" s="501"/>
      <c r="D98" s="501"/>
      <c r="E98" s="501"/>
    </row>
    <row r="99" spans="1:5" ht="12" customHeight="1">
      <c r="A99" s="519" t="s">
        <v>82</v>
      </c>
      <c r="B99" s="359" t="s">
        <v>420</v>
      </c>
      <c r="C99" s="501"/>
      <c r="D99" s="501"/>
      <c r="E99" s="501"/>
    </row>
    <row r="100" spans="1:5" ht="12" customHeight="1">
      <c r="A100" s="519" t="s">
        <v>83</v>
      </c>
      <c r="B100" s="359" t="s">
        <v>421</v>
      </c>
      <c r="C100" s="501"/>
      <c r="D100" s="501"/>
      <c r="E100" s="501"/>
    </row>
    <row r="101" spans="1:5" ht="12" customHeight="1">
      <c r="A101" s="519" t="s">
        <v>84</v>
      </c>
      <c r="B101" s="358" t="s">
        <v>422</v>
      </c>
      <c r="C101" s="501"/>
      <c r="D101" s="501"/>
      <c r="E101" s="501"/>
    </row>
    <row r="102" spans="1:5" ht="12" customHeight="1">
      <c r="A102" s="519" t="s">
        <v>85</v>
      </c>
      <c r="B102" s="358" t="s">
        <v>423</v>
      </c>
      <c r="C102" s="501"/>
      <c r="D102" s="501"/>
      <c r="E102" s="501"/>
    </row>
    <row r="103" spans="1:5" ht="12" customHeight="1">
      <c r="A103" s="519" t="s">
        <v>87</v>
      </c>
      <c r="B103" s="359" t="s">
        <v>424</v>
      </c>
      <c r="C103" s="501"/>
      <c r="D103" s="501"/>
      <c r="E103" s="501"/>
    </row>
    <row r="104" spans="1:5" ht="12" customHeight="1">
      <c r="A104" s="527" t="s">
        <v>134</v>
      </c>
      <c r="B104" s="360" t="s">
        <v>425</v>
      </c>
      <c r="C104" s="501"/>
      <c r="D104" s="501"/>
      <c r="E104" s="501"/>
    </row>
    <row r="105" spans="1:5" ht="12" customHeight="1">
      <c r="A105" s="519" t="s">
        <v>426</v>
      </c>
      <c r="B105" s="360" t="s">
        <v>427</v>
      </c>
      <c r="C105" s="501"/>
      <c r="D105" s="501"/>
      <c r="E105" s="501"/>
    </row>
    <row r="106" spans="1:5" s="310" customFormat="1" ht="12" customHeight="1" thickBot="1">
      <c r="A106" s="528" t="s">
        <v>428</v>
      </c>
      <c r="B106" s="361" t="s">
        <v>429</v>
      </c>
      <c r="C106" s="503">
        <v>26858000</v>
      </c>
      <c r="D106" s="503">
        <v>27056928</v>
      </c>
      <c r="E106" s="503">
        <v>26036928</v>
      </c>
    </row>
    <row r="107" spans="1:5" ht="12" customHeight="1" thickBot="1">
      <c r="A107" s="352" t="s">
        <v>8</v>
      </c>
      <c r="B107" s="350" t="s">
        <v>430</v>
      </c>
      <c r="C107" s="373">
        <f>+C108+C110+C112</f>
        <v>48332000</v>
      </c>
      <c r="D107" s="373">
        <f>+D108+D110+D112</f>
        <v>76740108</v>
      </c>
      <c r="E107" s="373">
        <f>+E108+E110+E112</f>
        <v>64058466</v>
      </c>
    </row>
    <row r="108" spans="1:5" ht="12" customHeight="1">
      <c r="A108" s="518" t="s">
        <v>75</v>
      </c>
      <c r="B108" s="335" t="s">
        <v>153</v>
      </c>
      <c r="C108" s="500">
        <v>41194000</v>
      </c>
      <c r="D108" s="500">
        <v>66492853</v>
      </c>
      <c r="E108" s="500">
        <v>55983508</v>
      </c>
    </row>
    <row r="109" spans="1:5" ht="12" customHeight="1">
      <c r="A109" s="518" t="s">
        <v>76</v>
      </c>
      <c r="B109" s="339" t="s">
        <v>431</v>
      </c>
      <c r="C109" s="500"/>
      <c r="D109" s="500"/>
      <c r="E109" s="500"/>
    </row>
    <row r="110" spans="1:5" ht="12" customHeight="1">
      <c r="A110" s="518" t="s">
        <v>77</v>
      </c>
      <c r="B110" s="339" t="s">
        <v>135</v>
      </c>
      <c r="C110" s="499">
        <v>7138000</v>
      </c>
      <c r="D110" s="499">
        <v>10247255</v>
      </c>
      <c r="E110" s="499">
        <v>8074958</v>
      </c>
    </row>
    <row r="111" spans="1:5" ht="12" customHeight="1">
      <c r="A111" s="518" t="s">
        <v>78</v>
      </c>
      <c r="B111" s="339" t="s">
        <v>432</v>
      </c>
      <c r="C111" s="363"/>
      <c r="D111" s="363"/>
      <c r="E111" s="363"/>
    </row>
    <row r="112" spans="1:5" ht="12" customHeight="1">
      <c r="A112" s="518" t="s">
        <v>79</v>
      </c>
      <c r="B112" s="371" t="s">
        <v>155</v>
      </c>
      <c r="C112" s="363"/>
      <c r="D112" s="363"/>
      <c r="E112" s="363"/>
    </row>
    <row r="113" spans="1:5" ht="12" customHeight="1">
      <c r="A113" s="518" t="s">
        <v>86</v>
      </c>
      <c r="B113" s="370" t="s">
        <v>433</v>
      </c>
      <c r="C113" s="363"/>
      <c r="D113" s="363"/>
      <c r="E113" s="363"/>
    </row>
    <row r="114" spans="1:5" ht="12" customHeight="1">
      <c r="A114" s="518" t="s">
        <v>88</v>
      </c>
      <c r="B114" s="386" t="s">
        <v>434</v>
      </c>
      <c r="C114" s="363"/>
      <c r="D114" s="363"/>
      <c r="E114" s="363"/>
    </row>
    <row r="115" spans="1:5" ht="12" customHeight="1">
      <c r="A115" s="518" t="s">
        <v>136</v>
      </c>
      <c r="B115" s="359" t="s">
        <v>421</v>
      </c>
      <c r="C115" s="363"/>
      <c r="D115" s="363"/>
      <c r="E115" s="363"/>
    </row>
    <row r="116" spans="1:5" ht="12" customHeight="1">
      <c r="A116" s="518" t="s">
        <v>137</v>
      </c>
      <c r="B116" s="359" t="s">
        <v>435</v>
      </c>
      <c r="C116" s="363"/>
      <c r="D116" s="363"/>
      <c r="E116" s="363"/>
    </row>
    <row r="117" spans="1:5" ht="12" customHeight="1">
      <c r="A117" s="518" t="s">
        <v>138</v>
      </c>
      <c r="B117" s="359" t="s">
        <v>436</v>
      </c>
      <c r="C117" s="363"/>
      <c r="D117" s="363"/>
      <c r="E117" s="363"/>
    </row>
    <row r="118" spans="1:5" ht="12" customHeight="1">
      <c r="A118" s="518" t="s">
        <v>437</v>
      </c>
      <c r="B118" s="359" t="s">
        <v>424</v>
      </c>
      <c r="C118" s="363"/>
      <c r="D118" s="363"/>
      <c r="E118" s="363"/>
    </row>
    <row r="119" spans="1:5" ht="12" customHeight="1">
      <c r="A119" s="518" t="s">
        <v>438</v>
      </c>
      <c r="B119" s="359" t="s">
        <v>439</v>
      </c>
      <c r="C119" s="363"/>
      <c r="D119" s="363"/>
      <c r="E119" s="363"/>
    </row>
    <row r="120" spans="1:5" ht="12" customHeight="1" thickBot="1">
      <c r="A120" s="527" t="s">
        <v>440</v>
      </c>
      <c r="B120" s="359" t="s">
        <v>441</v>
      </c>
      <c r="C120" s="365"/>
      <c r="D120" s="365"/>
      <c r="E120" s="365"/>
    </row>
    <row r="121" spans="1:5" ht="12" customHeight="1" thickBot="1">
      <c r="A121" s="352" t="s">
        <v>9</v>
      </c>
      <c r="B121" s="355" t="s">
        <v>442</v>
      </c>
      <c r="C121" s="373">
        <f>+C122+C123</f>
        <v>0</v>
      </c>
      <c r="D121" s="373">
        <f>+D122+D123</f>
        <v>54918000</v>
      </c>
      <c r="E121" s="373">
        <f>+E122+E123</f>
        <v>0</v>
      </c>
    </row>
    <row r="122" spans="1:5" ht="12" customHeight="1">
      <c r="A122" s="518" t="s">
        <v>58</v>
      </c>
      <c r="B122" s="336" t="s">
        <v>45</v>
      </c>
      <c r="C122" s="500"/>
      <c r="D122" s="500">
        <v>54918000</v>
      </c>
      <c r="E122" s="500"/>
    </row>
    <row r="123" spans="1:5" ht="12" customHeight="1" thickBot="1">
      <c r="A123" s="520" t="s">
        <v>59</v>
      </c>
      <c r="B123" s="339" t="s">
        <v>46</v>
      </c>
      <c r="C123" s="501"/>
      <c r="D123" s="501"/>
      <c r="E123" s="501"/>
    </row>
    <row r="124" spans="1:5" ht="12" customHeight="1" thickBot="1">
      <c r="A124" s="352" t="s">
        <v>10</v>
      </c>
      <c r="B124" s="355" t="s">
        <v>443</v>
      </c>
      <c r="C124" s="373">
        <f>+C91+C107+C121</f>
        <v>289708969</v>
      </c>
      <c r="D124" s="373">
        <f>+D91+D107+D121</f>
        <v>416982783</v>
      </c>
      <c r="E124" s="373">
        <f>+E91+E107+E121</f>
        <v>339526545</v>
      </c>
    </row>
    <row r="125" spans="1:5" ht="12" customHeight="1" thickBot="1">
      <c r="A125" s="352" t="s">
        <v>11</v>
      </c>
      <c r="B125" s="355" t="s">
        <v>548</v>
      </c>
      <c r="C125" s="373">
        <f>+C126+C127+C128</f>
        <v>0</v>
      </c>
      <c r="D125" s="373">
        <f>+D126+D127+D128</f>
        <v>0</v>
      </c>
      <c r="E125" s="373">
        <f>+E126+E127+E128</f>
        <v>0</v>
      </c>
    </row>
    <row r="126" spans="1:5" ht="12" customHeight="1">
      <c r="A126" s="518" t="s">
        <v>62</v>
      </c>
      <c r="B126" s="336" t="s">
        <v>445</v>
      </c>
      <c r="C126" s="363"/>
      <c r="D126" s="363"/>
      <c r="E126" s="363"/>
    </row>
    <row r="127" spans="1:5" ht="12" customHeight="1">
      <c r="A127" s="518" t="s">
        <v>63</v>
      </c>
      <c r="B127" s="336" t="s">
        <v>446</v>
      </c>
      <c r="C127" s="363"/>
      <c r="D127" s="363"/>
      <c r="E127" s="363"/>
    </row>
    <row r="128" spans="1:5" ht="12" customHeight="1" thickBot="1">
      <c r="A128" s="527" t="s">
        <v>64</v>
      </c>
      <c r="B128" s="334" t="s">
        <v>447</v>
      </c>
      <c r="C128" s="363"/>
      <c r="D128" s="363"/>
      <c r="E128" s="363"/>
    </row>
    <row r="129" spans="1:5" ht="12" customHeight="1" thickBot="1">
      <c r="A129" s="352" t="s">
        <v>12</v>
      </c>
      <c r="B129" s="355" t="s">
        <v>448</v>
      </c>
      <c r="C129" s="373">
        <f>+C130+C131+C132+C133</f>
        <v>0</v>
      </c>
      <c r="D129" s="373">
        <f>+D130+D131+D132+D133</f>
        <v>131990000</v>
      </c>
      <c r="E129" s="373">
        <f>+E130+E131+E132+E133</f>
        <v>131990000</v>
      </c>
    </row>
    <row r="130" spans="1:5" ht="12" customHeight="1">
      <c r="A130" s="518" t="s">
        <v>65</v>
      </c>
      <c r="B130" s="336" t="s">
        <v>449</v>
      </c>
      <c r="C130" s="363"/>
      <c r="D130" s="363"/>
      <c r="E130" s="363"/>
    </row>
    <row r="131" spans="1:5" ht="12" customHeight="1">
      <c r="A131" s="518" t="s">
        <v>66</v>
      </c>
      <c r="B131" s="336" t="s">
        <v>450</v>
      </c>
      <c r="C131" s="363"/>
      <c r="D131" s="363"/>
      <c r="E131" s="363"/>
    </row>
    <row r="132" spans="1:5" ht="12" customHeight="1">
      <c r="A132" s="518" t="s">
        <v>345</v>
      </c>
      <c r="B132" s="336" t="s">
        <v>451</v>
      </c>
      <c r="C132" s="363"/>
      <c r="D132" s="363">
        <v>131990000</v>
      </c>
      <c r="E132" s="363">
        <v>131990000</v>
      </c>
    </row>
    <row r="133" spans="1:5" s="310" customFormat="1" ht="12" customHeight="1" thickBot="1">
      <c r="A133" s="527" t="s">
        <v>347</v>
      </c>
      <c r="B133" s="334" t="s">
        <v>452</v>
      </c>
      <c r="C133" s="363"/>
      <c r="D133" s="363"/>
      <c r="E133" s="363"/>
    </row>
    <row r="134" spans="1:11" ht="13.5" thickBot="1">
      <c r="A134" s="352" t="s">
        <v>13</v>
      </c>
      <c r="B134" s="355" t="s">
        <v>667</v>
      </c>
      <c r="C134" s="502">
        <f>+C135+C136+C137+C139+C138</f>
        <v>111138000</v>
      </c>
      <c r="D134" s="502">
        <f>+D135+D136+D137+D139+D138</f>
        <v>119383475</v>
      </c>
      <c r="E134" s="502">
        <f>+E135+E136+E137+E139+E138</f>
        <v>103037050</v>
      </c>
      <c r="K134" s="481"/>
    </row>
    <row r="135" spans="1:5" ht="12.75">
      <c r="A135" s="518" t="s">
        <v>67</v>
      </c>
      <c r="B135" s="336" t="s">
        <v>454</v>
      </c>
      <c r="C135" s="363"/>
      <c r="D135" s="363"/>
      <c r="E135" s="363"/>
    </row>
    <row r="136" spans="1:5" ht="12" customHeight="1">
      <c r="A136" s="518" t="s">
        <v>68</v>
      </c>
      <c r="B136" s="336" t="s">
        <v>455</v>
      </c>
      <c r="C136" s="363"/>
      <c r="D136" s="363">
        <v>7307475</v>
      </c>
      <c r="E136" s="363">
        <v>7307475</v>
      </c>
    </row>
    <row r="137" spans="1:5" s="310" customFormat="1" ht="12" customHeight="1">
      <c r="A137" s="518" t="s">
        <v>354</v>
      </c>
      <c r="B137" s="336" t="s">
        <v>666</v>
      </c>
      <c r="C137" s="363">
        <v>111138000</v>
      </c>
      <c r="D137" s="363">
        <v>112076000</v>
      </c>
      <c r="E137" s="363">
        <v>95729575</v>
      </c>
    </row>
    <row r="138" spans="1:5" s="310" customFormat="1" ht="12" customHeight="1">
      <c r="A138" s="518" t="s">
        <v>356</v>
      </c>
      <c r="B138" s="336" t="s">
        <v>456</v>
      </c>
      <c r="C138" s="363"/>
      <c r="D138" s="363"/>
      <c r="E138" s="363"/>
    </row>
    <row r="139" spans="1:5" s="310" customFormat="1" ht="12" customHeight="1" thickBot="1">
      <c r="A139" s="527" t="s">
        <v>665</v>
      </c>
      <c r="B139" s="334" t="s">
        <v>457</v>
      </c>
      <c r="C139" s="363"/>
      <c r="D139" s="363"/>
      <c r="E139" s="363"/>
    </row>
    <row r="140" spans="1:5" s="310" customFormat="1" ht="12" customHeight="1" thickBot="1">
      <c r="A140" s="352" t="s">
        <v>14</v>
      </c>
      <c r="B140" s="355" t="s">
        <v>549</v>
      </c>
      <c r="C140" s="504">
        <f>+C141+C142+C143+C144</f>
        <v>0</v>
      </c>
      <c r="D140" s="504">
        <f>+D141+D142+D143+D144</f>
        <v>0</v>
      </c>
      <c r="E140" s="504">
        <f>+E141+E142+E143+E144</f>
        <v>0</v>
      </c>
    </row>
    <row r="141" spans="1:5" s="310" customFormat="1" ht="12" customHeight="1">
      <c r="A141" s="518" t="s">
        <v>129</v>
      </c>
      <c r="B141" s="336" t="s">
        <v>459</v>
      </c>
      <c r="C141" s="363"/>
      <c r="D141" s="363"/>
      <c r="E141" s="363"/>
    </row>
    <row r="142" spans="1:5" s="310" customFormat="1" ht="12" customHeight="1">
      <c r="A142" s="518" t="s">
        <v>130</v>
      </c>
      <c r="B142" s="336" t="s">
        <v>460</v>
      </c>
      <c r="C142" s="363"/>
      <c r="D142" s="363"/>
      <c r="E142" s="363"/>
    </row>
    <row r="143" spans="1:5" s="310" customFormat="1" ht="12" customHeight="1">
      <c r="A143" s="518" t="s">
        <v>154</v>
      </c>
      <c r="B143" s="336" t="s">
        <v>461</v>
      </c>
      <c r="C143" s="363"/>
      <c r="D143" s="363"/>
      <c r="E143" s="363"/>
    </row>
    <row r="144" spans="1:5" ht="12.75" customHeight="1" thickBot="1">
      <c r="A144" s="518" t="s">
        <v>362</v>
      </c>
      <c r="B144" s="336" t="s">
        <v>462</v>
      </c>
      <c r="C144" s="363"/>
      <c r="D144" s="363"/>
      <c r="E144" s="363"/>
    </row>
    <row r="145" spans="1:5" ht="12" customHeight="1" thickBot="1">
      <c r="A145" s="352" t="s">
        <v>15</v>
      </c>
      <c r="B145" s="355" t="s">
        <v>463</v>
      </c>
      <c r="C145" s="517">
        <f>+C125+C129+C134+C140</f>
        <v>111138000</v>
      </c>
      <c r="D145" s="517">
        <f>+D125+D129+D134+D140</f>
        <v>251373475</v>
      </c>
      <c r="E145" s="517">
        <f>+E125+E129+E134+E140</f>
        <v>235027050</v>
      </c>
    </row>
    <row r="146" spans="1:5" ht="15" customHeight="1" thickBot="1">
      <c r="A146" s="529" t="s">
        <v>16</v>
      </c>
      <c r="B146" s="375" t="s">
        <v>464</v>
      </c>
      <c r="C146" s="517">
        <f>+C124+C145</f>
        <v>400846969</v>
      </c>
      <c r="D146" s="517">
        <f>+D124+D145</f>
        <v>668356258</v>
      </c>
      <c r="E146" s="517">
        <f>+E124+E145</f>
        <v>574553595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494" t="s">
        <v>735</v>
      </c>
      <c r="B148" s="495"/>
      <c r="C148" s="91">
        <v>13</v>
      </c>
      <c r="D148" s="92">
        <v>13</v>
      </c>
      <c r="E148" s="89">
        <v>13</v>
      </c>
    </row>
    <row r="149" spans="1:5" ht="14.25" customHeight="1" thickBot="1">
      <c r="A149" s="494" t="s">
        <v>734</v>
      </c>
      <c r="B149" s="495"/>
      <c r="C149" s="91">
        <v>72</v>
      </c>
      <c r="D149" s="92">
        <v>72</v>
      </c>
      <c r="E149" s="89">
        <v>72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E2" sqref="E2"/>
    </sheetView>
  </sheetViews>
  <sheetFormatPr defaultColWidth="9.00390625" defaultRowHeight="12.75"/>
  <cols>
    <col min="1" max="1" width="14.875" style="509" customWidth="1"/>
    <col min="2" max="2" width="64.625" style="510" customWidth="1"/>
    <col min="3" max="5" width="17.00390625" style="511" customWidth="1"/>
    <col min="6" max="16384" width="9.375" style="33" customWidth="1"/>
  </cols>
  <sheetData>
    <row r="1" spans="1:5" s="485" customFormat="1" ht="16.5" customHeight="1" thickBot="1">
      <c r="A1" s="484"/>
      <c r="B1" s="486"/>
      <c r="C1" s="531"/>
      <c r="D1" s="496"/>
      <c r="E1" s="619" t="str">
        <f>+CONCATENATE("6.2. melléklet a 7/",LEFT(ÖSSZEFÜGGÉSEK!A4,4)+1,". (IV. 28.) önkormányzati rendelethez")</f>
        <v>6.2. melléklet a 7/2017. (IV. 28.) önkormányzati rendelethez</v>
      </c>
    </row>
    <row r="2" spans="1:5" s="532" customFormat="1" ht="15.75" customHeight="1">
      <c r="A2" s="512" t="s">
        <v>50</v>
      </c>
      <c r="B2" s="747" t="s">
        <v>746</v>
      </c>
      <c r="C2" s="748"/>
      <c r="D2" s="749"/>
      <c r="E2" s="505" t="s">
        <v>41</v>
      </c>
    </row>
    <row r="3" spans="1:5" s="532" customFormat="1" ht="24.75" thickBot="1">
      <c r="A3" s="530" t="s">
        <v>544</v>
      </c>
      <c r="B3" s="750" t="s">
        <v>668</v>
      </c>
      <c r="C3" s="751"/>
      <c r="D3" s="752"/>
      <c r="E3" s="480" t="s">
        <v>47</v>
      </c>
    </row>
    <row r="4" spans="1:5" s="533" customFormat="1" ht="15.75" customHeight="1" thickBot="1">
      <c r="A4" s="487"/>
      <c r="B4" s="487"/>
      <c r="C4" s="488"/>
      <c r="D4" s="488"/>
      <c r="E4" s="488" t="str">
        <f>'6.1. sz. mell'!E4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34" customFormat="1" ht="12" customHeight="1" thickBot="1">
      <c r="A8" s="352" t="s">
        <v>7</v>
      </c>
      <c r="B8" s="348" t="s">
        <v>303</v>
      </c>
      <c r="C8" s="379">
        <f>SUM(C9:C14)</f>
        <v>200031103</v>
      </c>
      <c r="D8" s="379">
        <f>SUM(D9:D14)</f>
        <v>203800049</v>
      </c>
      <c r="E8" s="362">
        <f>SUM(E9:E14)</f>
        <v>203800049</v>
      </c>
    </row>
    <row r="9" spans="1:5" s="508" customFormat="1" ht="12" customHeight="1">
      <c r="A9" s="518" t="s">
        <v>69</v>
      </c>
      <c r="B9" s="390" t="s">
        <v>304</v>
      </c>
      <c r="C9" s="381">
        <v>89398134</v>
      </c>
      <c r="D9" s="381">
        <v>89398134</v>
      </c>
      <c r="E9" s="364">
        <v>89398134</v>
      </c>
    </row>
    <row r="10" spans="1:5" s="535" customFormat="1" ht="12" customHeight="1">
      <c r="A10" s="519" t="s">
        <v>70</v>
      </c>
      <c r="B10" s="391" t="s">
        <v>305</v>
      </c>
      <c r="C10" s="380">
        <v>52473700</v>
      </c>
      <c r="D10" s="380">
        <v>52393701</v>
      </c>
      <c r="E10" s="363">
        <v>52393701</v>
      </c>
    </row>
    <row r="11" spans="1:5" s="535" customFormat="1" ht="12" customHeight="1">
      <c r="A11" s="519" t="s">
        <v>71</v>
      </c>
      <c r="B11" s="391" t="s">
        <v>306</v>
      </c>
      <c r="C11" s="380">
        <v>54102009</v>
      </c>
      <c r="D11" s="380">
        <v>55120596</v>
      </c>
      <c r="E11" s="363">
        <v>55120596</v>
      </c>
    </row>
    <row r="12" spans="1:5" s="535" customFormat="1" ht="12" customHeight="1">
      <c r="A12" s="519" t="s">
        <v>72</v>
      </c>
      <c r="B12" s="391" t="s">
        <v>307</v>
      </c>
      <c r="C12" s="380">
        <v>4057260</v>
      </c>
      <c r="D12" s="380">
        <v>4057260</v>
      </c>
      <c r="E12" s="363">
        <v>4057260</v>
      </c>
    </row>
    <row r="13" spans="1:5" s="535" customFormat="1" ht="12" customHeight="1">
      <c r="A13" s="519" t="s">
        <v>105</v>
      </c>
      <c r="B13" s="391" t="s">
        <v>308</v>
      </c>
      <c r="C13" s="380"/>
      <c r="D13" s="380">
        <v>2645791</v>
      </c>
      <c r="E13" s="363">
        <v>2645791</v>
      </c>
    </row>
    <row r="14" spans="1:5" s="508" customFormat="1" ht="12" customHeight="1" thickBot="1">
      <c r="A14" s="520" t="s">
        <v>73</v>
      </c>
      <c r="B14" s="392" t="s">
        <v>309</v>
      </c>
      <c r="C14" s="382"/>
      <c r="D14" s="382">
        <v>184567</v>
      </c>
      <c r="E14" s="365">
        <v>184567</v>
      </c>
    </row>
    <row r="15" spans="1:5" s="508" customFormat="1" ht="12" customHeight="1" thickBot="1">
      <c r="A15" s="352" t="s">
        <v>8</v>
      </c>
      <c r="B15" s="369" t="s">
        <v>310</v>
      </c>
      <c r="C15" s="379">
        <f>SUM(C16:C20)</f>
        <v>73748000</v>
      </c>
      <c r="D15" s="379">
        <f>SUM(D16:D20)</f>
        <v>203491695</v>
      </c>
      <c r="E15" s="362">
        <f>SUM(E16:E20)</f>
        <v>146143238</v>
      </c>
    </row>
    <row r="16" spans="1:5" s="508" customFormat="1" ht="12" customHeight="1">
      <c r="A16" s="518" t="s">
        <v>75</v>
      </c>
      <c r="B16" s="390" t="s">
        <v>311</v>
      </c>
      <c r="C16" s="381"/>
      <c r="D16" s="381">
        <v>7307475</v>
      </c>
      <c r="E16" s="364">
        <v>7307475</v>
      </c>
    </row>
    <row r="17" spans="1:5" s="508" customFormat="1" ht="12" customHeight="1">
      <c r="A17" s="519" t="s">
        <v>76</v>
      </c>
      <c r="B17" s="391" t="s">
        <v>312</v>
      </c>
      <c r="C17" s="380"/>
      <c r="D17" s="380"/>
      <c r="E17" s="363"/>
    </row>
    <row r="18" spans="1:5" s="508" customFormat="1" ht="12" customHeight="1">
      <c r="A18" s="519" t="s">
        <v>77</v>
      </c>
      <c r="B18" s="391" t="s">
        <v>313</v>
      </c>
      <c r="C18" s="380"/>
      <c r="D18" s="380"/>
      <c r="E18" s="363"/>
    </row>
    <row r="19" spans="1:5" s="508" customFormat="1" ht="12" customHeight="1">
      <c r="A19" s="519" t="s">
        <v>78</v>
      </c>
      <c r="B19" s="391" t="s">
        <v>314</v>
      </c>
      <c r="C19" s="380"/>
      <c r="D19" s="380"/>
      <c r="E19" s="363"/>
    </row>
    <row r="20" spans="1:5" s="508" customFormat="1" ht="12" customHeight="1">
      <c r="A20" s="519" t="s">
        <v>79</v>
      </c>
      <c r="B20" s="391" t="s">
        <v>315</v>
      </c>
      <c r="C20" s="380">
        <v>73748000</v>
      </c>
      <c r="D20" s="380">
        <v>196184220</v>
      </c>
      <c r="E20" s="363">
        <v>138835763</v>
      </c>
    </row>
    <row r="21" spans="1:5" s="535" customFormat="1" ht="12" customHeight="1" thickBot="1">
      <c r="A21" s="520" t="s">
        <v>86</v>
      </c>
      <c r="B21" s="392" t="s">
        <v>316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317</v>
      </c>
      <c r="C22" s="379">
        <f>SUM(C23:C27)</f>
        <v>0</v>
      </c>
      <c r="D22" s="379">
        <f>SUM(D23:D27)</f>
        <v>111999999</v>
      </c>
      <c r="E22" s="362">
        <f>SUM(E23:E27)</f>
        <v>111999999</v>
      </c>
    </row>
    <row r="23" spans="1:5" s="535" customFormat="1" ht="12" customHeight="1">
      <c r="A23" s="518" t="s">
        <v>58</v>
      </c>
      <c r="B23" s="390" t="s">
        <v>318</v>
      </c>
      <c r="C23" s="381"/>
      <c r="D23" s="381">
        <v>111999999</v>
      </c>
      <c r="E23" s="364">
        <v>111999999</v>
      </c>
    </row>
    <row r="24" spans="1:5" s="508" customFormat="1" ht="12" customHeight="1">
      <c r="A24" s="519" t="s">
        <v>59</v>
      </c>
      <c r="B24" s="391" t="s">
        <v>319</v>
      </c>
      <c r="C24" s="380"/>
      <c r="D24" s="380"/>
      <c r="E24" s="363"/>
    </row>
    <row r="25" spans="1:5" s="535" customFormat="1" ht="12" customHeight="1">
      <c r="A25" s="519" t="s">
        <v>60</v>
      </c>
      <c r="B25" s="391" t="s">
        <v>320</v>
      </c>
      <c r="C25" s="380"/>
      <c r="D25" s="380"/>
      <c r="E25" s="363"/>
    </row>
    <row r="26" spans="1:5" s="535" customFormat="1" ht="12" customHeight="1">
      <c r="A26" s="519" t="s">
        <v>61</v>
      </c>
      <c r="B26" s="391" t="s">
        <v>321</v>
      </c>
      <c r="C26" s="380"/>
      <c r="D26" s="380"/>
      <c r="E26" s="363"/>
    </row>
    <row r="27" spans="1:5" s="535" customFormat="1" ht="12" customHeight="1">
      <c r="A27" s="519" t="s">
        <v>119</v>
      </c>
      <c r="B27" s="391" t="s">
        <v>322</v>
      </c>
      <c r="C27" s="380"/>
      <c r="D27" s="380"/>
      <c r="E27" s="363"/>
    </row>
    <row r="28" spans="1:5" s="535" customFormat="1" ht="12" customHeight="1" thickBot="1">
      <c r="A28" s="520" t="s">
        <v>120</v>
      </c>
      <c r="B28" s="392" t="s">
        <v>323</v>
      </c>
      <c r="C28" s="382"/>
      <c r="D28" s="382"/>
      <c r="E28" s="365"/>
    </row>
    <row r="29" spans="1:5" s="535" customFormat="1" ht="12" customHeight="1" thickBot="1">
      <c r="A29" s="352" t="s">
        <v>121</v>
      </c>
      <c r="B29" s="348" t="s">
        <v>724</v>
      </c>
      <c r="C29" s="385">
        <f>SUM(C30:C35)</f>
        <v>48000000</v>
      </c>
      <c r="D29" s="385">
        <f>SUM(D30:D35)</f>
        <v>57032589</v>
      </c>
      <c r="E29" s="398">
        <f>SUM(E30:E35)</f>
        <v>57032589</v>
      </c>
    </row>
    <row r="30" spans="1:5" s="535" customFormat="1" ht="12" customHeight="1">
      <c r="A30" s="518" t="s">
        <v>324</v>
      </c>
      <c r="B30" s="390" t="s">
        <v>728</v>
      </c>
      <c r="C30" s="381"/>
      <c r="D30" s="381"/>
      <c r="E30" s="364"/>
    </row>
    <row r="31" spans="1:5" s="535" customFormat="1" ht="12" customHeight="1">
      <c r="A31" s="519" t="s">
        <v>325</v>
      </c>
      <c r="B31" s="391" t="s">
        <v>729</v>
      </c>
      <c r="C31" s="380"/>
      <c r="D31" s="380"/>
      <c r="E31" s="363"/>
    </row>
    <row r="32" spans="1:5" s="535" customFormat="1" ht="12" customHeight="1">
      <c r="A32" s="519" t="s">
        <v>326</v>
      </c>
      <c r="B32" s="391" t="s">
        <v>730</v>
      </c>
      <c r="C32" s="380">
        <v>35000000</v>
      </c>
      <c r="D32" s="380">
        <v>44086230</v>
      </c>
      <c r="E32" s="363">
        <v>44086230</v>
      </c>
    </row>
    <row r="33" spans="1:5" s="535" customFormat="1" ht="12" customHeight="1">
      <c r="A33" s="519" t="s">
        <v>725</v>
      </c>
      <c r="B33" s="391" t="s">
        <v>731</v>
      </c>
      <c r="C33" s="380"/>
      <c r="D33" s="380"/>
      <c r="E33" s="363"/>
    </row>
    <row r="34" spans="1:5" s="535" customFormat="1" ht="12" customHeight="1">
      <c r="A34" s="519" t="s">
        <v>726</v>
      </c>
      <c r="B34" s="391" t="s">
        <v>748</v>
      </c>
      <c r="C34" s="380">
        <v>12000000</v>
      </c>
      <c r="D34" s="380">
        <v>10813451</v>
      </c>
      <c r="E34" s="363">
        <v>10813451</v>
      </c>
    </row>
    <row r="35" spans="1:5" s="535" customFormat="1" ht="12" customHeight="1" thickBot="1">
      <c r="A35" s="520" t="s">
        <v>727</v>
      </c>
      <c r="B35" s="371" t="s">
        <v>328</v>
      </c>
      <c r="C35" s="382">
        <v>1000000</v>
      </c>
      <c r="D35" s="382">
        <v>2132908</v>
      </c>
      <c r="E35" s="365">
        <v>2132908</v>
      </c>
    </row>
    <row r="36" spans="1:5" s="535" customFormat="1" ht="12" customHeight="1" thickBot="1">
      <c r="A36" s="352" t="s">
        <v>11</v>
      </c>
      <c r="B36" s="348" t="s">
        <v>329</v>
      </c>
      <c r="C36" s="379">
        <f>SUM(C37:C46)</f>
        <v>11226866</v>
      </c>
      <c r="D36" s="379">
        <f>SUM(D37:D46)</f>
        <v>14477862</v>
      </c>
      <c r="E36" s="362">
        <f>SUM(E37:E46)</f>
        <v>14477862</v>
      </c>
    </row>
    <row r="37" spans="1:5" s="535" customFormat="1" ht="12" customHeight="1">
      <c r="A37" s="518" t="s">
        <v>62</v>
      </c>
      <c r="B37" s="390" t="s">
        <v>330</v>
      </c>
      <c r="C37" s="381"/>
      <c r="D37" s="381"/>
      <c r="E37" s="364"/>
    </row>
    <row r="38" spans="1:5" s="535" customFormat="1" ht="12" customHeight="1">
      <c r="A38" s="519" t="s">
        <v>63</v>
      </c>
      <c r="B38" s="391" t="s">
        <v>331</v>
      </c>
      <c r="C38" s="380"/>
      <c r="D38" s="380">
        <v>5301067</v>
      </c>
      <c r="E38" s="363">
        <v>5301067</v>
      </c>
    </row>
    <row r="39" spans="1:5" s="535" customFormat="1" ht="12" customHeight="1">
      <c r="A39" s="519" t="s">
        <v>64</v>
      </c>
      <c r="B39" s="391" t="s">
        <v>332</v>
      </c>
      <c r="C39" s="380"/>
      <c r="D39" s="380"/>
      <c r="E39" s="363"/>
    </row>
    <row r="40" spans="1:5" s="535" customFormat="1" ht="12" customHeight="1">
      <c r="A40" s="519" t="s">
        <v>123</v>
      </c>
      <c r="B40" s="391" t="s">
        <v>333</v>
      </c>
      <c r="C40" s="380">
        <v>1659000</v>
      </c>
      <c r="D40" s="380"/>
      <c r="E40" s="363"/>
    </row>
    <row r="41" spans="1:5" s="535" customFormat="1" ht="12" customHeight="1">
      <c r="A41" s="519" t="s">
        <v>124</v>
      </c>
      <c r="B41" s="391" t="s">
        <v>334</v>
      </c>
      <c r="C41" s="380">
        <v>6000000</v>
      </c>
      <c r="D41" s="380">
        <v>5877858</v>
      </c>
      <c r="E41" s="363">
        <v>5877858</v>
      </c>
    </row>
    <row r="42" spans="1:5" s="535" customFormat="1" ht="12" customHeight="1">
      <c r="A42" s="519" t="s">
        <v>125</v>
      </c>
      <c r="B42" s="391" t="s">
        <v>335</v>
      </c>
      <c r="C42" s="380">
        <v>2068000</v>
      </c>
      <c r="D42" s="380">
        <v>3018308</v>
      </c>
      <c r="E42" s="363">
        <v>3018308</v>
      </c>
    </row>
    <row r="43" spans="1:5" s="535" customFormat="1" ht="12" customHeight="1">
      <c r="A43" s="519" t="s">
        <v>126</v>
      </c>
      <c r="B43" s="391" t="s">
        <v>336</v>
      </c>
      <c r="C43" s="380"/>
      <c r="D43" s="380"/>
      <c r="E43" s="363"/>
    </row>
    <row r="44" spans="1:5" s="535" customFormat="1" ht="12" customHeight="1">
      <c r="A44" s="519" t="s">
        <v>127</v>
      </c>
      <c r="B44" s="391" t="s">
        <v>337</v>
      </c>
      <c r="C44" s="380">
        <v>1499866</v>
      </c>
      <c r="D44" s="380">
        <v>280629</v>
      </c>
      <c r="E44" s="363">
        <v>280629</v>
      </c>
    </row>
    <row r="45" spans="1:5" s="535" customFormat="1" ht="12" customHeight="1">
      <c r="A45" s="519" t="s">
        <v>338</v>
      </c>
      <c r="B45" s="391" t="s">
        <v>339</v>
      </c>
      <c r="C45" s="383"/>
      <c r="D45" s="383"/>
      <c r="E45" s="366"/>
    </row>
    <row r="46" spans="1:5" s="508" customFormat="1" ht="12" customHeight="1" thickBot="1">
      <c r="A46" s="520" t="s">
        <v>340</v>
      </c>
      <c r="B46" s="392" t="s">
        <v>341</v>
      </c>
      <c r="C46" s="384"/>
      <c r="D46" s="384"/>
      <c r="E46" s="367"/>
    </row>
    <row r="47" spans="1:5" s="535" customFormat="1" ht="12" customHeight="1" thickBot="1">
      <c r="A47" s="352" t="s">
        <v>12</v>
      </c>
      <c r="B47" s="348" t="s">
        <v>342</v>
      </c>
      <c r="C47" s="379">
        <f>SUM(C48:C52)</f>
        <v>0</v>
      </c>
      <c r="D47" s="379">
        <f>SUM(D48:D52)</f>
        <v>50000</v>
      </c>
      <c r="E47" s="362">
        <f>SUM(E48:E52)</f>
        <v>50000</v>
      </c>
    </row>
    <row r="48" spans="1:5" s="535" customFormat="1" ht="12" customHeight="1">
      <c r="A48" s="518" t="s">
        <v>65</v>
      </c>
      <c r="B48" s="390" t="s">
        <v>343</v>
      </c>
      <c r="C48" s="400"/>
      <c r="D48" s="400"/>
      <c r="E48" s="368"/>
    </row>
    <row r="49" spans="1:5" s="535" customFormat="1" ht="12" customHeight="1">
      <c r="A49" s="519" t="s">
        <v>66</v>
      </c>
      <c r="B49" s="391" t="s">
        <v>344</v>
      </c>
      <c r="C49" s="383"/>
      <c r="D49" s="383"/>
      <c r="E49" s="366"/>
    </row>
    <row r="50" spans="1:5" s="535" customFormat="1" ht="12" customHeight="1">
      <c r="A50" s="519" t="s">
        <v>345</v>
      </c>
      <c r="B50" s="391" t="s">
        <v>346</v>
      </c>
      <c r="C50" s="383"/>
      <c r="D50" s="383">
        <v>50000</v>
      </c>
      <c r="E50" s="366">
        <v>50000</v>
      </c>
    </row>
    <row r="51" spans="1:5" s="535" customFormat="1" ht="12" customHeight="1">
      <c r="A51" s="519" t="s">
        <v>347</v>
      </c>
      <c r="B51" s="391" t="s">
        <v>348</v>
      </c>
      <c r="C51" s="383"/>
      <c r="D51" s="383"/>
      <c r="E51" s="366"/>
    </row>
    <row r="52" spans="1:5" s="535" customFormat="1" ht="12" customHeight="1" thickBot="1">
      <c r="A52" s="520" t="s">
        <v>349</v>
      </c>
      <c r="B52" s="392" t="s">
        <v>350</v>
      </c>
      <c r="C52" s="384"/>
      <c r="D52" s="384"/>
      <c r="E52" s="367"/>
    </row>
    <row r="53" spans="1:5" s="535" customFormat="1" ht="12" customHeight="1" thickBot="1">
      <c r="A53" s="352" t="s">
        <v>128</v>
      </c>
      <c r="B53" s="348" t="s">
        <v>351</v>
      </c>
      <c r="C53" s="379">
        <f>SUM(C54:C56)</f>
        <v>9509000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67</v>
      </c>
      <c r="B54" s="390" t="s">
        <v>352</v>
      </c>
      <c r="C54" s="383"/>
      <c r="D54" s="383"/>
      <c r="E54" s="366"/>
    </row>
    <row r="55" spans="1:5" s="508" customFormat="1" ht="12" customHeight="1">
      <c r="A55" s="519" t="s">
        <v>68</v>
      </c>
      <c r="B55" s="391" t="s">
        <v>353</v>
      </c>
      <c r="C55" s="383">
        <v>9509000</v>
      </c>
      <c r="D55" s="383"/>
      <c r="E55" s="366"/>
    </row>
    <row r="56" spans="1:5" s="508" customFormat="1" ht="12" customHeight="1">
      <c r="A56" s="519" t="s">
        <v>354</v>
      </c>
      <c r="B56" s="391" t="s">
        <v>355</v>
      </c>
      <c r="C56" s="383"/>
      <c r="D56" s="383"/>
      <c r="E56" s="366"/>
    </row>
    <row r="57" spans="1:5" s="508" customFormat="1" ht="12" customHeight="1" thickBot="1">
      <c r="A57" s="520" t="s">
        <v>356</v>
      </c>
      <c r="B57" s="392" t="s">
        <v>357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358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129</v>
      </c>
      <c r="B59" s="390" t="s">
        <v>359</v>
      </c>
      <c r="C59" s="383"/>
      <c r="D59" s="383"/>
      <c r="E59" s="366"/>
    </row>
    <row r="60" spans="1:5" s="535" customFormat="1" ht="12" customHeight="1">
      <c r="A60" s="519" t="s">
        <v>130</v>
      </c>
      <c r="B60" s="391" t="s">
        <v>547</v>
      </c>
      <c r="C60" s="383"/>
      <c r="D60" s="383"/>
      <c r="E60" s="366"/>
    </row>
    <row r="61" spans="1:5" s="535" customFormat="1" ht="12" customHeight="1">
      <c r="A61" s="519" t="s">
        <v>154</v>
      </c>
      <c r="B61" s="391" t="s">
        <v>361</v>
      </c>
      <c r="C61" s="383"/>
      <c r="D61" s="383"/>
      <c r="E61" s="366"/>
    </row>
    <row r="62" spans="1:5" s="535" customFormat="1" ht="12" customHeight="1" thickBot="1">
      <c r="A62" s="520" t="s">
        <v>362</v>
      </c>
      <c r="B62" s="392" t="s">
        <v>363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364</v>
      </c>
      <c r="C63" s="385">
        <f>+C8+C15+C22+C29+C36+C47+C53+C58</f>
        <v>342514969</v>
      </c>
      <c r="D63" s="385">
        <f>+D8+D15+D22+D29+D36+D47+D53+D58</f>
        <v>590852194</v>
      </c>
      <c r="E63" s="398">
        <f>+E8+E15+E22+E29+E36+E47+E53+E58</f>
        <v>533503737</v>
      </c>
    </row>
    <row r="64" spans="1:5" s="535" customFormat="1" ht="12" customHeight="1" thickBot="1">
      <c r="A64" s="521" t="s">
        <v>545</v>
      </c>
      <c r="B64" s="369" t="s">
        <v>366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367</v>
      </c>
      <c r="B65" s="390" t="s">
        <v>368</v>
      </c>
      <c r="C65" s="383"/>
      <c r="D65" s="383"/>
      <c r="E65" s="366"/>
    </row>
    <row r="66" spans="1:5" s="535" customFormat="1" ht="12" customHeight="1">
      <c r="A66" s="519" t="s">
        <v>369</v>
      </c>
      <c r="B66" s="391" t="s">
        <v>370</v>
      </c>
      <c r="C66" s="383"/>
      <c r="D66" s="383"/>
      <c r="E66" s="366"/>
    </row>
    <row r="67" spans="1:5" s="535" customFormat="1" ht="12" customHeight="1" thickBot="1">
      <c r="A67" s="520" t="s">
        <v>371</v>
      </c>
      <c r="B67" s="514" t="s">
        <v>372</v>
      </c>
      <c r="C67" s="383"/>
      <c r="D67" s="383"/>
      <c r="E67" s="366"/>
    </row>
    <row r="68" spans="1:5" s="535" customFormat="1" ht="12" customHeight="1" thickBot="1">
      <c r="A68" s="521" t="s">
        <v>373</v>
      </c>
      <c r="B68" s="369" t="s">
        <v>374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106</v>
      </c>
      <c r="B69" s="390" t="s">
        <v>375</v>
      </c>
      <c r="C69" s="383"/>
      <c r="D69" s="383"/>
      <c r="E69" s="366"/>
    </row>
    <row r="70" spans="1:5" s="535" customFormat="1" ht="12" customHeight="1">
      <c r="A70" s="519" t="s">
        <v>107</v>
      </c>
      <c r="B70" s="391" t="s">
        <v>376</v>
      </c>
      <c r="C70" s="383"/>
      <c r="D70" s="383"/>
      <c r="E70" s="366"/>
    </row>
    <row r="71" spans="1:5" s="535" customFormat="1" ht="12" customHeight="1">
      <c r="A71" s="519" t="s">
        <v>377</v>
      </c>
      <c r="B71" s="391" t="s">
        <v>378</v>
      </c>
      <c r="C71" s="383"/>
      <c r="D71" s="383"/>
      <c r="E71" s="366"/>
    </row>
    <row r="72" spans="1:5" s="535" customFormat="1" ht="12" customHeight="1" thickBot="1">
      <c r="A72" s="520" t="s">
        <v>379</v>
      </c>
      <c r="B72" s="392" t="s">
        <v>380</v>
      </c>
      <c r="C72" s="383"/>
      <c r="D72" s="383"/>
      <c r="E72" s="366"/>
    </row>
    <row r="73" spans="1:5" s="535" customFormat="1" ht="12" customHeight="1" thickBot="1">
      <c r="A73" s="521" t="s">
        <v>381</v>
      </c>
      <c r="B73" s="369" t="s">
        <v>382</v>
      </c>
      <c r="C73" s="379">
        <f>SUM(C74:C75)</f>
        <v>0</v>
      </c>
      <c r="D73" s="379">
        <f>SUM(D74:D75)</f>
        <v>29896161</v>
      </c>
      <c r="E73" s="362">
        <f>SUM(E74:E75)</f>
        <v>29896161</v>
      </c>
    </row>
    <row r="74" spans="1:5" s="535" customFormat="1" ht="12" customHeight="1">
      <c r="A74" s="518" t="s">
        <v>383</v>
      </c>
      <c r="B74" s="390" t="s">
        <v>384</v>
      </c>
      <c r="C74" s="383"/>
      <c r="D74" s="383">
        <v>29896161</v>
      </c>
      <c r="E74" s="366">
        <v>29896161</v>
      </c>
    </row>
    <row r="75" spans="1:5" s="535" customFormat="1" ht="12" customHeight="1" thickBot="1">
      <c r="A75" s="520" t="s">
        <v>385</v>
      </c>
      <c r="B75" s="392" t="s">
        <v>386</v>
      </c>
      <c r="C75" s="383"/>
      <c r="D75" s="383"/>
      <c r="E75" s="366"/>
    </row>
    <row r="76" spans="1:5" s="535" customFormat="1" ht="12" customHeight="1" thickBot="1">
      <c r="A76" s="521" t="s">
        <v>387</v>
      </c>
      <c r="B76" s="369" t="s">
        <v>388</v>
      </c>
      <c r="C76" s="379">
        <f>SUM(C77:C79)</f>
        <v>58332000</v>
      </c>
      <c r="D76" s="379">
        <f>SUM(D77:D79)</f>
        <v>47607903</v>
      </c>
      <c r="E76" s="362">
        <f>SUM(E77:E79)</f>
        <v>47607903</v>
      </c>
    </row>
    <row r="77" spans="1:5" s="535" customFormat="1" ht="12" customHeight="1">
      <c r="A77" s="518" t="s">
        <v>389</v>
      </c>
      <c r="B77" s="390" t="s">
        <v>390</v>
      </c>
      <c r="C77" s="383"/>
      <c r="D77" s="383">
        <v>7607903</v>
      </c>
      <c r="E77" s="366">
        <v>7607903</v>
      </c>
    </row>
    <row r="78" spans="1:5" s="535" customFormat="1" ht="12" customHeight="1">
      <c r="A78" s="519" t="s">
        <v>391</v>
      </c>
      <c r="B78" s="391" t="s">
        <v>392</v>
      </c>
      <c r="C78" s="383"/>
      <c r="D78" s="383"/>
      <c r="E78" s="366"/>
    </row>
    <row r="79" spans="1:5" s="535" customFormat="1" ht="12" customHeight="1" thickBot="1">
      <c r="A79" s="520" t="s">
        <v>393</v>
      </c>
      <c r="B79" s="392" t="s">
        <v>394</v>
      </c>
      <c r="C79" s="383">
        <v>58332000</v>
      </c>
      <c r="D79" s="383">
        <v>40000000</v>
      </c>
      <c r="E79" s="366">
        <v>40000000</v>
      </c>
    </row>
    <row r="80" spans="1:5" s="535" customFormat="1" ht="12" customHeight="1" thickBot="1">
      <c r="A80" s="521" t="s">
        <v>395</v>
      </c>
      <c r="B80" s="369" t="s">
        <v>396</v>
      </c>
      <c r="C80" s="383"/>
      <c r="D80" s="383"/>
      <c r="E80" s="366"/>
    </row>
    <row r="81" spans="1:5" s="535" customFormat="1" ht="12" customHeight="1">
      <c r="A81" s="522" t="s">
        <v>397</v>
      </c>
      <c r="B81" s="390" t="s">
        <v>398</v>
      </c>
      <c r="C81" s="383"/>
      <c r="D81" s="383"/>
      <c r="E81" s="366"/>
    </row>
    <row r="82" spans="1:5" s="535" customFormat="1" ht="12" customHeight="1">
      <c r="A82" s="523" t="s">
        <v>399</v>
      </c>
      <c r="B82" s="391" t="s">
        <v>400</v>
      </c>
      <c r="C82" s="383"/>
      <c r="D82" s="383"/>
      <c r="E82" s="366"/>
    </row>
    <row r="83" spans="1:5" s="535" customFormat="1" ht="12" customHeight="1">
      <c r="A83" s="523" t="s">
        <v>401</v>
      </c>
      <c r="B83" s="391" t="s">
        <v>402</v>
      </c>
      <c r="C83" s="383"/>
      <c r="D83" s="383"/>
      <c r="E83" s="366"/>
    </row>
    <row r="84" spans="1:5" s="535" customFormat="1" ht="12" customHeight="1" thickBot="1">
      <c r="A84" s="524" t="s">
        <v>403</v>
      </c>
      <c r="B84" s="392" t="s">
        <v>404</v>
      </c>
      <c r="C84" s="383"/>
      <c r="D84" s="383"/>
      <c r="E84" s="366"/>
    </row>
    <row r="85" spans="1:5" s="535" customFormat="1" ht="12" customHeight="1" thickBot="1">
      <c r="A85" s="521" t="s">
        <v>405</v>
      </c>
      <c r="B85" s="369" t="s">
        <v>406</v>
      </c>
      <c r="C85" s="404"/>
      <c r="D85" s="404"/>
      <c r="E85" s="405"/>
    </row>
    <row r="86" spans="1:5" s="535" customFormat="1" ht="12" customHeight="1" thickBot="1">
      <c r="A86" s="521" t="s">
        <v>407</v>
      </c>
      <c r="B86" s="515" t="s">
        <v>408</v>
      </c>
      <c r="C86" s="385">
        <f>+C64+C68+C73+C76+C80+C85</f>
        <v>58332000</v>
      </c>
      <c r="D86" s="385">
        <f>+D64+D68+D73+D76+D80+D85</f>
        <v>77504064</v>
      </c>
      <c r="E86" s="398">
        <f>+E64+E68+E73+E76+E80+E85</f>
        <v>77504064</v>
      </c>
    </row>
    <row r="87" spans="1:5" s="535" customFormat="1" ht="12" customHeight="1" thickBot="1">
      <c r="A87" s="525" t="s">
        <v>409</v>
      </c>
      <c r="B87" s="516" t="s">
        <v>546</v>
      </c>
      <c r="C87" s="385">
        <f>+C63+C86</f>
        <v>400846969</v>
      </c>
      <c r="D87" s="385">
        <f>+D63+D86</f>
        <v>668356258</v>
      </c>
      <c r="E87" s="398">
        <f>+E63+E86</f>
        <v>611007801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44" t="s">
        <v>43</v>
      </c>
      <c r="B90" s="745"/>
      <c r="C90" s="745"/>
      <c r="D90" s="745"/>
      <c r="E90" s="746"/>
    </row>
    <row r="91" spans="1:5" s="310" customFormat="1" ht="12" customHeight="1" thickBot="1">
      <c r="A91" s="513" t="s">
        <v>7</v>
      </c>
      <c r="B91" s="351" t="s">
        <v>417</v>
      </c>
      <c r="C91" s="497">
        <f>SUM(C92:C96)</f>
        <v>241376969</v>
      </c>
      <c r="D91" s="497">
        <f>SUM(D92:D96)</f>
        <v>340242675</v>
      </c>
      <c r="E91" s="497">
        <f>SUM(E92:E96)</f>
        <v>275468079</v>
      </c>
    </row>
    <row r="92" spans="1:5" ht="12" customHeight="1">
      <c r="A92" s="526" t="s">
        <v>69</v>
      </c>
      <c r="B92" s="337" t="s">
        <v>37</v>
      </c>
      <c r="C92" s="498">
        <v>80960000</v>
      </c>
      <c r="D92" s="498">
        <v>113141384</v>
      </c>
      <c r="E92" s="498">
        <v>113141384</v>
      </c>
    </row>
    <row r="93" spans="1:5" ht="12" customHeight="1">
      <c r="A93" s="519" t="s">
        <v>70</v>
      </c>
      <c r="B93" s="335" t="s">
        <v>131</v>
      </c>
      <c r="C93" s="499">
        <v>16321000</v>
      </c>
      <c r="D93" s="499">
        <v>20868207</v>
      </c>
      <c r="E93" s="499">
        <v>20868207</v>
      </c>
    </row>
    <row r="94" spans="1:5" ht="12" customHeight="1">
      <c r="A94" s="519" t="s">
        <v>71</v>
      </c>
      <c r="B94" s="335" t="s">
        <v>98</v>
      </c>
      <c r="C94" s="501">
        <v>104103969</v>
      </c>
      <c r="D94" s="501">
        <v>117250924</v>
      </c>
      <c r="E94" s="501">
        <v>108414328</v>
      </c>
    </row>
    <row r="95" spans="1:5" ht="12" customHeight="1">
      <c r="A95" s="519" t="s">
        <v>72</v>
      </c>
      <c r="B95" s="338" t="s">
        <v>132</v>
      </c>
      <c r="C95" s="501">
        <v>13134000</v>
      </c>
      <c r="D95" s="501">
        <v>7007232</v>
      </c>
      <c r="E95" s="501">
        <v>7007232</v>
      </c>
    </row>
    <row r="96" spans="1:5" ht="12" customHeight="1">
      <c r="A96" s="519" t="s">
        <v>81</v>
      </c>
      <c r="B96" s="346" t="s">
        <v>133</v>
      </c>
      <c r="C96" s="501">
        <v>26858000</v>
      </c>
      <c r="D96" s="501">
        <v>81974928</v>
      </c>
      <c r="E96" s="501">
        <v>26036928</v>
      </c>
    </row>
    <row r="97" spans="1:5" ht="12" customHeight="1">
      <c r="A97" s="519" t="s">
        <v>73</v>
      </c>
      <c r="B97" s="335" t="s">
        <v>418</v>
      </c>
      <c r="C97" s="501"/>
      <c r="D97" s="501"/>
      <c r="E97" s="501"/>
    </row>
    <row r="98" spans="1:5" ht="12" customHeight="1">
      <c r="A98" s="519" t="s">
        <v>74</v>
      </c>
      <c r="B98" s="358" t="s">
        <v>419</v>
      </c>
      <c r="C98" s="501"/>
      <c r="D98" s="501"/>
      <c r="E98" s="501"/>
    </row>
    <row r="99" spans="1:5" ht="12" customHeight="1">
      <c r="A99" s="519" t="s">
        <v>82</v>
      </c>
      <c r="B99" s="359" t="s">
        <v>420</v>
      </c>
      <c r="C99" s="501"/>
      <c r="D99" s="501"/>
      <c r="E99" s="501"/>
    </row>
    <row r="100" spans="1:5" ht="12" customHeight="1">
      <c r="A100" s="519" t="s">
        <v>83</v>
      </c>
      <c r="B100" s="359" t="s">
        <v>421</v>
      </c>
      <c r="C100" s="501"/>
      <c r="D100" s="501"/>
      <c r="E100" s="501"/>
    </row>
    <row r="101" spans="1:5" ht="12" customHeight="1">
      <c r="A101" s="519" t="s">
        <v>84</v>
      </c>
      <c r="B101" s="358" t="s">
        <v>422</v>
      </c>
      <c r="C101" s="501"/>
      <c r="D101" s="501"/>
      <c r="E101" s="501"/>
    </row>
    <row r="102" spans="1:5" ht="12" customHeight="1">
      <c r="A102" s="519" t="s">
        <v>85</v>
      </c>
      <c r="B102" s="358" t="s">
        <v>423</v>
      </c>
      <c r="C102" s="501"/>
      <c r="D102" s="501"/>
      <c r="E102" s="501"/>
    </row>
    <row r="103" spans="1:5" ht="12" customHeight="1">
      <c r="A103" s="519" t="s">
        <v>87</v>
      </c>
      <c r="B103" s="359" t="s">
        <v>424</v>
      </c>
      <c r="C103" s="501"/>
      <c r="D103" s="501"/>
      <c r="E103" s="501"/>
    </row>
    <row r="104" spans="1:5" ht="12" customHeight="1">
      <c r="A104" s="527" t="s">
        <v>134</v>
      </c>
      <c r="B104" s="360" t="s">
        <v>425</v>
      </c>
      <c r="C104" s="501"/>
      <c r="D104" s="501"/>
      <c r="E104" s="501"/>
    </row>
    <row r="105" spans="1:5" ht="12" customHeight="1">
      <c r="A105" s="519" t="s">
        <v>426</v>
      </c>
      <c r="B105" s="360" t="s">
        <v>427</v>
      </c>
      <c r="C105" s="501"/>
      <c r="D105" s="501"/>
      <c r="E105" s="501"/>
    </row>
    <row r="106" spans="1:5" s="310" customFormat="1" ht="12" customHeight="1" thickBot="1">
      <c r="A106" s="528" t="s">
        <v>428</v>
      </c>
      <c r="B106" s="361" t="s">
        <v>429</v>
      </c>
      <c r="C106" s="503">
        <v>26858000</v>
      </c>
      <c r="D106" s="503">
        <v>27056928</v>
      </c>
      <c r="E106" s="503">
        <v>26036928</v>
      </c>
    </row>
    <row r="107" spans="1:5" ht="12" customHeight="1" thickBot="1">
      <c r="A107" s="352" t="s">
        <v>8</v>
      </c>
      <c r="B107" s="350" t="s">
        <v>430</v>
      </c>
      <c r="C107" s="373">
        <f>+C108+C110+C112</f>
        <v>48332000</v>
      </c>
      <c r="D107" s="373">
        <f>+D108+D110+D112</f>
        <v>76740108</v>
      </c>
      <c r="E107" s="373">
        <f>+E108+E110+E112</f>
        <v>64058466</v>
      </c>
    </row>
    <row r="108" spans="1:5" ht="12" customHeight="1">
      <c r="A108" s="518" t="s">
        <v>75</v>
      </c>
      <c r="B108" s="335" t="s">
        <v>153</v>
      </c>
      <c r="C108" s="500">
        <v>41194000</v>
      </c>
      <c r="D108" s="500">
        <v>66492853</v>
      </c>
      <c r="E108" s="500">
        <v>55983508</v>
      </c>
    </row>
    <row r="109" spans="1:5" ht="12" customHeight="1">
      <c r="A109" s="518" t="s">
        <v>76</v>
      </c>
      <c r="B109" s="339" t="s">
        <v>431</v>
      </c>
      <c r="C109" s="500"/>
      <c r="D109" s="500"/>
      <c r="E109" s="500"/>
    </row>
    <row r="110" spans="1:5" ht="12" customHeight="1">
      <c r="A110" s="518" t="s">
        <v>77</v>
      </c>
      <c r="B110" s="339" t="s">
        <v>135</v>
      </c>
      <c r="C110" s="499">
        <v>7138000</v>
      </c>
      <c r="D110" s="499">
        <v>10247255</v>
      </c>
      <c r="E110" s="499">
        <v>8074958</v>
      </c>
    </row>
    <row r="111" spans="1:5" ht="12" customHeight="1">
      <c r="A111" s="518" t="s">
        <v>78</v>
      </c>
      <c r="B111" s="339" t="s">
        <v>432</v>
      </c>
      <c r="C111" s="363"/>
      <c r="D111" s="363"/>
      <c r="E111" s="363"/>
    </row>
    <row r="112" spans="1:5" ht="12" customHeight="1">
      <c r="A112" s="518" t="s">
        <v>79</v>
      </c>
      <c r="B112" s="371" t="s">
        <v>155</v>
      </c>
      <c r="C112" s="363"/>
      <c r="D112" s="363"/>
      <c r="E112" s="363"/>
    </row>
    <row r="113" spans="1:5" ht="12" customHeight="1">
      <c r="A113" s="518" t="s">
        <v>86</v>
      </c>
      <c r="B113" s="370" t="s">
        <v>433</v>
      </c>
      <c r="C113" s="363"/>
      <c r="D113" s="363"/>
      <c r="E113" s="363"/>
    </row>
    <row r="114" spans="1:5" ht="12" customHeight="1">
      <c r="A114" s="518" t="s">
        <v>88</v>
      </c>
      <c r="B114" s="386" t="s">
        <v>434</v>
      </c>
      <c r="C114" s="363"/>
      <c r="D114" s="363"/>
      <c r="E114" s="363"/>
    </row>
    <row r="115" spans="1:5" ht="12" customHeight="1">
      <c r="A115" s="518" t="s">
        <v>136</v>
      </c>
      <c r="B115" s="359" t="s">
        <v>421</v>
      </c>
      <c r="C115" s="363"/>
      <c r="D115" s="363"/>
      <c r="E115" s="363"/>
    </row>
    <row r="116" spans="1:5" ht="12" customHeight="1">
      <c r="A116" s="518" t="s">
        <v>137</v>
      </c>
      <c r="B116" s="359" t="s">
        <v>435</v>
      </c>
      <c r="C116" s="363"/>
      <c r="D116" s="363"/>
      <c r="E116" s="363"/>
    </row>
    <row r="117" spans="1:5" ht="12" customHeight="1">
      <c r="A117" s="518" t="s">
        <v>138</v>
      </c>
      <c r="B117" s="359" t="s">
        <v>436</v>
      </c>
      <c r="C117" s="363"/>
      <c r="D117" s="363"/>
      <c r="E117" s="363"/>
    </row>
    <row r="118" spans="1:5" ht="12" customHeight="1">
      <c r="A118" s="518" t="s">
        <v>437</v>
      </c>
      <c r="B118" s="359" t="s">
        <v>424</v>
      </c>
      <c r="C118" s="363"/>
      <c r="D118" s="363"/>
      <c r="E118" s="363"/>
    </row>
    <row r="119" spans="1:5" ht="12" customHeight="1">
      <c r="A119" s="518" t="s">
        <v>438</v>
      </c>
      <c r="B119" s="359" t="s">
        <v>439</v>
      </c>
      <c r="C119" s="363"/>
      <c r="D119" s="363"/>
      <c r="E119" s="363"/>
    </row>
    <row r="120" spans="1:5" ht="12" customHeight="1" thickBot="1">
      <c r="A120" s="527" t="s">
        <v>440</v>
      </c>
      <c r="B120" s="359" t="s">
        <v>441</v>
      </c>
      <c r="C120" s="365"/>
      <c r="D120" s="365"/>
      <c r="E120" s="365"/>
    </row>
    <row r="121" spans="1:5" ht="12" customHeight="1" thickBot="1">
      <c r="A121" s="352" t="s">
        <v>9</v>
      </c>
      <c r="B121" s="355" t="s">
        <v>442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8" t="s">
        <v>58</v>
      </c>
      <c r="B122" s="336" t="s">
        <v>45</v>
      </c>
      <c r="C122" s="500"/>
      <c r="D122" s="500"/>
      <c r="E122" s="500"/>
    </row>
    <row r="123" spans="1:5" ht="12" customHeight="1" thickBot="1">
      <c r="A123" s="520" t="s">
        <v>59</v>
      </c>
      <c r="B123" s="339" t="s">
        <v>46</v>
      </c>
      <c r="C123" s="501"/>
      <c r="D123" s="501"/>
      <c r="E123" s="501"/>
    </row>
    <row r="124" spans="1:5" ht="12" customHeight="1" thickBot="1">
      <c r="A124" s="352" t="s">
        <v>10</v>
      </c>
      <c r="B124" s="355" t="s">
        <v>443</v>
      </c>
      <c r="C124" s="373">
        <f>+C91+C107+C121</f>
        <v>289708969</v>
      </c>
      <c r="D124" s="373">
        <f>+D91+D107+D121</f>
        <v>416982783</v>
      </c>
      <c r="E124" s="373">
        <f>+E91+E107+E121</f>
        <v>339526545</v>
      </c>
    </row>
    <row r="125" spans="1:5" ht="12" customHeight="1" thickBot="1">
      <c r="A125" s="352" t="s">
        <v>11</v>
      </c>
      <c r="B125" s="355" t="s">
        <v>548</v>
      </c>
      <c r="C125" s="373">
        <f>+C126+C127+C128</f>
        <v>0</v>
      </c>
      <c r="D125" s="373">
        <f>+D126+D127+D128</f>
        <v>0</v>
      </c>
      <c r="E125" s="373">
        <f>+E126+E127+E128</f>
        <v>0</v>
      </c>
    </row>
    <row r="126" spans="1:5" ht="12" customHeight="1">
      <c r="A126" s="518" t="s">
        <v>62</v>
      </c>
      <c r="B126" s="336" t="s">
        <v>445</v>
      </c>
      <c r="C126" s="363"/>
      <c r="D126" s="363"/>
      <c r="E126" s="363"/>
    </row>
    <row r="127" spans="1:5" ht="12" customHeight="1">
      <c r="A127" s="518" t="s">
        <v>63</v>
      </c>
      <c r="B127" s="336" t="s">
        <v>446</v>
      </c>
      <c r="C127" s="363"/>
      <c r="D127" s="363"/>
      <c r="E127" s="363"/>
    </row>
    <row r="128" spans="1:5" ht="12" customHeight="1" thickBot="1">
      <c r="A128" s="527" t="s">
        <v>64</v>
      </c>
      <c r="B128" s="334" t="s">
        <v>447</v>
      </c>
      <c r="C128" s="363"/>
      <c r="D128" s="363"/>
      <c r="E128" s="363"/>
    </row>
    <row r="129" spans="1:5" ht="12" customHeight="1" thickBot="1">
      <c r="A129" s="352" t="s">
        <v>12</v>
      </c>
      <c r="B129" s="355" t="s">
        <v>448</v>
      </c>
      <c r="C129" s="373">
        <f>+C130+C131+C132+C133</f>
        <v>0</v>
      </c>
      <c r="D129" s="373">
        <f>+D130+D131+D132+D133</f>
        <v>131990000</v>
      </c>
      <c r="E129" s="373">
        <f>+E130+E131+E132+E133</f>
        <v>131990000</v>
      </c>
    </row>
    <row r="130" spans="1:5" ht="12" customHeight="1">
      <c r="A130" s="518" t="s">
        <v>65</v>
      </c>
      <c r="B130" s="336" t="s">
        <v>449</v>
      </c>
      <c r="C130" s="363"/>
      <c r="D130" s="363"/>
      <c r="E130" s="363"/>
    </row>
    <row r="131" spans="1:5" ht="12" customHeight="1">
      <c r="A131" s="518" t="s">
        <v>66</v>
      </c>
      <c r="B131" s="336" t="s">
        <v>450</v>
      </c>
      <c r="C131" s="363"/>
      <c r="D131" s="363"/>
      <c r="E131" s="363"/>
    </row>
    <row r="132" spans="1:5" ht="12" customHeight="1">
      <c r="A132" s="518" t="s">
        <v>345</v>
      </c>
      <c r="B132" s="336" t="s">
        <v>451</v>
      </c>
      <c r="C132" s="363"/>
      <c r="D132" s="363">
        <v>131990000</v>
      </c>
      <c r="E132" s="363">
        <v>131990000</v>
      </c>
    </row>
    <row r="133" spans="1:5" s="310" customFormat="1" ht="12" customHeight="1" thickBot="1">
      <c r="A133" s="527" t="s">
        <v>347</v>
      </c>
      <c r="B133" s="334" t="s">
        <v>452</v>
      </c>
      <c r="C133" s="363"/>
      <c r="D133" s="363"/>
      <c r="E133" s="363"/>
    </row>
    <row r="134" spans="1:11" ht="13.5" thickBot="1">
      <c r="A134" s="352" t="s">
        <v>13</v>
      </c>
      <c r="B134" s="355" t="s">
        <v>667</v>
      </c>
      <c r="C134" s="502">
        <f>+C135+C136+C138+C139+C137</f>
        <v>111138000</v>
      </c>
      <c r="D134" s="502">
        <f>+D135+D136+D138+D139+D137</f>
        <v>119383475</v>
      </c>
      <c r="E134" s="502">
        <f>+E135+E136+E138+E139+E137</f>
        <v>103037050</v>
      </c>
      <c r="K134" s="481"/>
    </row>
    <row r="135" spans="1:5" ht="12.75">
      <c r="A135" s="518" t="s">
        <v>67</v>
      </c>
      <c r="B135" s="336" t="s">
        <v>454</v>
      </c>
      <c r="C135" s="363"/>
      <c r="D135" s="363"/>
      <c r="E135" s="363"/>
    </row>
    <row r="136" spans="1:5" ht="12" customHeight="1">
      <c r="A136" s="518" t="s">
        <v>68</v>
      </c>
      <c r="B136" s="336" t="s">
        <v>455</v>
      </c>
      <c r="C136" s="363"/>
      <c r="D136" s="363">
        <v>7307475</v>
      </c>
      <c r="E136" s="363">
        <v>7307475</v>
      </c>
    </row>
    <row r="137" spans="1:5" ht="12" customHeight="1">
      <c r="A137" s="518" t="s">
        <v>354</v>
      </c>
      <c r="B137" s="336" t="s">
        <v>666</v>
      </c>
      <c r="C137" s="363">
        <v>111138000</v>
      </c>
      <c r="D137" s="363">
        <v>112076000</v>
      </c>
      <c r="E137" s="363">
        <v>95729575</v>
      </c>
    </row>
    <row r="138" spans="1:5" s="310" customFormat="1" ht="12" customHeight="1">
      <c r="A138" s="518" t="s">
        <v>356</v>
      </c>
      <c r="B138" s="336" t="s">
        <v>456</v>
      </c>
      <c r="C138" s="363"/>
      <c r="D138" s="363"/>
      <c r="E138" s="363"/>
    </row>
    <row r="139" spans="1:5" s="310" customFormat="1" ht="12" customHeight="1" thickBot="1">
      <c r="A139" s="527" t="s">
        <v>665</v>
      </c>
      <c r="B139" s="334" t="s">
        <v>457</v>
      </c>
      <c r="C139" s="363"/>
      <c r="D139" s="363"/>
      <c r="E139" s="363"/>
    </row>
    <row r="140" spans="1:5" s="310" customFormat="1" ht="12" customHeight="1" thickBot="1">
      <c r="A140" s="352" t="s">
        <v>14</v>
      </c>
      <c r="B140" s="355" t="s">
        <v>549</v>
      </c>
      <c r="C140" s="504">
        <f>+C141+C142+C143+C144</f>
        <v>0</v>
      </c>
      <c r="D140" s="504">
        <f>+D141+D142+D143+D144</f>
        <v>0</v>
      </c>
      <c r="E140" s="504">
        <f>+E141+E142+E143+E144</f>
        <v>0</v>
      </c>
    </row>
    <row r="141" spans="1:5" s="310" customFormat="1" ht="12" customHeight="1">
      <c r="A141" s="518" t="s">
        <v>129</v>
      </c>
      <c r="B141" s="336" t="s">
        <v>459</v>
      </c>
      <c r="C141" s="363"/>
      <c r="D141" s="363"/>
      <c r="E141" s="363"/>
    </row>
    <row r="142" spans="1:5" s="310" customFormat="1" ht="12" customHeight="1">
      <c r="A142" s="518" t="s">
        <v>130</v>
      </c>
      <c r="B142" s="336" t="s">
        <v>460</v>
      </c>
      <c r="C142" s="363"/>
      <c r="D142" s="363"/>
      <c r="E142" s="363"/>
    </row>
    <row r="143" spans="1:5" s="310" customFormat="1" ht="12" customHeight="1">
      <c r="A143" s="518" t="s">
        <v>154</v>
      </c>
      <c r="B143" s="336" t="s">
        <v>461</v>
      </c>
      <c r="C143" s="363"/>
      <c r="D143" s="363"/>
      <c r="E143" s="363"/>
    </row>
    <row r="144" spans="1:5" ht="12.75" customHeight="1" thickBot="1">
      <c r="A144" s="518" t="s">
        <v>362</v>
      </c>
      <c r="B144" s="336" t="s">
        <v>462</v>
      </c>
      <c r="C144" s="363"/>
      <c r="D144" s="363"/>
      <c r="E144" s="363"/>
    </row>
    <row r="145" spans="1:5" ht="12" customHeight="1" thickBot="1">
      <c r="A145" s="352" t="s">
        <v>15</v>
      </c>
      <c r="B145" s="355" t="s">
        <v>463</v>
      </c>
      <c r="C145" s="517">
        <f>+C125+C129+C134+C140</f>
        <v>111138000</v>
      </c>
      <c r="D145" s="517">
        <f>+D125+D129+D134+D140</f>
        <v>251373475</v>
      </c>
      <c r="E145" s="517">
        <f>+E125+E129+E134+E140</f>
        <v>235027050</v>
      </c>
    </row>
    <row r="146" spans="1:5" ht="15" customHeight="1" thickBot="1">
      <c r="A146" s="529" t="s">
        <v>16</v>
      </c>
      <c r="B146" s="375" t="s">
        <v>464</v>
      </c>
      <c r="C146" s="517">
        <f>+C124+C145</f>
        <v>400846969</v>
      </c>
      <c r="D146" s="517">
        <f>+D124+D145</f>
        <v>668356258</v>
      </c>
      <c r="E146" s="517">
        <f>+E124+E145</f>
        <v>574553595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7" t="s">
        <v>735</v>
      </c>
      <c r="B148" s="638"/>
      <c r="C148" s="91">
        <v>13</v>
      </c>
      <c r="D148" s="92">
        <v>13</v>
      </c>
      <c r="E148" s="89">
        <v>13</v>
      </c>
    </row>
    <row r="149" spans="1:5" ht="14.25" customHeight="1" thickBot="1">
      <c r="A149" s="639" t="s">
        <v>734</v>
      </c>
      <c r="B149" s="640"/>
      <c r="C149" s="91">
        <v>72</v>
      </c>
      <c r="D149" s="92">
        <v>72</v>
      </c>
      <c r="E149" s="89">
        <v>72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09" customWidth="1"/>
    <col min="2" max="2" width="65.375" style="510" customWidth="1"/>
    <col min="3" max="5" width="17.00390625" style="511" customWidth="1"/>
    <col min="6" max="16384" width="9.375" style="33" customWidth="1"/>
  </cols>
  <sheetData>
    <row r="1" spans="1:5" s="485" customFormat="1" ht="16.5" customHeight="1" thickBot="1">
      <c r="A1" s="484"/>
      <c r="B1" s="486"/>
      <c r="C1" s="531"/>
      <c r="D1" s="496"/>
      <c r="E1" s="619" t="str">
        <f>+CONCATENATE("6.3. melléklet a 7/",LEFT(ÖSSZEFÜGGÉSEK!A4,4)+1,". (IV. 28.) önkormányzati rendelethez")</f>
        <v>6.3. melléklet a 7/2017. (IV. 28.) önkormányzati rendelethez</v>
      </c>
    </row>
    <row r="2" spans="1:5" s="532" customFormat="1" ht="15.75" customHeight="1">
      <c r="A2" s="512" t="s">
        <v>50</v>
      </c>
      <c r="B2" s="747" t="s">
        <v>746</v>
      </c>
      <c r="C2" s="748"/>
      <c r="D2" s="749"/>
      <c r="E2" s="505" t="s">
        <v>41</v>
      </c>
    </row>
    <row r="3" spans="1:5" s="532" customFormat="1" ht="24.75" thickBot="1">
      <c r="A3" s="530" t="s">
        <v>544</v>
      </c>
      <c r="B3" s="750" t="s">
        <v>669</v>
      </c>
      <c r="C3" s="751"/>
      <c r="D3" s="752"/>
      <c r="E3" s="480" t="s">
        <v>48</v>
      </c>
    </row>
    <row r="4" spans="1:5" s="533" customFormat="1" ht="15.75" customHeight="1" thickBot="1">
      <c r="A4" s="487"/>
      <c r="B4" s="487"/>
      <c r="C4" s="488"/>
      <c r="D4" s="488"/>
      <c r="E4" s="488" t="str">
        <f>'6.2. sz. mell'!E4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34" customFormat="1" ht="12" customHeight="1" thickBot="1">
      <c r="A8" s="352" t="s">
        <v>7</v>
      </c>
      <c r="B8" s="348" t="s">
        <v>303</v>
      </c>
      <c r="C8" s="379">
        <f>SUM(C9:C14)</f>
        <v>10250000</v>
      </c>
      <c r="D8" s="379">
        <f>SUM(D9:D14)</f>
        <v>10250000</v>
      </c>
      <c r="E8" s="362">
        <f>SUM(E9:E14)</f>
        <v>10250000</v>
      </c>
    </row>
    <row r="9" spans="1:5" s="508" customFormat="1" ht="12" customHeight="1">
      <c r="A9" s="518" t="s">
        <v>69</v>
      </c>
      <c r="B9" s="390" t="s">
        <v>304</v>
      </c>
      <c r="C9" s="381"/>
      <c r="D9" s="381"/>
      <c r="E9" s="364"/>
    </row>
    <row r="10" spans="1:5" s="535" customFormat="1" ht="12" customHeight="1">
      <c r="A10" s="519" t="s">
        <v>70</v>
      </c>
      <c r="B10" s="391" t="s">
        <v>305</v>
      </c>
      <c r="C10" s="380"/>
      <c r="D10" s="380"/>
      <c r="E10" s="363"/>
    </row>
    <row r="11" spans="1:5" s="535" customFormat="1" ht="12" customHeight="1">
      <c r="A11" s="519" t="s">
        <v>71</v>
      </c>
      <c r="B11" s="391" t="s">
        <v>306</v>
      </c>
      <c r="C11" s="380">
        <v>10250000</v>
      </c>
      <c r="D11" s="380">
        <v>10250000</v>
      </c>
      <c r="E11" s="363">
        <v>10250000</v>
      </c>
    </row>
    <row r="12" spans="1:5" s="535" customFormat="1" ht="12" customHeight="1">
      <c r="A12" s="519" t="s">
        <v>72</v>
      </c>
      <c r="B12" s="391" t="s">
        <v>307</v>
      </c>
      <c r="C12" s="380"/>
      <c r="D12" s="380"/>
      <c r="E12" s="363"/>
    </row>
    <row r="13" spans="1:5" s="535" customFormat="1" ht="12" customHeight="1">
      <c r="A13" s="519" t="s">
        <v>105</v>
      </c>
      <c r="B13" s="391" t="s">
        <v>308</v>
      </c>
      <c r="C13" s="380"/>
      <c r="D13" s="380"/>
      <c r="E13" s="363"/>
    </row>
    <row r="14" spans="1:5" s="508" customFormat="1" ht="12" customHeight="1" thickBot="1">
      <c r="A14" s="520" t="s">
        <v>73</v>
      </c>
      <c r="B14" s="392" t="s">
        <v>309</v>
      </c>
      <c r="C14" s="382"/>
      <c r="D14" s="382"/>
      <c r="E14" s="365"/>
    </row>
    <row r="15" spans="1:5" s="508" customFormat="1" ht="12" customHeight="1" thickBot="1">
      <c r="A15" s="352" t="s">
        <v>8</v>
      </c>
      <c r="B15" s="369" t="s">
        <v>310</v>
      </c>
      <c r="C15" s="379">
        <f>SUM(C16:C20)</f>
        <v>1080000</v>
      </c>
      <c r="D15" s="379">
        <f>SUM(D16:D20)</f>
        <v>1080000</v>
      </c>
      <c r="E15" s="362">
        <f>SUM(E16:E20)</f>
        <v>1080000</v>
      </c>
    </row>
    <row r="16" spans="1:5" s="508" customFormat="1" ht="12" customHeight="1">
      <c r="A16" s="518" t="s">
        <v>75</v>
      </c>
      <c r="B16" s="390" t="s">
        <v>311</v>
      </c>
      <c r="C16" s="381"/>
      <c r="D16" s="381"/>
      <c r="E16" s="364"/>
    </row>
    <row r="17" spans="1:5" s="508" customFormat="1" ht="12" customHeight="1">
      <c r="A17" s="519" t="s">
        <v>76</v>
      </c>
      <c r="B17" s="391" t="s">
        <v>312</v>
      </c>
      <c r="C17" s="380"/>
      <c r="D17" s="380"/>
      <c r="E17" s="363"/>
    </row>
    <row r="18" spans="1:5" s="508" customFormat="1" ht="12" customHeight="1">
      <c r="A18" s="519" t="s">
        <v>77</v>
      </c>
      <c r="B18" s="391" t="s">
        <v>313</v>
      </c>
      <c r="C18" s="380"/>
      <c r="D18" s="380"/>
      <c r="E18" s="363"/>
    </row>
    <row r="19" spans="1:5" s="508" customFormat="1" ht="12" customHeight="1">
      <c r="A19" s="519" t="s">
        <v>78</v>
      </c>
      <c r="B19" s="391" t="s">
        <v>314</v>
      </c>
      <c r="C19" s="380"/>
      <c r="D19" s="380"/>
      <c r="E19" s="363"/>
    </row>
    <row r="20" spans="1:5" s="508" customFormat="1" ht="12" customHeight="1">
      <c r="A20" s="519" t="s">
        <v>79</v>
      </c>
      <c r="B20" s="391" t="s">
        <v>315</v>
      </c>
      <c r="C20" s="380">
        <v>1080000</v>
      </c>
      <c r="D20" s="380">
        <v>1080000</v>
      </c>
      <c r="E20" s="363">
        <v>1080000</v>
      </c>
    </row>
    <row r="21" spans="1:5" s="535" customFormat="1" ht="12" customHeight="1" thickBot="1">
      <c r="A21" s="520" t="s">
        <v>86</v>
      </c>
      <c r="B21" s="392" t="s">
        <v>316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317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35" customFormat="1" ht="12" customHeight="1">
      <c r="A23" s="518" t="s">
        <v>58</v>
      </c>
      <c r="B23" s="390" t="s">
        <v>318</v>
      </c>
      <c r="C23" s="381"/>
      <c r="D23" s="381"/>
      <c r="E23" s="364"/>
    </row>
    <row r="24" spans="1:5" s="508" customFormat="1" ht="12" customHeight="1">
      <c r="A24" s="519" t="s">
        <v>59</v>
      </c>
      <c r="B24" s="391" t="s">
        <v>319</v>
      </c>
      <c r="C24" s="380"/>
      <c r="D24" s="380"/>
      <c r="E24" s="363"/>
    </row>
    <row r="25" spans="1:5" s="535" customFormat="1" ht="12" customHeight="1">
      <c r="A25" s="519" t="s">
        <v>60</v>
      </c>
      <c r="B25" s="391" t="s">
        <v>320</v>
      </c>
      <c r="C25" s="380"/>
      <c r="D25" s="380"/>
      <c r="E25" s="363"/>
    </row>
    <row r="26" spans="1:5" s="535" customFormat="1" ht="12" customHeight="1">
      <c r="A26" s="519" t="s">
        <v>61</v>
      </c>
      <c r="B26" s="391" t="s">
        <v>321</v>
      </c>
      <c r="C26" s="380"/>
      <c r="D26" s="380"/>
      <c r="E26" s="363"/>
    </row>
    <row r="27" spans="1:5" s="535" customFormat="1" ht="12" customHeight="1">
      <c r="A27" s="519" t="s">
        <v>119</v>
      </c>
      <c r="B27" s="391" t="s">
        <v>322</v>
      </c>
      <c r="C27" s="380"/>
      <c r="D27" s="380"/>
      <c r="E27" s="363"/>
    </row>
    <row r="28" spans="1:5" s="535" customFormat="1" ht="12" customHeight="1" thickBot="1">
      <c r="A28" s="520" t="s">
        <v>120</v>
      </c>
      <c r="B28" s="392" t="s">
        <v>323</v>
      </c>
      <c r="C28" s="382"/>
      <c r="D28" s="382"/>
      <c r="E28" s="365"/>
    </row>
    <row r="29" spans="1:5" s="535" customFormat="1" ht="12" customHeight="1" thickBot="1">
      <c r="A29" s="352" t="s">
        <v>121</v>
      </c>
      <c r="B29" s="348" t="s">
        <v>724</v>
      </c>
      <c r="C29" s="385">
        <f>SUM(C30:C35)</f>
        <v>0</v>
      </c>
      <c r="D29" s="385">
        <f>SUM(D30:D35)</f>
        <v>0</v>
      </c>
      <c r="E29" s="398">
        <f>SUM(E30:E35)</f>
        <v>0</v>
      </c>
    </row>
    <row r="30" spans="1:5" s="535" customFormat="1" ht="12" customHeight="1">
      <c r="A30" s="518" t="s">
        <v>324</v>
      </c>
      <c r="B30" s="390" t="s">
        <v>728</v>
      </c>
      <c r="C30" s="381"/>
      <c r="D30" s="381">
        <f>+D31+D32</f>
        <v>0</v>
      </c>
      <c r="E30" s="364">
        <f>+E31+E32</f>
        <v>0</v>
      </c>
    </row>
    <row r="31" spans="1:5" s="535" customFormat="1" ht="12" customHeight="1">
      <c r="A31" s="519" t="s">
        <v>325</v>
      </c>
      <c r="B31" s="391" t="s">
        <v>729</v>
      </c>
      <c r="C31" s="380"/>
      <c r="D31" s="380"/>
      <c r="E31" s="363"/>
    </row>
    <row r="32" spans="1:5" s="535" customFormat="1" ht="12" customHeight="1">
      <c r="A32" s="519" t="s">
        <v>326</v>
      </c>
      <c r="B32" s="391" t="s">
        <v>730</v>
      </c>
      <c r="C32" s="380"/>
      <c r="D32" s="380"/>
      <c r="E32" s="363"/>
    </row>
    <row r="33" spans="1:5" s="535" customFormat="1" ht="12" customHeight="1">
      <c r="A33" s="519" t="s">
        <v>725</v>
      </c>
      <c r="B33" s="391" t="s">
        <v>731</v>
      </c>
      <c r="C33" s="380"/>
      <c r="D33" s="380"/>
      <c r="E33" s="363"/>
    </row>
    <row r="34" spans="1:5" s="535" customFormat="1" ht="12" customHeight="1">
      <c r="A34" s="519" t="s">
        <v>726</v>
      </c>
      <c r="B34" s="391" t="s">
        <v>327</v>
      </c>
      <c r="C34" s="380"/>
      <c r="D34" s="380"/>
      <c r="E34" s="363"/>
    </row>
    <row r="35" spans="1:5" s="535" customFormat="1" ht="12" customHeight="1" thickBot="1">
      <c r="A35" s="520" t="s">
        <v>727</v>
      </c>
      <c r="B35" s="371" t="s">
        <v>328</v>
      </c>
      <c r="C35" s="382"/>
      <c r="D35" s="382"/>
      <c r="E35" s="365"/>
    </row>
    <row r="36" spans="1:5" s="535" customFormat="1" ht="12" customHeight="1" thickBot="1">
      <c r="A36" s="352" t="s">
        <v>11</v>
      </c>
      <c r="B36" s="348" t="s">
        <v>329</v>
      </c>
      <c r="C36" s="379">
        <f>SUM(C37:C46)</f>
        <v>2440000</v>
      </c>
      <c r="D36" s="379">
        <f>SUM(D37:D46)</f>
        <v>2440000</v>
      </c>
      <c r="E36" s="362">
        <f>SUM(E37:E46)</f>
        <v>2440000</v>
      </c>
    </row>
    <row r="37" spans="1:5" s="535" customFormat="1" ht="12" customHeight="1">
      <c r="A37" s="518" t="s">
        <v>62</v>
      </c>
      <c r="B37" s="390" t="s">
        <v>330</v>
      </c>
      <c r="C37" s="381"/>
      <c r="D37" s="381"/>
      <c r="E37" s="364"/>
    </row>
    <row r="38" spans="1:5" s="535" customFormat="1" ht="12" customHeight="1">
      <c r="A38" s="519" t="s">
        <v>63</v>
      </c>
      <c r="B38" s="391" t="s">
        <v>331</v>
      </c>
      <c r="C38" s="380"/>
      <c r="D38" s="380"/>
      <c r="E38" s="363"/>
    </row>
    <row r="39" spans="1:5" s="535" customFormat="1" ht="12" customHeight="1">
      <c r="A39" s="519" t="s">
        <v>64</v>
      </c>
      <c r="B39" s="391" t="s">
        <v>332</v>
      </c>
      <c r="C39" s="380"/>
      <c r="D39" s="380"/>
      <c r="E39" s="363"/>
    </row>
    <row r="40" spans="1:5" s="535" customFormat="1" ht="12" customHeight="1">
      <c r="A40" s="519" t="s">
        <v>123</v>
      </c>
      <c r="B40" s="391" t="s">
        <v>333</v>
      </c>
      <c r="C40" s="380"/>
      <c r="D40" s="380"/>
      <c r="E40" s="363"/>
    </row>
    <row r="41" spans="1:5" s="535" customFormat="1" ht="12" customHeight="1">
      <c r="A41" s="519" t="s">
        <v>124</v>
      </c>
      <c r="B41" s="391" t="s">
        <v>334</v>
      </c>
      <c r="C41" s="380">
        <v>1921000</v>
      </c>
      <c r="D41" s="380">
        <v>1921000</v>
      </c>
      <c r="E41" s="363">
        <v>1921000</v>
      </c>
    </row>
    <row r="42" spans="1:5" s="535" customFormat="1" ht="12" customHeight="1">
      <c r="A42" s="519" t="s">
        <v>125</v>
      </c>
      <c r="B42" s="391" t="s">
        <v>335</v>
      </c>
      <c r="C42" s="380">
        <v>519000</v>
      </c>
      <c r="D42" s="380">
        <v>519000</v>
      </c>
      <c r="E42" s="363">
        <v>519000</v>
      </c>
    </row>
    <row r="43" spans="1:5" s="535" customFormat="1" ht="12" customHeight="1">
      <c r="A43" s="519" t="s">
        <v>126</v>
      </c>
      <c r="B43" s="391" t="s">
        <v>336</v>
      </c>
      <c r="C43" s="380"/>
      <c r="D43" s="380"/>
      <c r="E43" s="363"/>
    </row>
    <row r="44" spans="1:5" s="535" customFormat="1" ht="12" customHeight="1">
      <c r="A44" s="519" t="s">
        <v>127</v>
      </c>
      <c r="B44" s="391" t="s">
        <v>337</v>
      </c>
      <c r="C44" s="380"/>
      <c r="D44" s="380"/>
      <c r="E44" s="363"/>
    </row>
    <row r="45" spans="1:5" s="535" customFormat="1" ht="12" customHeight="1">
      <c r="A45" s="519" t="s">
        <v>338</v>
      </c>
      <c r="B45" s="391" t="s">
        <v>339</v>
      </c>
      <c r="C45" s="383"/>
      <c r="D45" s="383"/>
      <c r="E45" s="366"/>
    </row>
    <row r="46" spans="1:5" s="508" customFormat="1" ht="12" customHeight="1" thickBot="1">
      <c r="A46" s="520" t="s">
        <v>340</v>
      </c>
      <c r="B46" s="392" t="s">
        <v>341</v>
      </c>
      <c r="C46" s="384"/>
      <c r="D46" s="384"/>
      <c r="E46" s="367"/>
    </row>
    <row r="47" spans="1:5" s="535" customFormat="1" ht="12" customHeight="1" thickBot="1">
      <c r="A47" s="352" t="s">
        <v>12</v>
      </c>
      <c r="B47" s="348" t="s">
        <v>342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35" customFormat="1" ht="12" customHeight="1">
      <c r="A48" s="518" t="s">
        <v>65</v>
      </c>
      <c r="B48" s="390" t="s">
        <v>343</v>
      </c>
      <c r="C48" s="400"/>
      <c r="D48" s="400"/>
      <c r="E48" s="368"/>
    </row>
    <row r="49" spans="1:5" s="535" customFormat="1" ht="12" customHeight="1">
      <c r="A49" s="519" t="s">
        <v>66</v>
      </c>
      <c r="B49" s="391" t="s">
        <v>344</v>
      </c>
      <c r="C49" s="383"/>
      <c r="D49" s="383"/>
      <c r="E49" s="366"/>
    </row>
    <row r="50" spans="1:5" s="535" customFormat="1" ht="12" customHeight="1">
      <c r="A50" s="519" t="s">
        <v>345</v>
      </c>
      <c r="B50" s="391" t="s">
        <v>346</v>
      </c>
      <c r="C50" s="383"/>
      <c r="D50" s="383"/>
      <c r="E50" s="366"/>
    </row>
    <row r="51" spans="1:5" s="535" customFormat="1" ht="12" customHeight="1">
      <c r="A51" s="519" t="s">
        <v>347</v>
      </c>
      <c r="B51" s="391" t="s">
        <v>348</v>
      </c>
      <c r="C51" s="383"/>
      <c r="D51" s="383"/>
      <c r="E51" s="366"/>
    </row>
    <row r="52" spans="1:5" s="535" customFormat="1" ht="12" customHeight="1" thickBot="1">
      <c r="A52" s="520" t="s">
        <v>349</v>
      </c>
      <c r="B52" s="392" t="s">
        <v>350</v>
      </c>
      <c r="C52" s="384"/>
      <c r="D52" s="384"/>
      <c r="E52" s="367"/>
    </row>
    <row r="53" spans="1:5" s="535" customFormat="1" ht="12" customHeight="1" thickBot="1">
      <c r="A53" s="352" t="s">
        <v>128</v>
      </c>
      <c r="B53" s="348" t="s">
        <v>351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67</v>
      </c>
      <c r="B54" s="390" t="s">
        <v>352</v>
      </c>
      <c r="C54" s="381"/>
      <c r="D54" s="381"/>
      <c r="E54" s="364"/>
    </row>
    <row r="55" spans="1:5" s="508" customFormat="1" ht="12" customHeight="1">
      <c r="A55" s="519" t="s">
        <v>68</v>
      </c>
      <c r="B55" s="391" t="s">
        <v>353</v>
      </c>
      <c r="C55" s="380"/>
      <c r="D55" s="380"/>
      <c r="E55" s="363"/>
    </row>
    <row r="56" spans="1:5" s="508" customFormat="1" ht="12" customHeight="1">
      <c r="A56" s="519" t="s">
        <v>354</v>
      </c>
      <c r="B56" s="391" t="s">
        <v>355</v>
      </c>
      <c r="C56" s="380"/>
      <c r="D56" s="380"/>
      <c r="E56" s="363"/>
    </row>
    <row r="57" spans="1:5" s="508" customFormat="1" ht="12" customHeight="1" thickBot="1">
      <c r="A57" s="520" t="s">
        <v>356</v>
      </c>
      <c r="B57" s="392" t="s">
        <v>357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358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129</v>
      </c>
      <c r="B59" s="390" t="s">
        <v>359</v>
      </c>
      <c r="C59" s="383"/>
      <c r="D59" s="383"/>
      <c r="E59" s="366"/>
    </row>
    <row r="60" spans="1:5" s="535" customFormat="1" ht="12" customHeight="1">
      <c r="A60" s="519" t="s">
        <v>130</v>
      </c>
      <c r="B60" s="391" t="s">
        <v>547</v>
      </c>
      <c r="C60" s="383"/>
      <c r="D60" s="383"/>
      <c r="E60" s="366"/>
    </row>
    <row r="61" spans="1:5" s="535" customFormat="1" ht="12" customHeight="1">
      <c r="A61" s="519" t="s">
        <v>154</v>
      </c>
      <c r="B61" s="391" t="s">
        <v>361</v>
      </c>
      <c r="C61" s="383"/>
      <c r="D61" s="383"/>
      <c r="E61" s="366"/>
    </row>
    <row r="62" spans="1:5" s="535" customFormat="1" ht="12" customHeight="1" thickBot="1">
      <c r="A62" s="520" t="s">
        <v>362</v>
      </c>
      <c r="B62" s="392" t="s">
        <v>363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364</v>
      </c>
      <c r="C63" s="385">
        <f>+C8+C15+C22+C29+C36+C47+C53+C58</f>
        <v>13770000</v>
      </c>
      <c r="D63" s="385">
        <f>+D8+D15+D22+D29+D36+D47+D53+D58</f>
        <v>13770000</v>
      </c>
      <c r="E63" s="398">
        <f>+E8+E15+E22+E29+E36+E47+E53+E58</f>
        <v>13770000</v>
      </c>
    </row>
    <row r="64" spans="1:5" s="535" customFormat="1" ht="12" customHeight="1" thickBot="1">
      <c r="A64" s="521" t="s">
        <v>545</v>
      </c>
      <c r="B64" s="369" t="s">
        <v>366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367</v>
      </c>
      <c r="B65" s="390" t="s">
        <v>368</v>
      </c>
      <c r="C65" s="383"/>
      <c r="D65" s="383"/>
      <c r="E65" s="366"/>
    </row>
    <row r="66" spans="1:5" s="535" customFormat="1" ht="12" customHeight="1">
      <c r="A66" s="519" t="s">
        <v>369</v>
      </c>
      <c r="B66" s="391" t="s">
        <v>370</v>
      </c>
      <c r="C66" s="383"/>
      <c r="D66" s="383"/>
      <c r="E66" s="366"/>
    </row>
    <row r="67" spans="1:5" s="535" customFormat="1" ht="12" customHeight="1" thickBot="1">
      <c r="A67" s="520" t="s">
        <v>371</v>
      </c>
      <c r="B67" s="514" t="s">
        <v>372</v>
      </c>
      <c r="C67" s="383"/>
      <c r="D67" s="383"/>
      <c r="E67" s="366"/>
    </row>
    <row r="68" spans="1:5" s="535" customFormat="1" ht="12" customHeight="1" thickBot="1">
      <c r="A68" s="521" t="s">
        <v>373</v>
      </c>
      <c r="B68" s="369" t="s">
        <v>374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106</v>
      </c>
      <c r="B69" s="390" t="s">
        <v>375</v>
      </c>
      <c r="C69" s="383"/>
      <c r="D69" s="383"/>
      <c r="E69" s="366"/>
    </row>
    <row r="70" spans="1:5" s="535" customFormat="1" ht="12" customHeight="1">
      <c r="A70" s="519" t="s">
        <v>107</v>
      </c>
      <c r="B70" s="391" t="s">
        <v>376</v>
      </c>
      <c r="C70" s="383"/>
      <c r="D70" s="383"/>
      <c r="E70" s="366"/>
    </row>
    <row r="71" spans="1:5" s="535" customFormat="1" ht="12" customHeight="1">
      <c r="A71" s="519" t="s">
        <v>377</v>
      </c>
      <c r="B71" s="391" t="s">
        <v>378</v>
      </c>
      <c r="C71" s="383"/>
      <c r="D71" s="383"/>
      <c r="E71" s="366"/>
    </row>
    <row r="72" spans="1:5" s="535" customFormat="1" ht="12" customHeight="1" thickBot="1">
      <c r="A72" s="520" t="s">
        <v>379</v>
      </c>
      <c r="B72" s="392" t="s">
        <v>380</v>
      </c>
      <c r="C72" s="383"/>
      <c r="D72" s="383"/>
      <c r="E72" s="366"/>
    </row>
    <row r="73" spans="1:5" s="535" customFormat="1" ht="12" customHeight="1" thickBot="1">
      <c r="A73" s="521" t="s">
        <v>381</v>
      </c>
      <c r="B73" s="369" t="s">
        <v>382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35" customFormat="1" ht="12" customHeight="1">
      <c r="A74" s="518" t="s">
        <v>383</v>
      </c>
      <c r="B74" s="390" t="s">
        <v>384</v>
      </c>
      <c r="C74" s="383"/>
      <c r="D74" s="383"/>
      <c r="E74" s="366"/>
    </row>
    <row r="75" spans="1:5" s="535" customFormat="1" ht="12" customHeight="1" thickBot="1">
      <c r="A75" s="520" t="s">
        <v>385</v>
      </c>
      <c r="B75" s="392" t="s">
        <v>386</v>
      </c>
      <c r="C75" s="383"/>
      <c r="D75" s="383"/>
      <c r="E75" s="366"/>
    </row>
    <row r="76" spans="1:5" s="535" customFormat="1" ht="12" customHeight="1" thickBot="1">
      <c r="A76" s="521" t="s">
        <v>387</v>
      </c>
      <c r="B76" s="369" t="s">
        <v>388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35" customFormat="1" ht="12" customHeight="1">
      <c r="A77" s="518" t="s">
        <v>389</v>
      </c>
      <c r="B77" s="390" t="s">
        <v>390</v>
      </c>
      <c r="C77" s="383"/>
      <c r="D77" s="383"/>
      <c r="E77" s="366"/>
    </row>
    <row r="78" spans="1:5" s="535" customFormat="1" ht="12" customHeight="1">
      <c r="A78" s="519" t="s">
        <v>391</v>
      </c>
      <c r="B78" s="391" t="s">
        <v>392</v>
      </c>
      <c r="C78" s="383"/>
      <c r="D78" s="383"/>
      <c r="E78" s="366"/>
    </row>
    <row r="79" spans="1:5" s="535" customFormat="1" ht="12" customHeight="1" thickBot="1">
      <c r="A79" s="520" t="s">
        <v>393</v>
      </c>
      <c r="B79" s="392" t="s">
        <v>394</v>
      </c>
      <c r="C79" s="383"/>
      <c r="D79" s="383"/>
      <c r="E79" s="366"/>
    </row>
    <row r="80" spans="1:5" s="535" customFormat="1" ht="12" customHeight="1" thickBot="1">
      <c r="A80" s="521" t="s">
        <v>395</v>
      </c>
      <c r="B80" s="369" t="s">
        <v>396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397</v>
      </c>
      <c r="B81" s="390" t="s">
        <v>398</v>
      </c>
      <c r="C81" s="383"/>
      <c r="D81" s="383"/>
      <c r="E81" s="366"/>
    </row>
    <row r="82" spans="1:5" s="535" customFormat="1" ht="12" customHeight="1">
      <c r="A82" s="523" t="s">
        <v>399</v>
      </c>
      <c r="B82" s="391" t="s">
        <v>400</v>
      </c>
      <c r="C82" s="383"/>
      <c r="D82" s="383"/>
      <c r="E82" s="366"/>
    </row>
    <row r="83" spans="1:5" s="535" customFormat="1" ht="12" customHeight="1">
      <c r="A83" s="523" t="s">
        <v>401</v>
      </c>
      <c r="B83" s="391" t="s">
        <v>402</v>
      </c>
      <c r="C83" s="383"/>
      <c r="D83" s="383"/>
      <c r="E83" s="366"/>
    </row>
    <row r="84" spans="1:5" s="535" customFormat="1" ht="12" customHeight="1" thickBot="1">
      <c r="A84" s="524" t="s">
        <v>403</v>
      </c>
      <c r="B84" s="392" t="s">
        <v>404</v>
      </c>
      <c r="C84" s="383"/>
      <c r="D84" s="383"/>
      <c r="E84" s="366"/>
    </row>
    <row r="85" spans="1:5" s="535" customFormat="1" ht="12" customHeight="1" thickBot="1">
      <c r="A85" s="521" t="s">
        <v>405</v>
      </c>
      <c r="B85" s="369" t="s">
        <v>406</v>
      </c>
      <c r="C85" s="404"/>
      <c r="D85" s="404"/>
      <c r="E85" s="405"/>
    </row>
    <row r="86" spans="1:5" s="535" customFormat="1" ht="12" customHeight="1" thickBot="1">
      <c r="A86" s="521" t="s">
        <v>407</v>
      </c>
      <c r="B86" s="515" t="s">
        <v>408</v>
      </c>
      <c r="C86" s="385">
        <f>+C64+C68+C73+C76+C80+C85</f>
        <v>0</v>
      </c>
      <c r="D86" s="385">
        <f>+D64+D68+D73+D76+D80+D85</f>
        <v>0</v>
      </c>
      <c r="E86" s="398">
        <f>+E64+E68+E73+E76+E80+E85</f>
        <v>0</v>
      </c>
    </row>
    <row r="87" spans="1:5" s="535" customFormat="1" ht="12" customHeight="1" thickBot="1">
      <c r="A87" s="525" t="s">
        <v>409</v>
      </c>
      <c r="B87" s="516" t="s">
        <v>546</v>
      </c>
      <c r="C87" s="385">
        <f>+C63+C86</f>
        <v>13770000</v>
      </c>
      <c r="D87" s="385">
        <f>+D63+D86</f>
        <v>13770000</v>
      </c>
      <c r="E87" s="398">
        <f>+E63+E86</f>
        <v>13770000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44" t="s">
        <v>43</v>
      </c>
      <c r="B90" s="745"/>
      <c r="C90" s="745"/>
      <c r="D90" s="745"/>
      <c r="E90" s="746"/>
    </row>
    <row r="91" spans="1:5" s="310" customFormat="1" ht="12" customHeight="1" thickBot="1">
      <c r="A91" s="513" t="s">
        <v>7</v>
      </c>
      <c r="B91" s="351" t="s">
        <v>417</v>
      </c>
      <c r="C91" s="497">
        <f>SUM(C92:C96)</f>
        <v>12370000</v>
      </c>
      <c r="D91" s="497">
        <f>SUM(D92:D96)</f>
        <v>12370000</v>
      </c>
      <c r="E91" s="497">
        <f>SUM(E92:E96)</f>
        <v>12370000</v>
      </c>
    </row>
    <row r="92" spans="1:5" ht="12" customHeight="1">
      <c r="A92" s="526" t="s">
        <v>69</v>
      </c>
      <c r="B92" s="337" t="s">
        <v>37</v>
      </c>
      <c r="C92" s="498">
        <v>7175000</v>
      </c>
      <c r="D92" s="498">
        <v>7175000</v>
      </c>
      <c r="E92" s="498">
        <v>7175000</v>
      </c>
    </row>
    <row r="93" spans="1:5" ht="12" customHeight="1">
      <c r="A93" s="519" t="s">
        <v>70</v>
      </c>
      <c r="B93" s="335" t="s">
        <v>131</v>
      </c>
      <c r="C93" s="499">
        <v>2001000</v>
      </c>
      <c r="D93" s="499">
        <v>2001000</v>
      </c>
      <c r="E93" s="499">
        <v>2001000</v>
      </c>
    </row>
    <row r="94" spans="1:5" ht="12" customHeight="1">
      <c r="A94" s="519" t="s">
        <v>71</v>
      </c>
      <c r="B94" s="335" t="s">
        <v>98</v>
      </c>
      <c r="C94" s="501">
        <v>3194000</v>
      </c>
      <c r="D94" s="501">
        <v>3194000</v>
      </c>
      <c r="E94" s="501">
        <v>3194000</v>
      </c>
    </row>
    <row r="95" spans="1:5" ht="12" customHeight="1">
      <c r="A95" s="519" t="s">
        <v>72</v>
      </c>
      <c r="B95" s="338" t="s">
        <v>132</v>
      </c>
      <c r="C95" s="501"/>
      <c r="D95" s="501"/>
      <c r="E95" s="501"/>
    </row>
    <row r="96" spans="1:5" ht="12" customHeight="1">
      <c r="A96" s="519" t="s">
        <v>81</v>
      </c>
      <c r="B96" s="346" t="s">
        <v>133</v>
      </c>
      <c r="C96" s="501"/>
      <c r="D96" s="501"/>
      <c r="E96" s="501"/>
    </row>
    <row r="97" spans="1:5" ht="12" customHeight="1">
      <c r="A97" s="519" t="s">
        <v>73</v>
      </c>
      <c r="B97" s="335" t="s">
        <v>418</v>
      </c>
      <c r="C97" s="501"/>
      <c r="D97" s="501"/>
      <c r="E97" s="501"/>
    </row>
    <row r="98" spans="1:5" ht="12" customHeight="1">
      <c r="A98" s="519" t="s">
        <v>74</v>
      </c>
      <c r="B98" s="358" t="s">
        <v>419</v>
      </c>
      <c r="C98" s="501"/>
      <c r="D98" s="501"/>
      <c r="E98" s="501"/>
    </row>
    <row r="99" spans="1:5" ht="12" customHeight="1">
      <c r="A99" s="519" t="s">
        <v>82</v>
      </c>
      <c r="B99" s="359" t="s">
        <v>420</v>
      </c>
      <c r="C99" s="501"/>
      <c r="D99" s="501"/>
      <c r="E99" s="501"/>
    </row>
    <row r="100" spans="1:5" ht="12" customHeight="1">
      <c r="A100" s="519" t="s">
        <v>83</v>
      </c>
      <c r="B100" s="359" t="s">
        <v>421</v>
      </c>
      <c r="C100" s="501"/>
      <c r="D100" s="501"/>
      <c r="E100" s="501"/>
    </row>
    <row r="101" spans="1:5" ht="12" customHeight="1">
      <c r="A101" s="519" t="s">
        <v>84</v>
      </c>
      <c r="B101" s="358" t="s">
        <v>422</v>
      </c>
      <c r="C101" s="501"/>
      <c r="D101" s="501"/>
      <c r="E101" s="501"/>
    </row>
    <row r="102" spans="1:5" ht="12" customHeight="1">
      <c r="A102" s="519" t="s">
        <v>85</v>
      </c>
      <c r="B102" s="358" t="s">
        <v>423</v>
      </c>
      <c r="C102" s="501"/>
      <c r="D102" s="501"/>
      <c r="E102" s="501"/>
    </row>
    <row r="103" spans="1:5" ht="12" customHeight="1">
      <c r="A103" s="519" t="s">
        <v>87</v>
      </c>
      <c r="B103" s="359" t="s">
        <v>424</v>
      </c>
      <c r="C103" s="501"/>
      <c r="D103" s="501"/>
      <c r="E103" s="501"/>
    </row>
    <row r="104" spans="1:5" ht="12" customHeight="1">
      <c r="A104" s="527" t="s">
        <v>134</v>
      </c>
      <c r="B104" s="360" t="s">
        <v>425</v>
      </c>
      <c r="C104" s="501"/>
      <c r="D104" s="501"/>
      <c r="E104" s="501"/>
    </row>
    <row r="105" spans="1:5" ht="12" customHeight="1">
      <c r="A105" s="519" t="s">
        <v>426</v>
      </c>
      <c r="B105" s="360" t="s">
        <v>427</v>
      </c>
      <c r="C105" s="501"/>
      <c r="D105" s="501"/>
      <c r="E105" s="501"/>
    </row>
    <row r="106" spans="1:5" s="310" customFormat="1" ht="12" customHeight="1" thickBot="1">
      <c r="A106" s="528" t="s">
        <v>428</v>
      </c>
      <c r="B106" s="361" t="s">
        <v>429</v>
      </c>
      <c r="C106" s="503"/>
      <c r="D106" s="503"/>
      <c r="E106" s="503"/>
    </row>
    <row r="107" spans="1:5" ht="12" customHeight="1" thickBot="1">
      <c r="A107" s="352" t="s">
        <v>8</v>
      </c>
      <c r="B107" s="350" t="s">
        <v>430</v>
      </c>
      <c r="C107" s="373">
        <f>+C108+C110+C112</f>
        <v>1400000</v>
      </c>
      <c r="D107" s="373">
        <f>+D108+D110+D112</f>
        <v>1400000</v>
      </c>
      <c r="E107" s="373">
        <f>+E108+E110+E112</f>
        <v>1400000</v>
      </c>
    </row>
    <row r="108" spans="1:5" ht="12" customHeight="1">
      <c r="A108" s="518" t="s">
        <v>75</v>
      </c>
      <c r="B108" s="335" t="s">
        <v>153</v>
      </c>
      <c r="C108" s="500">
        <v>1400000</v>
      </c>
      <c r="D108" s="500">
        <v>1400000</v>
      </c>
      <c r="E108" s="500">
        <v>1400000</v>
      </c>
    </row>
    <row r="109" spans="1:5" ht="12" customHeight="1">
      <c r="A109" s="518" t="s">
        <v>76</v>
      </c>
      <c r="B109" s="339" t="s">
        <v>431</v>
      </c>
      <c r="C109" s="500"/>
      <c r="D109" s="500"/>
      <c r="E109" s="500"/>
    </row>
    <row r="110" spans="1:5" ht="12" customHeight="1">
      <c r="A110" s="518" t="s">
        <v>77</v>
      </c>
      <c r="B110" s="339" t="s">
        <v>135</v>
      </c>
      <c r="C110" s="499"/>
      <c r="D110" s="499"/>
      <c r="E110" s="499"/>
    </row>
    <row r="111" spans="1:5" ht="12" customHeight="1">
      <c r="A111" s="518" t="s">
        <v>78</v>
      </c>
      <c r="B111" s="339" t="s">
        <v>432</v>
      </c>
      <c r="C111" s="363"/>
      <c r="D111" s="363"/>
      <c r="E111" s="363"/>
    </row>
    <row r="112" spans="1:5" ht="12" customHeight="1">
      <c r="A112" s="518" t="s">
        <v>79</v>
      </c>
      <c r="B112" s="371" t="s">
        <v>155</v>
      </c>
      <c r="C112" s="363"/>
      <c r="D112" s="363"/>
      <c r="E112" s="363"/>
    </row>
    <row r="113" spans="1:5" ht="12" customHeight="1">
      <c r="A113" s="518" t="s">
        <v>86</v>
      </c>
      <c r="B113" s="370" t="s">
        <v>433</v>
      </c>
      <c r="C113" s="363"/>
      <c r="D113" s="363"/>
      <c r="E113" s="363"/>
    </row>
    <row r="114" spans="1:5" ht="12" customHeight="1">
      <c r="A114" s="518" t="s">
        <v>88</v>
      </c>
      <c r="B114" s="386" t="s">
        <v>434</v>
      </c>
      <c r="C114" s="363"/>
      <c r="D114" s="363"/>
      <c r="E114" s="363"/>
    </row>
    <row r="115" spans="1:5" ht="12" customHeight="1">
      <c r="A115" s="518" t="s">
        <v>136</v>
      </c>
      <c r="B115" s="359" t="s">
        <v>421</v>
      </c>
      <c r="C115" s="363"/>
      <c r="D115" s="363"/>
      <c r="E115" s="363"/>
    </row>
    <row r="116" spans="1:5" ht="12" customHeight="1">
      <c r="A116" s="518" t="s">
        <v>137</v>
      </c>
      <c r="B116" s="359" t="s">
        <v>435</v>
      </c>
      <c r="C116" s="363"/>
      <c r="D116" s="363"/>
      <c r="E116" s="363"/>
    </row>
    <row r="117" spans="1:5" ht="12" customHeight="1">
      <c r="A117" s="518" t="s">
        <v>138</v>
      </c>
      <c r="B117" s="359" t="s">
        <v>436</v>
      </c>
      <c r="C117" s="363"/>
      <c r="D117" s="363"/>
      <c r="E117" s="363"/>
    </row>
    <row r="118" spans="1:5" ht="12" customHeight="1">
      <c r="A118" s="518" t="s">
        <v>437</v>
      </c>
      <c r="B118" s="359" t="s">
        <v>424</v>
      </c>
      <c r="C118" s="363"/>
      <c r="D118" s="363"/>
      <c r="E118" s="363"/>
    </row>
    <row r="119" spans="1:5" ht="12" customHeight="1">
      <c r="A119" s="518" t="s">
        <v>438</v>
      </c>
      <c r="B119" s="359" t="s">
        <v>439</v>
      </c>
      <c r="C119" s="363"/>
      <c r="D119" s="363"/>
      <c r="E119" s="363"/>
    </row>
    <row r="120" spans="1:5" ht="12" customHeight="1" thickBot="1">
      <c r="A120" s="527" t="s">
        <v>440</v>
      </c>
      <c r="B120" s="359" t="s">
        <v>441</v>
      </c>
      <c r="C120" s="365"/>
      <c r="D120" s="365"/>
      <c r="E120" s="365"/>
    </row>
    <row r="121" spans="1:5" ht="12" customHeight="1" thickBot="1">
      <c r="A121" s="352" t="s">
        <v>9</v>
      </c>
      <c r="B121" s="355" t="s">
        <v>442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8" t="s">
        <v>58</v>
      </c>
      <c r="B122" s="336" t="s">
        <v>45</v>
      </c>
      <c r="C122" s="500"/>
      <c r="D122" s="500"/>
      <c r="E122" s="500"/>
    </row>
    <row r="123" spans="1:5" ht="12" customHeight="1" thickBot="1">
      <c r="A123" s="520" t="s">
        <v>59</v>
      </c>
      <c r="B123" s="339" t="s">
        <v>46</v>
      </c>
      <c r="C123" s="501"/>
      <c r="D123" s="501"/>
      <c r="E123" s="501"/>
    </row>
    <row r="124" spans="1:5" ht="12" customHeight="1" thickBot="1">
      <c r="A124" s="352" t="s">
        <v>10</v>
      </c>
      <c r="B124" s="355" t="s">
        <v>443</v>
      </c>
      <c r="C124" s="373">
        <f>+C91+C107+C121</f>
        <v>13770000</v>
      </c>
      <c r="D124" s="373">
        <f>+D91+D107+D121</f>
        <v>13770000</v>
      </c>
      <c r="E124" s="373">
        <f>+E91+E107+E121</f>
        <v>13770000</v>
      </c>
    </row>
    <row r="125" spans="1:5" ht="12" customHeight="1" thickBot="1">
      <c r="A125" s="352" t="s">
        <v>11</v>
      </c>
      <c r="B125" s="355" t="s">
        <v>548</v>
      </c>
      <c r="C125" s="373">
        <f>+C126+C127+C128</f>
        <v>0</v>
      </c>
      <c r="D125" s="373">
        <f>+D126+D127+D128</f>
        <v>0</v>
      </c>
      <c r="E125" s="373">
        <f>+E126+E127+E128</f>
        <v>0</v>
      </c>
    </row>
    <row r="126" spans="1:5" ht="12" customHeight="1">
      <c r="A126" s="518" t="s">
        <v>62</v>
      </c>
      <c r="B126" s="336" t="s">
        <v>445</v>
      </c>
      <c r="C126" s="363"/>
      <c r="D126" s="363"/>
      <c r="E126" s="363"/>
    </row>
    <row r="127" spans="1:5" ht="12" customHeight="1">
      <c r="A127" s="518" t="s">
        <v>63</v>
      </c>
      <c r="B127" s="336" t="s">
        <v>446</v>
      </c>
      <c r="C127" s="363"/>
      <c r="D127" s="363"/>
      <c r="E127" s="363"/>
    </row>
    <row r="128" spans="1:5" ht="12" customHeight="1" thickBot="1">
      <c r="A128" s="527" t="s">
        <v>64</v>
      </c>
      <c r="B128" s="334" t="s">
        <v>447</v>
      </c>
      <c r="C128" s="363"/>
      <c r="D128" s="363"/>
      <c r="E128" s="363"/>
    </row>
    <row r="129" spans="1:5" ht="12" customHeight="1" thickBot="1">
      <c r="A129" s="352" t="s">
        <v>12</v>
      </c>
      <c r="B129" s="355" t="s">
        <v>448</v>
      </c>
      <c r="C129" s="373">
        <f>+C130+C131+C132+C133</f>
        <v>0</v>
      </c>
      <c r="D129" s="373">
        <f>+D130+D131+D132+D133</f>
        <v>0</v>
      </c>
      <c r="E129" s="373">
        <f>+E130+E131+E132+E133</f>
        <v>0</v>
      </c>
    </row>
    <row r="130" spans="1:5" ht="12" customHeight="1">
      <c r="A130" s="518" t="s">
        <v>65</v>
      </c>
      <c r="B130" s="336" t="s">
        <v>449</v>
      </c>
      <c r="C130" s="363"/>
      <c r="D130" s="363"/>
      <c r="E130" s="363"/>
    </row>
    <row r="131" spans="1:5" ht="12" customHeight="1">
      <c r="A131" s="518" t="s">
        <v>66</v>
      </c>
      <c r="B131" s="336" t="s">
        <v>450</v>
      </c>
      <c r="C131" s="363"/>
      <c r="D131" s="363"/>
      <c r="E131" s="363"/>
    </row>
    <row r="132" spans="1:5" ht="12" customHeight="1">
      <c r="A132" s="518" t="s">
        <v>345</v>
      </c>
      <c r="B132" s="336" t="s">
        <v>451</v>
      </c>
      <c r="C132" s="363"/>
      <c r="D132" s="363"/>
      <c r="E132" s="363"/>
    </row>
    <row r="133" spans="1:5" s="310" customFormat="1" ht="12" customHeight="1" thickBot="1">
      <c r="A133" s="527" t="s">
        <v>347</v>
      </c>
      <c r="B133" s="334" t="s">
        <v>452</v>
      </c>
      <c r="C133" s="363"/>
      <c r="D133" s="363"/>
      <c r="E133" s="363"/>
    </row>
    <row r="134" spans="1:11" ht="13.5" thickBot="1">
      <c r="A134" s="352" t="s">
        <v>13</v>
      </c>
      <c r="B134" s="355" t="s">
        <v>667</v>
      </c>
      <c r="C134" s="502">
        <f>+C135+C136+C138+C139+C137</f>
        <v>0</v>
      </c>
      <c r="D134" s="502">
        <f>+D135+D136+D138+D139+D137</f>
        <v>0</v>
      </c>
      <c r="E134" s="502">
        <f>+E135+E136+E138+E139+E137</f>
        <v>0</v>
      </c>
      <c r="K134" s="481"/>
    </row>
    <row r="135" spans="1:5" ht="12.75">
      <c r="A135" s="518" t="s">
        <v>67</v>
      </c>
      <c r="B135" s="336" t="s">
        <v>454</v>
      </c>
      <c r="C135" s="363"/>
      <c r="D135" s="363"/>
      <c r="E135" s="363"/>
    </row>
    <row r="136" spans="1:5" ht="12" customHeight="1">
      <c r="A136" s="518" t="s">
        <v>68</v>
      </c>
      <c r="B136" s="336" t="s">
        <v>455</v>
      </c>
      <c r="C136" s="363"/>
      <c r="D136" s="363"/>
      <c r="E136" s="363"/>
    </row>
    <row r="137" spans="1:5" ht="12" customHeight="1">
      <c r="A137" s="518" t="s">
        <v>354</v>
      </c>
      <c r="B137" s="336" t="s">
        <v>666</v>
      </c>
      <c r="C137" s="363"/>
      <c r="D137" s="363"/>
      <c r="E137" s="363"/>
    </row>
    <row r="138" spans="1:5" s="310" customFormat="1" ht="12" customHeight="1">
      <c r="A138" s="518" t="s">
        <v>356</v>
      </c>
      <c r="B138" s="336" t="s">
        <v>456</v>
      </c>
      <c r="C138" s="363"/>
      <c r="D138" s="363"/>
      <c r="E138" s="363"/>
    </row>
    <row r="139" spans="1:5" s="310" customFormat="1" ht="12" customHeight="1" thickBot="1">
      <c r="A139" s="527" t="s">
        <v>665</v>
      </c>
      <c r="B139" s="334" t="s">
        <v>457</v>
      </c>
      <c r="C139" s="363"/>
      <c r="D139" s="363"/>
      <c r="E139" s="363"/>
    </row>
    <row r="140" spans="1:5" s="310" customFormat="1" ht="12" customHeight="1" thickBot="1">
      <c r="A140" s="352" t="s">
        <v>14</v>
      </c>
      <c r="B140" s="355" t="s">
        <v>549</v>
      </c>
      <c r="C140" s="504">
        <f>+C141+C142+C143+C144</f>
        <v>0</v>
      </c>
      <c r="D140" s="504">
        <f>+D141+D142+D143+D144</f>
        <v>0</v>
      </c>
      <c r="E140" s="504">
        <f>+E141+E142+E143+E144</f>
        <v>0</v>
      </c>
    </row>
    <row r="141" spans="1:5" s="310" customFormat="1" ht="12" customHeight="1">
      <c r="A141" s="518" t="s">
        <v>129</v>
      </c>
      <c r="B141" s="336" t="s">
        <v>459</v>
      </c>
      <c r="C141" s="363"/>
      <c r="D141" s="363"/>
      <c r="E141" s="363"/>
    </row>
    <row r="142" spans="1:5" s="310" customFormat="1" ht="12" customHeight="1">
      <c r="A142" s="518" t="s">
        <v>130</v>
      </c>
      <c r="B142" s="336" t="s">
        <v>460</v>
      </c>
      <c r="C142" s="363"/>
      <c r="D142" s="363"/>
      <c r="E142" s="363"/>
    </row>
    <row r="143" spans="1:5" s="310" customFormat="1" ht="12" customHeight="1">
      <c r="A143" s="518" t="s">
        <v>154</v>
      </c>
      <c r="B143" s="336" t="s">
        <v>461</v>
      </c>
      <c r="C143" s="363"/>
      <c r="D143" s="363"/>
      <c r="E143" s="363"/>
    </row>
    <row r="144" spans="1:5" ht="12.75" customHeight="1" thickBot="1">
      <c r="A144" s="518" t="s">
        <v>362</v>
      </c>
      <c r="B144" s="336" t="s">
        <v>462</v>
      </c>
      <c r="C144" s="363"/>
      <c r="D144" s="363"/>
      <c r="E144" s="363"/>
    </row>
    <row r="145" spans="1:5" ht="12" customHeight="1" thickBot="1">
      <c r="A145" s="352" t="s">
        <v>15</v>
      </c>
      <c r="B145" s="355" t="s">
        <v>463</v>
      </c>
      <c r="C145" s="517">
        <f>+C125+C129+C134+C140</f>
        <v>0</v>
      </c>
      <c r="D145" s="517">
        <f>+D125+D129+D134+D140</f>
        <v>0</v>
      </c>
      <c r="E145" s="517">
        <f>+E125+E129+E134+E140</f>
        <v>0</v>
      </c>
    </row>
    <row r="146" spans="1:5" ht="15" customHeight="1" thickBot="1">
      <c r="A146" s="529" t="s">
        <v>16</v>
      </c>
      <c r="B146" s="375" t="s">
        <v>464</v>
      </c>
      <c r="C146" s="517">
        <f>+C124+C145</f>
        <v>13770000</v>
      </c>
      <c r="D146" s="517">
        <f>+D124+D145</f>
        <v>13770000</v>
      </c>
      <c r="E146" s="517">
        <f>+E124+E145</f>
        <v>13770000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7" t="s">
        <v>735</v>
      </c>
      <c r="B148" s="638"/>
      <c r="C148" s="91">
        <v>4</v>
      </c>
      <c r="D148" s="92">
        <v>4</v>
      </c>
      <c r="E148" s="89">
        <v>4</v>
      </c>
    </row>
    <row r="149" spans="1:5" ht="14.25" customHeight="1" thickBot="1">
      <c r="A149" s="639" t="s">
        <v>734</v>
      </c>
      <c r="B149" s="640"/>
      <c r="C149" s="91"/>
      <c r="D149" s="92"/>
      <c r="E149" s="89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09" customWidth="1"/>
    <col min="2" max="2" width="65.375" style="510" customWidth="1"/>
    <col min="3" max="5" width="17.00390625" style="511" customWidth="1"/>
    <col min="6" max="16384" width="9.375" style="33" customWidth="1"/>
  </cols>
  <sheetData>
    <row r="1" spans="1:5" s="485" customFormat="1" ht="16.5" customHeight="1" thickBot="1">
      <c r="A1" s="484"/>
      <c r="B1" s="486"/>
      <c r="C1" s="531"/>
      <c r="D1" s="496"/>
      <c r="E1" s="619" t="str">
        <f>+CONCATENATE("6.4. melléklet a 7/",LEFT(ÖSSZEFÜGGÉSEK!A4,4)+1,". (IV. 28.) önkormányzati rendelethez")</f>
        <v>6.4. melléklet a 7/2017. (IV. 28.) önkormányzati rendelethez</v>
      </c>
    </row>
    <row r="2" spans="1:5" s="532" customFormat="1" ht="15.75" customHeight="1">
      <c r="A2" s="512" t="s">
        <v>50</v>
      </c>
      <c r="B2" s="747" t="s">
        <v>746</v>
      </c>
      <c r="C2" s="748"/>
      <c r="D2" s="749"/>
      <c r="E2" s="505" t="s">
        <v>41</v>
      </c>
    </row>
    <row r="3" spans="1:5" s="532" customFormat="1" ht="24.75" thickBot="1">
      <c r="A3" s="530" t="s">
        <v>544</v>
      </c>
      <c r="B3" s="750" t="s">
        <v>670</v>
      </c>
      <c r="C3" s="751"/>
      <c r="D3" s="752"/>
      <c r="E3" s="480" t="s">
        <v>49</v>
      </c>
    </row>
    <row r="4" spans="1:5" s="533" customFormat="1" ht="15.75" customHeight="1" thickBot="1">
      <c r="A4" s="487"/>
      <c r="B4" s="487"/>
      <c r="C4" s="488"/>
      <c r="D4" s="488"/>
      <c r="E4" s="488" t="str">
        <f>'6.3. sz. mell'!E4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34" customFormat="1" ht="12" customHeight="1" thickBot="1">
      <c r="A8" s="352" t="s">
        <v>7</v>
      </c>
      <c r="B8" s="348" t="s">
        <v>303</v>
      </c>
      <c r="C8" s="379">
        <f>SUM(C9:C14)</f>
        <v>38496863</v>
      </c>
      <c r="D8" s="379">
        <f>SUM(D9:D14)</f>
        <v>38496863</v>
      </c>
      <c r="E8" s="362">
        <f>SUM(E9:E14)</f>
        <v>38496583</v>
      </c>
    </row>
    <row r="9" spans="1:5" s="508" customFormat="1" ht="12" customHeight="1">
      <c r="A9" s="518" t="s">
        <v>69</v>
      </c>
      <c r="B9" s="390" t="s">
        <v>304</v>
      </c>
      <c r="C9" s="381">
        <v>38496863</v>
      </c>
      <c r="D9" s="381">
        <v>38496863</v>
      </c>
      <c r="E9" s="364">
        <v>38496583</v>
      </c>
    </row>
    <row r="10" spans="1:5" s="535" customFormat="1" ht="12" customHeight="1">
      <c r="A10" s="519" t="s">
        <v>70</v>
      </c>
      <c r="B10" s="391" t="s">
        <v>305</v>
      </c>
      <c r="C10" s="380"/>
      <c r="D10" s="380"/>
      <c r="E10" s="363"/>
    </row>
    <row r="11" spans="1:5" s="535" customFormat="1" ht="12" customHeight="1">
      <c r="A11" s="519" t="s">
        <v>71</v>
      </c>
      <c r="B11" s="391" t="s">
        <v>306</v>
      </c>
      <c r="C11" s="380"/>
      <c r="D11" s="380"/>
      <c r="E11" s="363"/>
    </row>
    <row r="12" spans="1:5" s="535" customFormat="1" ht="12" customHeight="1">
      <c r="A12" s="519" t="s">
        <v>72</v>
      </c>
      <c r="B12" s="391" t="s">
        <v>307</v>
      </c>
      <c r="C12" s="380"/>
      <c r="D12" s="380"/>
      <c r="E12" s="363"/>
    </row>
    <row r="13" spans="1:5" s="535" customFormat="1" ht="12" customHeight="1">
      <c r="A13" s="519" t="s">
        <v>105</v>
      </c>
      <c r="B13" s="391" t="s">
        <v>308</v>
      </c>
      <c r="C13" s="380"/>
      <c r="D13" s="380"/>
      <c r="E13" s="363"/>
    </row>
    <row r="14" spans="1:5" s="508" customFormat="1" ht="12" customHeight="1" thickBot="1">
      <c r="A14" s="520" t="s">
        <v>73</v>
      </c>
      <c r="B14" s="392" t="s">
        <v>309</v>
      </c>
      <c r="C14" s="382"/>
      <c r="D14" s="382"/>
      <c r="E14" s="365"/>
    </row>
    <row r="15" spans="1:5" s="508" customFormat="1" ht="12" customHeight="1" thickBot="1">
      <c r="A15" s="352" t="s">
        <v>8</v>
      </c>
      <c r="B15" s="369" t="s">
        <v>310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8" customFormat="1" ht="12" customHeight="1">
      <c r="A16" s="518" t="s">
        <v>75</v>
      </c>
      <c r="B16" s="390" t="s">
        <v>311</v>
      </c>
      <c r="C16" s="381"/>
      <c r="D16" s="381"/>
      <c r="E16" s="364"/>
    </row>
    <row r="17" spans="1:5" s="508" customFormat="1" ht="12" customHeight="1">
      <c r="A17" s="519" t="s">
        <v>76</v>
      </c>
      <c r="B17" s="391" t="s">
        <v>312</v>
      </c>
      <c r="C17" s="380"/>
      <c r="D17" s="380"/>
      <c r="E17" s="363"/>
    </row>
    <row r="18" spans="1:5" s="508" customFormat="1" ht="12" customHeight="1">
      <c r="A18" s="519" t="s">
        <v>77</v>
      </c>
      <c r="B18" s="391" t="s">
        <v>313</v>
      </c>
      <c r="C18" s="380"/>
      <c r="D18" s="380"/>
      <c r="E18" s="363"/>
    </row>
    <row r="19" spans="1:5" s="508" customFormat="1" ht="12" customHeight="1">
      <c r="A19" s="519" t="s">
        <v>78</v>
      </c>
      <c r="B19" s="391" t="s">
        <v>314</v>
      </c>
      <c r="C19" s="380"/>
      <c r="D19" s="380"/>
      <c r="E19" s="363"/>
    </row>
    <row r="20" spans="1:5" s="508" customFormat="1" ht="12" customHeight="1">
      <c r="A20" s="519" t="s">
        <v>79</v>
      </c>
      <c r="B20" s="391" t="s">
        <v>315</v>
      </c>
      <c r="C20" s="380"/>
      <c r="D20" s="380"/>
      <c r="E20" s="363"/>
    </row>
    <row r="21" spans="1:5" s="535" customFormat="1" ht="12" customHeight="1" thickBot="1">
      <c r="A21" s="520" t="s">
        <v>86</v>
      </c>
      <c r="B21" s="392" t="s">
        <v>316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317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35" customFormat="1" ht="12" customHeight="1">
      <c r="A23" s="518" t="s">
        <v>58</v>
      </c>
      <c r="B23" s="390" t="s">
        <v>318</v>
      </c>
      <c r="C23" s="381"/>
      <c r="D23" s="381"/>
      <c r="E23" s="364"/>
    </row>
    <row r="24" spans="1:5" s="508" customFormat="1" ht="12" customHeight="1">
      <c r="A24" s="519" t="s">
        <v>59</v>
      </c>
      <c r="B24" s="391" t="s">
        <v>319</v>
      </c>
      <c r="C24" s="380"/>
      <c r="D24" s="380"/>
      <c r="E24" s="363"/>
    </row>
    <row r="25" spans="1:5" s="535" customFormat="1" ht="12" customHeight="1">
      <c r="A25" s="519" t="s">
        <v>60</v>
      </c>
      <c r="B25" s="391" t="s">
        <v>320</v>
      </c>
      <c r="C25" s="380"/>
      <c r="D25" s="380"/>
      <c r="E25" s="363"/>
    </row>
    <row r="26" spans="1:5" s="535" customFormat="1" ht="12" customHeight="1">
      <c r="A26" s="519" t="s">
        <v>61</v>
      </c>
      <c r="B26" s="391" t="s">
        <v>321</v>
      </c>
      <c r="C26" s="380"/>
      <c r="D26" s="380"/>
      <c r="E26" s="363"/>
    </row>
    <row r="27" spans="1:5" s="535" customFormat="1" ht="12" customHeight="1">
      <c r="A27" s="519" t="s">
        <v>119</v>
      </c>
      <c r="B27" s="391" t="s">
        <v>322</v>
      </c>
      <c r="C27" s="380"/>
      <c r="D27" s="380"/>
      <c r="E27" s="363"/>
    </row>
    <row r="28" spans="1:5" s="535" customFormat="1" ht="12" customHeight="1" thickBot="1">
      <c r="A28" s="520" t="s">
        <v>120</v>
      </c>
      <c r="B28" s="392" t="s">
        <v>323</v>
      </c>
      <c r="C28" s="382"/>
      <c r="D28" s="382"/>
      <c r="E28" s="365"/>
    </row>
    <row r="29" spans="1:5" s="535" customFormat="1" ht="12" customHeight="1" thickBot="1">
      <c r="A29" s="352" t="s">
        <v>121</v>
      </c>
      <c r="B29" s="348" t="s">
        <v>724</v>
      </c>
      <c r="C29" s="385">
        <f>SUM(C30:C35)</f>
        <v>0</v>
      </c>
      <c r="D29" s="385">
        <f>SUM(D30:D35)</f>
        <v>0</v>
      </c>
      <c r="E29" s="398">
        <f>SUM(E30:E35)</f>
        <v>0</v>
      </c>
    </row>
    <row r="30" spans="1:5" s="535" customFormat="1" ht="12" customHeight="1">
      <c r="A30" s="518" t="s">
        <v>324</v>
      </c>
      <c r="B30" s="390" t="s">
        <v>728</v>
      </c>
      <c r="C30" s="381"/>
      <c r="D30" s="381">
        <f>+D31+D32</f>
        <v>0</v>
      </c>
      <c r="E30" s="364">
        <f>+E31+E32</f>
        <v>0</v>
      </c>
    </row>
    <row r="31" spans="1:5" s="535" customFormat="1" ht="12" customHeight="1">
      <c r="A31" s="519" t="s">
        <v>325</v>
      </c>
      <c r="B31" s="391" t="s">
        <v>729</v>
      </c>
      <c r="C31" s="380"/>
      <c r="D31" s="380"/>
      <c r="E31" s="363"/>
    </row>
    <row r="32" spans="1:5" s="535" customFormat="1" ht="12" customHeight="1">
      <c r="A32" s="519" t="s">
        <v>326</v>
      </c>
      <c r="B32" s="391" t="s">
        <v>730</v>
      </c>
      <c r="C32" s="380"/>
      <c r="D32" s="380"/>
      <c r="E32" s="363"/>
    </row>
    <row r="33" spans="1:5" s="535" customFormat="1" ht="12" customHeight="1">
      <c r="A33" s="519" t="s">
        <v>725</v>
      </c>
      <c r="B33" s="391" t="s">
        <v>731</v>
      </c>
      <c r="C33" s="380"/>
      <c r="D33" s="380"/>
      <c r="E33" s="363"/>
    </row>
    <row r="34" spans="1:5" s="535" customFormat="1" ht="12" customHeight="1">
      <c r="A34" s="519" t="s">
        <v>726</v>
      </c>
      <c r="B34" s="391" t="s">
        <v>327</v>
      </c>
      <c r="C34" s="380"/>
      <c r="D34" s="380"/>
      <c r="E34" s="363"/>
    </row>
    <row r="35" spans="1:5" s="535" customFormat="1" ht="12" customHeight="1" thickBot="1">
      <c r="A35" s="520" t="s">
        <v>727</v>
      </c>
      <c r="B35" s="371" t="s">
        <v>328</v>
      </c>
      <c r="C35" s="382"/>
      <c r="D35" s="382"/>
      <c r="E35" s="365"/>
    </row>
    <row r="36" spans="1:5" s="535" customFormat="1" ht="12" customHeight="1" thickBot="1">
      <c r="A36" s="352" t="s">
        <v>11</v>
      </c>
      <c r="B36" s="348" t="s">
        <v>329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35" customFormat="1" ht="12" customHeight="1">
      <c r="A37" s="518" t="s">
        <v>62</v>
      </c>
      <c r="B37" s="390" t="s">
        <v>330</v>
      </c>
      <c r="C37" s="381"/>
      <c r="D37" s="381"/>
      <c r="E37" s="364"/>
    </row>
    <row r="38" spans="1:5" s="535" customFormat="1" ht="12" customHeight="1">
      <c r="A38" s="519" t="s">
        <v>63</v>
      </c>
      <c r="B38" s="391" t="s">
        <v>331</v>
      </c>
      <c r="C38" s="380"/>
      <c r="D38" s="380"/>
      <c r="E38" s="363"/>
    </row>
    <row r="39" spans="1:5" s="535" customFormat="1" ht="12" customHeight="1">
      <c r="A39" s="519" t="s">
        <v>64</v>
      </c>
      <c r="B39" s="391" t="s">
        <v>332</v>
      </c>
      <c r="C39" s="380"/>
      <c r="D39" s="380"/>
      <c r="E39" s="363"/>
    </row>
    <row r="40" spans="1:5" s="535" customFormat="1" ht="12" customHeight="1">
      <c r="A40" s="519" t="s">
        <v>123</v>
      </c>
      <c r="B40" s="391" t="s">
        <v>333</v>
      </c>
      <c r="C40" s="380"/>
      <c r="D40" s="380"/>
      <c r="E40" s="363"/>
    </row>
    <row r="41" spans="1:5" s="535" customFormat="1" ht="12" customHeight="1">
      <c r="A41" s="519" t="s">
        <v>124</v>
      </c>
      <c r="B41" s="391" t="s">
        <v>334</v>
      </c>
      <c r="C41" s="380"/>
      <c r="D41" s="380"/>
      <c r="E41" s="363"/>
    </row>
    <row r="42" spans="1:5" s="535" customFormat="1" ht="12" customHeight="1">
      <c r="A42" s="519" t="s">
        <v>125</v>
      </c>
      <c r="B42" s="391" t="s">
        <v>335</v>
      </c>
      <c r="C42" s="380"/>
      <c r="D42" s="380"/>
      <c r="E42" s="363"/>
    </row>
    <row r="43" spans="1:5" s="535" customFormat="1" ht="12" customHeight="1">
      <c r="A43" s="519" t="s">
        <v>126</v>
      </c>
      <c r="B43" s="391" t="s">
        <v>336</v>
      </c>
      <c r="C43" s="380"/>
      <c r="D43" s="380"/>
      <c r="E43" s="363"/>
    </row>
    <row r="44" spans="1:5" s="535" customFormat="1" ht="12" customHeight="1">
      <c r="A44" s="519" t="s">
        <v>127</v>
      </c>
      <c r="B44" s="391" t="s">
        <v>337</v>
      </c>
      <c r="C44" s="380"/>
      <c r="D44" s="380"/>
      <c r="E44" s="363"/>
    </row>
    <row r="45" spans="1:5" s="535" customFormat="1" ht="12" customHeight="1">
      <c r="A45" s="519" t="s">
        <v>338</v>
      </c>
      <c r="B45" s="391" t="s">
        <v>339</v>
      </c>
      <c r="C45" s="383"/>
      <c r="D45" s="383"/>
      <c r="E45" s="366"/>
    </row>
    <row r="46" spans="1:5" s="508" customFormat="1" ht="12" customHeight="1" thickBot="1">
      <c r="A46" s="520" t="s">
        <v>340</v>
      </c>
      <c r="B46" s="392" t="s">
        <v>341</v>
      </c>
      <c r="C46" s="384"/>
      <c r="D46" s="384"/>
      <c r="E46" s="367"/>
    </row>
    <row r="47" spans="1:5" s="535" customFormat="1" ht="12" customHeight="1" thickBot="1">
      <c r="A47" s="352" t="s">
        <v>12</v>
      </c>
      <c r="B47" s="348" t="s">
        <v>342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35" customFormat="1" ht="12" customHeight="1">
      <c r="A48" s="518" t="s">
        <v>65</v>
      </c>
      <c r="B48" s="390" t="s">
        <v>343</v>
      </c>
      <c r="C48" s="400"/>
      <c r="D48" s="400"/>
      <c r="E48" s="368"/>
    </row>
    <row r="49" spans="1:5" s="535" customFormat="1" ht="12" customHeight="1">
      <c r="A49" s="519" t="s">
        <v>66</v>
      </c>
      <c r="B49" s="391" t="s">
        <v>344</v>
      </c>
      <c r="C49" s="383"/>
      <c r="D49" s="383"/>
      <c r="E49" s="366"/>
    </row>
    <row r="50" spans="1:5" s="535" customFormat="1" ht="12" customHeight="1">
      <c r="A50" s="519" t="s">
        <v>345</v>
      </c>
      <c r="B50" s="391" t="s">
        <v>346</v>
      </c>
      <c r="C50" s="383"/>
      <c r="D50" s="383"/>
      <c r="E50" s="366"/>
    </row>
    <row r="51" spans="1:5" s="535" customFormat="1" ht="12" customHeight="1">
      <c r="A51" s="519" t="s">
        <v>347</v>
      </c>
      <c r="B51" s="391" t="s">
        <v>348</v>
      </c>
      <c r="C51" s="383"/>
      <c r="D51" s="383"/>
      <c r="E51" s="366"/>
    </row>
    <row r="52" spans="1:5" s="535" customFormat="1" ht="12" customHeight="1" thickBot="1">
      <c r="A52" s="520" t="s">
        <v>349</v>
      </c>
      <c r="B52" s="392" t="s">
        <v>350</v>
      </c>
      <c r="C52" s="384"/>
      <c r="D52" s="384"/>
      <c r="E52" s="367"/>
    </row>
    <row r="53" spans="1:5" s="535" customFormat="1" ht="12" customHeight="1" thickBot="1">
      <c r="A53" s="352" t="s">
        <v>128</v>
      </c>
      <c r="B53" s="348" t="s">
        <v>351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67</v>
      </c>
      <c r="B54" s="390" t="s">
        <v>352</v>
      </c>
      <c r="C54" s="381"/>
      <c r="D54" s="381"/>
      <c r="E54" s="364"/>
    </row>
    <row r="55" spans="1:5" s="508" customFormat="1" ht="12" customHeight="1">
      <c r="A55" s="519" t="s">
        <v>68</v>
      </c>
      <c r="B55" s="391" t="s">
        <v>353</v>
      </c>
      <c r="C55" s="380"/>
      <c r="D55" s="380"/>
      <c r="E55" s="363"/>
    </row>
    <row r="56" spans="1:5" s="508" customFormat="1" ht="12" customHeight="1">
      <c r="A56" s="519" t="s">
        <v>354</v>
      </c>
      <c r="B56" s="391" t="s">
        <v>355</v>
      </c>
      <c r="C56" s="380"/>
      <c r="D56" s="380"/>
      <c r="E56" s="363"/>
    </row>
    <row r="57" spans="1:5" s="508" customFormat="1" ht="12" customHeight="1" thickBot="1">
      <c r="A57" s="520" t="s">
        <v>356</v>
      </c>
      <c r="B57" s="392" t="s">
        <v>357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358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129</v>
      </c>
      <c r="B59" s="390" t="s">
        <v>359</v>
      </c>
      <c r="C59" s="383"/>
      <c r="D59" s="383"/>
      <c r="E59" s="366"/>
    </row>
    <row r="60" spans="1:5" s="535" customFormat="1" ht="12" customHeight="1">
      <c r="A60" s="519" t="s">
        <v>130</v>
      </c>
      <c r="B60" s="391" t="s">
        <v>547</v>
      </c>
      <c r="C60" s="383"/>
      <c r="D60" s="383"/>
      <c r="E60" s="366"/>
    </row>
    <row r="61" spans="1:5" s="535" customFormat="1" ht="12" customHeight="1">
      <c r="A61" s="519" t="s">
        <v>154</v>
      </c>
      <c r="B61" s="391" t="s">
        <v>361</v>
      </c>
      <c r="C61" s="383"/>
      <c r="D61" s="383"/>
      <c r="E61" s="366"/>
    </row>
    <row r="62" spans="1:5" s="535" customFormat="1" ht="12" customHeight="1" thickBot="1">
      <c r="A62" s="520" t="s">
        <v>362</v>
      </c>
      <c r="B62" s="392" t="s">
        <v>363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364</v>
      </c>
      <c r="C63" s="385">
        <f>+C8+C15+C22+C29+C36+C47+C53+C58</f>
        <v>38496863</v>
      </c>
      <c r="D63" s="385">
        <f>+D8+D15+D22+D29+D36+D47+D53+D58</f>
        <v>38496863</v>
      </c>
      <c r="E63" s="398">
        <f>+E8+E15+E22+E29+E36+E47+E53+E58</f>
        <v>38496583</v>
      </c>
    </row>
    <row r="64" spans="1:5" s="535" customFormat="1" ht="12" customHeight="1" thickBot="1">
      <c r="A64" s="521" t="s">
        <v>545</v>
      </c>
      <c r="B64" s="369" t="s">
        <v>366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367</v>
      </c>
      <c r="B65" s="390" t="s">
        <v>368</v>
      </c>
      <c r="C65" s="383"/>
      <c r="D65" s="383"/>
      <c r="E65" s="366"/>
    </row>
    <row r="66" spans="1:5" s="535" customFormat="1" ht="12" customHeight="1">
      <c r="A66" s="519" t="s">
        <v>369</v>
      </c>
      <c r="B66" s="391" t="s">
        <v>370</v>
      </c>
      <c r="C66" s="383"/>
      <c r="D66" s="383"/>
      <c r="E66" s="366"/>
    </row>
    <row r="67" spans="1:5" s="535" customFormat="1" ht="12" customHeight="1" thickBot="1">
      <c r="A67" s="520" t="s">
        <v>371</v>
      </c>
      <c r="B67" s="514" t="s">
        <v>372</v>
      </c>
      <c r="C67" s="383"/>
      <c r="D67" s="383"/>
      <c r="E67" s="366"/>
    </row>
    <row r="68" spans="1:5" s="535" customFormat="1" ht="12" customHeight="1" thickBot="1">
      <c r="A68" s="521" t="s">
        <v>373</v>
      </c>
      <c r="B68" s="369" t="s">
        <v>374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106</v>
      </c>
      <c r="B69" s="390" t="s">
        <v>375</v>
      </c>
      <c r="C69" s="383"/>
      <c r="D69" s="383"/>
      <c r="E69" s="366"/>
    </row>
    <row r="70" spans="1:5" s="535" customFormat="1" ht="12" customHeight="1">
      <c r="A70" s="519" t="s">
        <v>107</v>
      </c>
      <c r="B70" s="391" t="s">
        <v>376</v>
      </c>
      <c r="C70" s="383"/>
      <c r="D70" s="383"/>
      <c r="E70" s="366"/>
    </row>
    <row r="71" spans="1:5" s="535" customFormat="1" ht="12" customHeight="1">
      <c r="A71" s="519" t="s">
        <v>377</v>
      </c>
      <c r="B71" s="391" t="s">
        <v>378</v>
      </c>
      <c r="C71" s="383"/>
      <c r="D71" s="383"/>
      <c r="E71" s="366"/>
    </row>
    <row r="72" spans="1:5" s="535" customFormat="1" ht="12" customHeight="1" thickBot="1">
      <c r="A72" s="520" t="s">
        <v>379</v>
      </c>
      <c r="B72" s="392" t="s">
        <v>380</v>
      </c>
      <c r="C72" s="383"/>
      <c r="D72" s="383"/>
      <c r="E72" s="366"/>
    </row>
    <row r="73" spans="1:5" s="535" customFormat="1" ht="12" customHeight="1" thickBot="1">
      <c r="A73" s="521" t="s">
        <v>381</v>
      </c>
      <c r="B73" s="369" t="s">
        <v>382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35" customFormat="1" ht="12" customHeight="1">
      <c r="A74" s="518" t="s">
        <v>383</v>
      </c>
      <c r="B74" s="390" t="s">
        <v>384</v>
      </c>
      <c r="C74" s="383"/>
      <c r="D74" s="383"/>
      <c r="E74" s="366"/>
    </row>
    <row r="75" spans="1:5" s="535" customFormat="1" ht="12" customHeight="1" thickBot="1">
      <c r="A75" s="520" t="s">
        <v>385</v>
      </c>
      <c r="B75" s="392" t="s">
        <v>386</v>
      </c>
      <c r="C75" s="383"/>
      <c r="D75" s="383"/>
      <c r="E75" s="366"/>
    </row>
    <row r="76" spans="1:5" s="535" customFormat="1" ht="12" customHeight="1" thickBot="1">
      <c r="A76" s="521" t="s">
        <v>387</v>
      </c>
      <c r="B76" s="369" t="s">
        <v>388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35" customFormat="1" ht="12" customHeight="1">
      <c r="A77" s="518" t="s">
        <v>389</v>
      </c>
      <c r="B77" s="390" t="s">
        <v>390</v>
      </c>
      <c r="C77" s="383"/>
      <c r="D77" s="383"/>
      <c r="E77" s="366"/>
    </row>
    <row r="78" spans="1:5" s="535" customFormat="1" ht="12" customHeight="1">
      <c r="A78" s="519" t="s">
        <v>391</v>
      </c>
      <c r="B78" s="391" t="s">
        <v>392</v>
      </c>
      <c r="C78" s="383"/>
      <c r="D78" s="383"/>
      <c r="E78" s="366"/>
    </row>
    <row r="79" spans="1:5" s="535" customFormat="1" ht="12" customHeight="1" thickBot="1">
      <c r="A79" s="520" t="s">
        <v>393</v>
      </c>
      <c r="B79" s="392" t="s">
        <v>394</v>
      </c>
      <c r="C79" s="383"/>
      <c r="D79" s="383"/>
      <c r="E79" s="366"/>
    </row>
    <row r="80" spans="1:5" s="535" customFormat="1" ht="12" customHeight="1" thickBot="1">
      <c r="A80" s="521" t="s">
        <v>395</v>
      </c>
      <c r="B80" s="369" t="s">
        <v>396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397</v>
      </c>
      <c r="B81" s="390" t="s">
        <v>398</v>
      </c>
      <c r="C81" s="383"/>
      <c r="D81" s="383"/>
      <c r="E81" s="366"/>
    </row>
    <row r="82" spans="1:5" s="535" customFormat="1" ht="12" customHeight="1">
      <c r="A82" s="523" t="s">
        <v>399</v>
      </c>
      <c r="B82" s="391" t="s">
        <v>400</v>
      </c>
      <c r="C82" s="383"/>
      <c r="D82" s="383"/>
      <c r="E82" s="366"/>
    </row>
    <row r="83" spans="1:5" s="535" customFormat="1" ht="12" customHeight="1">
      <c r="A83" s="523" t="s">
        <v>401</v>
      </c>
      <c r="B83" s="391" t="s">
        <v>402</v>
      </c>
      <c r="C83" s="383"/>
      <c r="D83" s="383"/>
      <c r="E83" s="366"/>
    </row>
    <row r="84" spans="1:5" s="535" customFormat="1" ht="12" customHeight="1" thickBot="1">
      <c r="A84" s="524" t="s">
        <v>403</v>
      </c>
      <c r="B84" s="392" t="s">
        <v>404</v>
      </c>
      <c r="C84" s="383"/>
      <c r="D84" s="383"/>
      <c r="E84" s="366"/>
    </row>
    <row r="85" spans="1:5" s="535" customFormat="1" ht="12" customHeight="1" thickBot="1">
      <c r="A85" s="521" t="s">
        <v>405</v>
      </c>
      <c r="B85" s="369" t="s">
        <v>406</v>
      </c>
      <c r="C85" s="404"/>
      <c r="D85" s="404"/>
      <c r="E85" s="405"/>
    </row>
    <row r="86" spans="1:5" s="535" customFormat="1" ht="12" customHeight="1" thickBot="1">
      <c r="A86" s="521" t="s">
        <v>407</v>
      </c>
      <c r="B86" s="515" t="s">
        <v>408</v>
      </c>
      <c r="C86" s="385">
        <f>+C64+C68+C73+C76+C80+C85</f>
        <v>0</v>
      </c>
      <c r="D86" s="385">
        <f>+D64+D68+D73+D76+D80+D85</f>
        <v>0</v>
      </c>
      <c r="E86" s="398">
        <f>+E64+E68+E73+E76+E80+E85</f>
        <v>0</v>
      </c>
    </row>
    <row r="87" spans="1:5" s="535" customFormat="1" ht="12" customHeight="1" thickBot="1">
      <c r="A87" s="525" t="s">
        <v>409</v>
      </c>
      <c r="B87" s="516" t="s">
        <v>546</v>
      </c>
      <c r="C87" s="385">
        <f>+C63+C86</f>
        <v>38496863</v>
      </c>
      <c r="D87" s="385">
        <f>+D63+D86</f>
        <v>38496863</v>
      </c>
      <c r="E87" s="398">
        <f>+E63+E86</f>
        <v>38496583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44" t="s">
        <v>43</v>
      </c>
      <c r="B90" s="745"/>
      <c r="C90" s="745"/>
      <c r="D90" s="745"/>
      <c r="E90" s="746"/>
    </row>
    <row r="91" spans="1:5" s="310" customFormat="1" ht="12" customHeight="1" thickBot="1">
      <c r="A91" s="513" t="s">
        <v>7</v>
      </c>
      <c r="B91" s="351" t="s">
        <v>417</v>
      </c>
      <c r="C91" s="378">
        <f>SUM(C92:C96)</f>
        <v>38496863</v>
      </c>
      <c r="D91" s="378">
        <f>SUM(D92:D96)</f>
        <v>38496863</v>
      </c>
      <c r="E91" s="333">
        <f>SUM(E92:E96)</f>
        <v>38496863</v>
      </c>
    </row>
    <row r="92" spans="1:5" ht="12" customHeight="1">
      <c r="A92" s="526" t="s">
        <v>69</v>
      </c>
      <c r="B92" s="337" t="s">
        <v>37</v>
      </c>
      <c r="C92" s="78">
        <v>20000360</v>
      </c>
      <c r="D92" s="78">
        <v>20000360</v>
      </c>
      <c r="E92" s="332">
        <v>20000360</v>
      </c>
    </row>
    <row r="93" spans="1:5" ht="12" customHeight="1">
      <c r="A93" s="519" t="s">
        <v>70</v>
      </c>
      <c r="B93" s="335" t="s">
        <v>131</v>
      </c>
      <c r="C93" s="380">
        <v>4631898</v>
      </c>
      <c r="D93" s="380">
        <v>4631898</v>
      </c>
      <c r="E93" s="363">
        <v>4631898</v>
      </c>
    </row>
    <row r="94" spans="1:5" ht="12" customHeight="1">
      <c r="A94" s="519" t="s">
        <v>71</v>
      </c>
      <c r="B94" s="335" t="s">
        <v>98</v>
      </c>
      <c r="C94" s="382">
        <v>10323498</v>
      </c>
      <c r="D94" s="382">
        <v>10323498</v>
      </c>
      <c r="E94" s="365">
        <v>10323498</v>
      </c>
    </row>
    <row r="95" spans="1:5" ht="12" customHeight="1">
      <c r="A95" s="519" t="s">
        <v>72</v>
      </c>
      <c r="B95" s="338" t="s">
        <v>132</v>
      </c>
      <c r="C95" s="382"/>
      <c r="D95" s="382"/>
      <c r="E95" s="365"/>
    </row>
    <row r="96" spans="1:5" ht="12" customHeight="1">
      <c r="A96" s="519" t="s">
        <v>81</v>
      </c>
      <c r="B96" s="346" t="s">
        <v>133</v>
      </c>
      <c r="C96" s="382">
        <v>3541107</v>
      </c>
      <c r="D96" s="382">
        <v>3541107</v>
      </c>
      <c r="E96" s="365">
        <v>3541107</v>
      </c>
    </row>
    <row r="97" spans="1:5" ht="12" customHeight="1">
      <c r="A97" s="519" t="s">
        <v>73</v>
      </c>
      <c r="B97" s="335" t="s">
        <v>418</v>
      </c>
      <c r="C97" s="382"/>
      <c r="D97" s="382"/>
      <c r="E97" s="365"/>
    </row>
    <row r="98" spans="1:5" ht="12" customHeight="1">
      <c r="A98" s="519" t="s">
        <v>74</v>
      </c>
      <c r="B98" s="358" t="s">
        <v>419</v>
      </c>
      <c r="C98" s="382"/>
      <c r="D98" s="382"/>
      <c r="E98" s="365"/>
    </row>
    <row r="99" spans="1:5" ht="12" customHeight="1">
      <c r="A99" s="519" t="s">
        <v>82</v>
      </c>
      <c r="B99" s="359" t="s">
        <v>420</v>
      </c>
      <c r="C99" s="382"/>
      <c r="D99" s="382"/>
      <c r="E99" s="365"/>
    </row>
    <row r="100" spans="1:5" ht="12" customHeight="1">
      <c r="A100" s="519" t="s">
        <v>83</v>
      </c>
      <c r="B100" s="359" t="s">
        <v>421</v>
      </c>
      <c r="C100" s="382"/>
      <c r="D100" s="382"/>
      <c r="E100" s="365"/>
    </row>
    <row r="101" spans="1:5" ht="12" customHeight="1">
      <c r="A101" s="519" t="s">
        <v>84</v>
      </c>
      <c r="B101" s="358" t="s">
        <v>422</v>
      </c>
      <c r="C101" s="382"/>
      <c r="D101" s="382"/>
      <c r="E101" s="365"/>
    </row>
    <row r="102" spans="1:5" ht="12" customHeight="1">
      <c r="A102" s="519" t="s">
        <v>85</v>
      </c>
      <c r="B102" s="358" t="s">
        <v>423</v>
      </c>
      <c r="C102" s="382"/>
      <c r="D102" s="382"/>
      <c r="E102" s="365"/>
    </row>
    <row r="103" spans="1:5" ht="12" customHeight="1">
      <c r="A103" s="519" t="s">
        <v>87</v>
      </c>
      <c r="B103" s="359" t="s">
        <v>424</v>
      </c>
      <c r="C103" s="382"/>
      <c r="D103" s="382"/>
      <c r="E103" s="365"/>
    </row>
    <row r="104" spans="1:5" ht="12" customHeight="1">
      <c r="A104" s="527" t="s">
        <v>134</v>
      </c>
      <c r="B104" s="360" t="s">
        <v>425</v>
      </c>
      <c r="C104" s="382"/>
      <c r="D104" s="382"/>
      <c r="E104" s="365"/>
    </row>
    <row r="105" spans="1:5" ht="12" customHeight="1">
      <c r="A105" s="519" t="s">
        <v>426</v>
      </c>
      <c r="B105" s="360" t="s">
        <v>427</v>
      </c>
      <c r="C105" s="382"/>
      <c r="D105" s="382"/>
      <c r="E105" s="365"/>
    </row>
    <row r="106" spans="1:5" s="310" customFormat="1" ht="12" customHeight="1" thickBot="1">
      <c r="A106" s="528" t="s">
        <v>428</v>
      </c>
      <c r="B106" s="361" t="s">
        <v>429</v>
      </c>
      <c r="C106" s="79">
        <v>3541107</v>
      </c>
      <c r="D106" s="79">
        <v>3541107</v>
      </c>
      <c r="E106" s="326">
        <v>3541107</v>
      </c>
    </row>
    <row r="107" spans="1:5" ht="12" customHeight="1" thickBot="1">
      <c r="A107" s="352" t="s">
        <v>8</v>
      </c>
      <c r="B107" s="350" t="s">
        <v>430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8" t="s">
        <v>75</v>
      </c>
      <c r="B108" s="335" t="s">
        <v>153</v>
      </c>
      <c r="C108" s="381"/>
      <c r="D108" s="381"/>
      <c r="E108" s="364"/>
    </row>
    <row r="109" spans="1:5" ht="12" customHeight="1">
      <c r="A109" s="518" t="s">
        <v>76</v>
      </c>
      <c r="B109" s="339" t="s">
        <v>431</v>
      </c>
      <c r="C109" s="381"/>
      <c r="D109" s="381"/>
      <c r="E109" s="364"/>
    </row>
    <row r="110" spans="1:5" ht="12" customHeight="1">
      <c r="A110" s="518" t="s">
        <v>77</v>
      </c>
      <c r="B110" s="339" t="s">
        <v>135</v>
      </c>
      <c r="C110" s="380"/>
      <c r="D110" s="380"/>
      <c r="E110" s="363"/>
    </row>
    <row r="111" spans="1:5" ht="12" customHeight="1">
      <c r="A111" s="518" t="s">
        <v>78</v>
      </c>
      <c r="B111" s="339" t="s">
        <v>432</v>
      </c>
      <c r="C111" s="380"/>
      <c r="D111" s="380"/>
      <c r="E111" s="363"/>
    </row>
    <row r="112" spans="1:5" ht="12" customHeight="1">
      <c r="A112" s="518" t="s">
        <v>79</v>
      </c>
      <c r="B112" s="371" t="s">
        <v>155</v>
      </c>
      <c r="C112" s="380"/>
      <c r="D112" s="380"/>
      <c r="E112" s="363"/>
    </row>
    <row r="113" spans="1:5" ht="12" customHeight="1">
      <c r="A113" s="518" t="s">
        <v>86</v>
      </c>
      <c r="B113" s="370" t="s">
        <v>433</v>
      </c>
      <c r="C113" s="380"/>
      <c r="D113" s="380"/>
      <c r="E113" s="363"/>
    </row>
    <row r="114" spans="1:5" ht="12" customHeight="1">
      <c r="A114" s="518" t="s">
        <v>88</v>
      </c>
      <c r="B114" s="386" t="s">
        <v>434</v>
      </c>
      <c r="C114" s="380"/>
      <c r="D114" s="380"/>
      <c r="E114" s="363"/>
    </row>
    <row r="115" spans="1:5" ht="12" customHeight="1">
      <c r="A115" s="518" t="s">
        <v>136</v>
      </c>
      <c r="B115" s="359" t="s">
        <v>421</v>
      </c>
      <c r="C115" s="380"/>
      <c r="D115" s="380"/>
      <c r="E115" s="363"/>
    </row>
    <row r="116" spans="1:5" ht="12" customHeight="1">
      <c r="A116" s="518" t="s">
        <v>137</v>
      </c>
      <c r="B116" s="359" t="s">
        <v>435</v>
      </c>
      <c r="C116" s="380"/>
      <c r="D116" s="380"/>
      <c r="E116" s="363"/>
    </row>
    <row r="117" spans="1:5" ht="12" customHeight="1">
      <c r="A117" s="518" t="s">
        <v>138</v>
      </c>
      <c r="B117" s="359" t="s">
        <v>436</v>
      </c>
      <c r="C117" s="380"/>
      <c r="D117" s="380"/>
      <c r="E117" s="363"/>
    </row>
    <row r="118" spans="1:5" ht="12" customHeight="1">
      <c r="A118" s="518" t="s">
        <v>437</v>
      </c>
      <c r="B118" s="359" t="s">
        <v>424</v>
      </c>
      <c r="C118" s="380"/>
      <c r="D118" s="380"/>
      <c r="E118" s="363"/>
    </row>
    <row r="119" spans="1:5" ht="12" customHeight="1">
      <c r="A119" s="518" t="s">
        <v>438</v>
      </c>
      <c r="B119" s="359" t="s">
        <v>439</v>
      </c>
      <c r="C119" s="380"/>
      <c r="D119" s="380"/>
      <c r="E119" s="363"/>
    </row>
    <row r="120" spans="1:5" ht="12" customHeight="1" thickBot="1">
      <c r="A120" s="527" t="s">
        <v>440</v>
      </c>
      <c r="B120" s="359" t="s">
        <v>441</v>
      </c>
      <c r="C120" s="382"/>
      <c r="D120" s="382"/>
      <c r="E120" s="365"/>
    </row>
    <row r="121" spans="1:5" ht="12" customHeight="1" thickBot="1">
      <c r="A121" s="352" t="s">
        <v>9</v>
      </c>
      <c r="B121" s="355" t="s">
        <v>442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8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20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10</v>
      </c>
      <c r="B124" s="355" t="s">
        <v>443</v>
      </c>
      <c r="C124" s="379">
        <f>+C91+C107+C121</f>
        <v>38496863</v>
      </c>
      <c r="D124" s="379">
        <f>+D91+D107+D121</f>
        <v>38496863</v>
      </c>
      <c r="E124" s="362">
        <f>+E91+E107+E121</f>
        <v>38496863</v>
      </c>
    </row>
    <row r="125" spans="1:5" ht="12" customHeight="1" thickBot="1">
      <c r="A125" s="352" t="s">
        <v>11</v>
      </c>
      <c r="B125" s="355" t="s">
        <v>548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8" t="s">
        <v>62</v>
      </c>
      <c r="B126" s="336" t="s">
        <v>445</v>
      </c>
      <c r="C126" s="380"/>
      <c r="D126" s="380"/>
      <c r="E126" s="363"/>
    </row>
    <row r="127" spans="1:5" ht="12" customHeight="1">
      <c r="A127" s="518" t="s">
        <v>63</v>
      </c>
      <c r="B127" s="336" t="s">
        <v>446</v>
      </c>
      <c r="C127" s="380"/>
      <c r="D127" s="380"/>
      <c r="E127" s="363"/>
    </row>
    <row r="128" spans="1:5" ht="12" customHeight="1" thickBot="1">
      <c r="A128" s="527" t="s">
        <v>64</v>
      </c>
      <c r="B128" s="334" t="s">
        <v>447</v>
      </c>
      <c r="C128" s="380"/>
      <c r="D128" s="380"/>
      <c r="E128" s="363"/>
    </row>
    <row r="129" spans="1:5" ht="12" customHeight="1" thickBot="1">
      <c r="A129" s="352" t="s">
        <v>12</v>
      </c>
      <c r="B129" s="355" t="s">
        <v>448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8" t="s">
        <v>65</v>
      </c>
      <c r="B130" s="336" t="s">
        <v>449</v>
      </c>
      <c r="C130" s="380"/>
      <c r="D130" s="380"/>
      <c r="E130" s="363"/>
    </row>
    <row r="131" spans="1:5" ht="12" customHeight="1">
      <c r="A131" s="518" t="s">
        <v>66</v>
      </c>
      <c r="B131" s="336" t="s">
        <v>450</v>
      </c>
      <c r="C131" s="380"/>
      <c r="D131" s="380"/>
      <c r="E131" s="363"/>
    </row>
    <row r="132" spans="1:5" ht="12" customHeight="1">
      <c r="A132" s="518" t="s">
        <v>345</v>
      </c>
      <c r="B132" s="336" t="s">
        <v>451</v>
      </c>
      <c r="C132" s="380"/>
      <c r="D132" s="380"/>
      <c r="E132" s="363"/>
    </row>
    <row r="133" spans="1:5" s="310" customFormat="1" ht="12" customHeight="1" thickBot="1">
      <c r="A133" s="527" t="s">
        <v>347</v>
      </c>
      <c r="B133" s="334" t="s">
        <v>452</v>
      </c>
      <c r="C133" s="380"/>
      <c r="D133" s="380"/>
      <c r="E133" s="363"/>
    </row>
    <row r="134" spans="1:11" ht="13.5" thickBot="1">
      <c r="A134" s="352" t="s">
        <v>13</v>
      </c>
      <c r="B134" s="355" t="s">
        <v>667</v>
      </c>
      <c r="C134" s="385">
        <f>+C135+C136+C138+C139+C137</f>
        <v>0</v>
      </c>
      <c r="D134" s="385">
        <f>+D135+D136+D138+D139+D137</f>
        <v>0</v>
      </c>
      <c r="E134" s="398">
        <f>+E135+E136+E138+E139+E137</f>
        <v>0</v>
      </c>
      <c r="K134" s="481"/>
    </row>
    <row r="135" spans="1:5" ht="12.75">
      <c r="A135" s="518" t="s">
        <v>67</v>
      </c>
      <c r="B135" s="336" t="s">
        <v>454</v>
      </c>
      <c r="C135" s="380"/>
      <c r="D135" s="380"/>
      <c r="E135" s="363"/>
    </row>
    <row r="136" spans="1:5" ht="12" customHeight="1">
      <c r="A136" s="518" t="s">
        <v>68</v>
      </c>
      <c r="B136" s="336" t="s">
        <v>455</v>
      </c>
      <c r="C136" s="380"/>
      <c r="D136" s="380"/>
      <c r="E136" s="363"/>
    </row>
    <row r="137" spans="1:5" ht="12" customHeight="1">
      <c r="A137" s="518" t="s">
        <v>354</v>
      </c>
      <c r="B137" s="336" t="s">
        <v>666</v>
      </c>
      <c r="C137" s="380"/>
      <c r="D137" s="380"/>
      <c r="E137" s="363"/>
    </row>
    <row r="138" spans="1:5" s="310" customFormat="1" ht="12" customHeight="1">
      <c r="A138" s="518" t="s">
        <v>356</v>
      </c>
      <c r="B138" s="336" t="s">
        <v>456</v>
      </c>
      <c r="C138" s="380"/>
      <c r="D138" s="380"/>
      <c r="E138" s="363"/>
    </row>
    <row r="139" spans="1:5" s="310" customFormat="1" ht="12" customHeight="1" thickBot="1">
      <c r="A139" s="527" t="s">
        <v>665</v>
      </c>
      <c r="B139" s="334" t="s">
        <v>457</v>
      </c>
      <c r="C139" s="380"/>
      <c r="D139" s="380"/>
      <c r="E139" s="363"/>
    </row>
    <row r="140" spans="1:5" s="310" customFormat="1" ht="12" customHeight="1" thickBot="1">
      <c r="A140" s="352" t="s">
        <v>14</v>
      </c>
      <c r="B140" s="355" t="s">
        <v>549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</row>
    <row r="141" spans="1:5" s="310" customFormat="1" ht="12" customHeight="1">
      <c r="A141" s="518" t="s">
        <v>129</v>
      </c>
      <c r="B141" s="336" t="s">
        <v>459</v>
      </c>
      <c r="C141" s="380"/>
      <c r="D141" s="380"/>
      <c r="E141" s="363"/>
    </row>
    <row r="142" spans="1:5" s="310" customFormat="1" ht="12" customHeight="1">
      <c r="A142" s="518" t="s">
        <v>130</v>
      </c>
      <c r="B142" s="336" t="s">
        <v>460</v>
      </c>
      <c r="C142" s="380"/>
      <c r="D142" s="380"/>
      <c r="E142" s="363"/>
    </row>
    <row r="143" spans="1:5" s="310" customFormat="1" ht="12" customHeight="1">
      <c r="A143" s="518" t="s">
        <v>154</v>
      </c>
      <c r="B143" s="336" t="s">
        <v>461</v>
      </c>
      <c r="C143" s="380"/>
      <c r="D143" s="380"/>
      <c r="E143" s="363"/>
    </row>
    <row r="144" spans="1:5" ht="12.75" customHeight="1" thickBot="1">
      <c r="A144" s="518" t="s">
        <v>362</v>
      </c>
      <c r="B144" s="336" t="s">
        <v>462</v>
      </c>
      <c r="C144" s="380"/>
      <c r="D144" s="380"/>
      <c r="E144" s="363"/>
    </row>
    <row r="145" spans="1:5" ht="12" customHeight="1" thickBot="1">
      <c r="A145" s="352" t="s">
        <v>15</v>
      </c>
      <c r="B145" s="355" t="s">
        <v>463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9" t="s">
        <v>16</v>
      </c>
      <c r="B146" s="375" t="s">
        <v>464</v>
      </c>
      <c r="C146" s="329">
        <f>+C124+C145</f>
        <v>38496863</v>
      </c>
      <c r="D146" s="329">
        <f>+D124+D145</f>
        <v>38496863</v>
      </c>
      <c r="E146" s="330">
        <f>+E124+E145</f>
        <v>38496863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7" t="s">
        <v>735</v>
      </c>
      <c r="B148" s="638"/>
      <c r="C148" s="91">
        <v>3</v>
      </c>
      <c r="D148" s="92">
        <v>3</v>
      </c>
      <c r="E148" s="89">
        <v>3</v>
      </c>
    </row>
    <row r="149" spans="1:5" ht="14.25" customHeight="1" thickBot="1">
      <c r="A149" s="639" t="s">
        <v>734</v>
      </c>
      <c r="B149" s="640"/>
      <c r="C149" s="91"/>
      <c r="D149" s="92"/>
      <c r="E149" s="89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="110" zoomScaleNormal="110" zoomScaleSheetLayoutView="115" workbookViewId="0" topLeftCell="A2">
      <selection activeCell="B19" sqref="B19"/>
    </sheetView>
  </sheetViews>
  <sheetFormatPr defaultColWidth="9.00390625" defaultRowHeight="12.75"/>
  <cols>
    <col min="1" max="1" width="16.00390625" style="550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+CONCATENATE("7.1. melléklet a 7/",LEFT(ÖSSZEFÜGGÉSEK!A4,4)+1,". (IV. 28.) önkormányzati rendelethez")</f>
        <v>7.1. melléklet a 7/2017. (IV. 28.) önkormányzati rendelethez</v>
      </c>
    </row>
    <row r="2" spans="1:5" s="532" customFormat="1" ht="25.5" customHeight="1">
      <c r="A2" s="512" t="s">
        <v>145</v>
      </c>
      <c r="B2" s="747" t="s">
        <v>745</v>
      </c>
      <c r="C2" s="748"/>
      <c r="D2" s="749"/>
      <c r="E2" s="555" t="s">
        <v>47</v>
      </c>
    </row>
    <row r="3" spans="1:5" s="532" customFormat="1" ht="24.75" thickBot="1">
      <c r="A3" s="530" t="s">
        <v>550</v>
      </c>
      <c r="B3" s="750" t="s">
        <v>543</v>
      </c>
      <c r="C3" s="753"/>
      <c r="D3" s="754"/>
      <c r="E3" s="556" t="s">
        <v>41</v>
      </c>
    </row>
    <row r="4" spans="1:5" s="533" customFormat="1" ht="15.75" customHeight="1" thickBot="1">
      <c r="A4" s="487"/>
      <c r="B4" s="487"/>
      <c r="C4" s="488"/>
      <c r="D4" s="488"/>
      <c r="E4" s="488" t="str">
        <f>'6.4. sz. mell'!E4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414">
        <f>SUM(D9:D18)</f>
        <v>734254</v>
      </c>
      <c r="E8" s="552">
        <f>SUM(E9:E18)</f>
        <v>734254</v>
      </c>
    </row>
    <row r="9" spans="1:5" s="508" customFormat="1" ht="12" customHeight="1">
      <c r="A9" s="557" t="s">
        <v>69</v>
      </c>
      <c r="B9" s="337" t="s">
        <v>330</v>
      </c>
      <c r="C9" s="84"/>
      <c r="D9" s="84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411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411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411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411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411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411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85">
        <v>37</v>
      </c>
      <c r="E16" s="540">
        <v>37</v>
      </c>
    </row>
    <row r="17" spans="1:5" s="508" customFormat="1" ht="12" customHeight="1">
      <c r="A17" s="558" t="s">
        <v>83</v>
      </c>
      <c r="B17" s="335" t="s">
        <v>339</v>
      </c>
      <c r="C17" s="411"/>
      <c r="D17" s="411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413">
        <v>734217</v>
      </c>
      <c r="E18" s="536">
        <v>734217</v>
      </c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411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411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411"/>
      <c r="E22" s="93"/>
    </row>
    <row r="23" spans="1:5" s="535" customFormat="1" ht="12" customHeight="1" thickBot="1">
      <c r="A23" s="558" t="s">
        <v>78</v>
      </c>
      <c r="B23" s="335" t="s">
        <v>671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122</v>
      </c>
      <c r="C24" s="42">
        <v>240000</v>
      </c>
      <c r="D24" s="42"/>
      <c r="E24" s="551"/>
    </row>
    <row r="25" spans="1:5" s="535" customFormat="1" ht="12" customHeight="1" thickBot="1">
      <c r="A25" s="545" t="s">
        <v>10</v>
      </c>
      <c r="B25" s="355" t="s">
        <v>557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324</v>
      </c>
      <c r="B26" s="560" t="s">
        <v>555</v>
      </c>
      <c r="C26" s="81"/>
      <c r="D26" s="81"/>
      <c r="E26" s="539"/>
    </row>
    <row r="27" spans="1:5" s="535" customFormat="1" ht="12" customHeight="1">
      <c r="A27" s="559" t="s">
        <v>325</v>
      </c>
      <c r="B27" s="561" t="s">
        <v>558</v>
      </c>
      <c r="C27" s="415"/>
      <c r="D27" s="415"/>
      <c r="E27" s="538"/>
    </row>
    <row r="28" spans="1:5" s="535" customFormat="1" ht="12" customHeight="1" thickBot="1">
      <c r="A28" s="558" t="s">
        <v>326</v>
      </c>
      <c r="B28" s="562" t="s">
        <v>672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559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62</v>
      </c>
      <c r="B30" s="560" t="s">
        <v>343</v>
      </c>
      <c r="C30" s="81"/>
      <c r="D30" s="81"/>
      <c r="E30" s="539"/>
    </row>
    <row r="31" spans="1:5" s="535" customFormat="1" ht="12" customHeight="1">
      <c r="A31" s="559" t="s">
        <v>63</v>
      </c>
      <c r="B31" s="561" t="s">
        <v>344</v>
      </c>
      <c r="C31" s="415"/>
      <c r="D31" s="415"/>
      <c r="E31" s="538"/>
    </row>
    <row r="32" spans="1:5" s="535" customFormat="1" ht="12" customHeight="1" thickBot="1">
      <c r="A32" s="558" t="s">
        <v>64</v>
      </c>
      <c r="B32" s="544" t="s">
        <v>346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471</v>
      </c>
      <c r="C33" s="42"/>
      <c r="D33" s="42">
        <v>841006</v>
      </c>
      <c r="E33" s="551">
        <v>841006</v>
      </c>
    </row>
    <row r="34" spans="1:5" s="508" customFormat="1" ht="12" customHeight="1" thickBot="1">
      <c r="A34" s="545" t="s">
        <v>13</v>
      </c>
      <c r="B34" s="355" t="s">
        <v>560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673</v>
      </c>
      <c r="C35" s="414">
        <f>+C8+C19+C24+C25+C29+C33+C34</f>
        <v>240000</v>
      </c>
      <c r="D35" s="414">
        <f>+D8+D19+D24+D25+D29+D33+D34</f>
        <v>1575260</v>
      </c>
      <c r="E35" s="552">
        <f>+E8+E19+E24+E25+E29+E33+E34</f>
        <v>1575260</v>
      </c>
    </row>
    <row r="36" spans="1:5" s="508" customFormat="1" ht="12" customHeight="1" thickBot="1">
      <c r="A36" s="547" t="s">
        <v>15</v>
      </c>
      <c r="B36" s="355" t="s">
        <v>562</v>
      </c>
      <c r="C36" s="414">
        <f>+C37+C38+C39</f>
        <v>49040000</v>
      </c>
      <c r="D36" s="414">
        <f>+D37+D38+D39</f>
        <v>39410702</v>
      </c>
      <c r="E36" s="552">
        <f>+E37+E38+E39</f>
        <v>39410702</v>
      </c>
    </row>
    <row r="37" spans="1:5" s="508" customFormat="1" ht="12" customHeight="1">
      <c r="A37" s="559" t="s">
        <v>563</v>
      </c>
      <c r="B37" s="560" t="s">
        <v>160</v>
      </c>
      <c r="C37" s="81"/>
      <c r="D37" s="81">
        <v>447745</v>
      </c>
      <c r="E37" s="539">
        <v>447745</v>
      </c>
    </row>
    <row r="38" spans="1:5" s="535" customFormat="1" ht="12" customHeight="1">
      <c r="A38" s="559" t="s">
        <v>564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565</v>
      </c>
      <c r="B39" s="544" t="s">
        <v>566</v>
      </c>
      <c r="C39" s="542">
        <v>49040000</v>
      </c>
      <c r="D39" s="542">
        <v>38962957</v>
      </c>
      <c r="E39" s="537">
        <v>38962957</v>
      </c>
    </row>
    <row r="40" spans="1:5" s="535" customFormat="1" ht="15" customHeight="1" thickBot="1">
      <c r="A40" s="547" t="s">
        <v>16</v>
      </c>
      <c r="B40" s="548" t="s">
        <v>567</v>
      </c>
      <c r="C40" s="87">
        <f>+C35+C36</f>
        <v>49280000</v>
      </c>
      <c r="D40" s="87">
        <f>+D35+D36</f>
        <v>40985962</v>
      </c>
      <c r="E40" s="553">
        <f>+E35+E36</f>
        <v>40985962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44" t="s">
        <v>43</v>
      </c>
      <c r="B43" s="745"/>
      <c r="C43" s="745"/>
      <c r="D43" s="745"/>
      <c r="E43" s="746"/>
    </row>
    <row r="44" spans="1:5" s="310" customFormat="1" ht="12" customHeight="1" thickBot="1">
      <c r="A44" s="545" t="s">
        <v>7</v>
      </c>
      <c r="B44" s="355" t="s">
        <v>568</v>
      </c>
      <c r="C44" s="414">
        <f>SUM(C45:C49)</f>
        <v>49280000</v>
      </c>
      <c r="D44" s="414">
        <f>SUM(D45:D49)</f>
        <v>40985962</v>
      </c>
      <c r="E44" s="445">
        <f>SUM(E45:E49)</f>
        <v>40434929</v>
      </c>
    </row>
    <row r="45" spans="1:5" ht="12" customHeight="1">
      <c r="A45" s="558" t="s">
        <v>69</v>
      </c>
      <c r="B45" s="336" t="s">
        <v>37</v>
      </c>
      <c r="C45" s="81">
        <v>27305000</v>
      </c>
      <c r="D45" s="81">
        <v>27222510</v>
      </c>
      <c r="E45" s="440">
        <v>27222510</v>
      </c>
    </row>
    <row r="46" spans="1:5" ht="12" customHeight="1">
      <c r="A46" s="558" t="s">
        <v>70</v>
      </c>
      <c r="B46" s="335" t="s">
        <v>131</v>
      </c>
      <c r="C46" s="408">
        <v>7552000</v>
      </c>
      <c r="D46" s="408">
        <v>6998515</v>
      </c>
      <c r="E46" s="441">
        <v>6998515</v>
      </c>
    </row>
    <row r="47" spans="1:5" ht="12" customHeight="1">
      <c r="A47" s="558" t="s">
        <v>71</v>
      </c>
      <c r="B47" s="335" t="s">
        <v>98</v>
      </c>
      <c r="C47" s="408">
        <v>14423000</v>
      </c>
      <c r="D47" s="408">
        <v>6764937</v>
      </c>
      <c r="E47" s="441">
        <v>6213904</v>
      </c>
    </row>
    <row r="48" spans="1:5" ht="12" customHeight="1">
      <c r="A48" s="558" t="s">
        <v>72</v>
      </c>
      <c r="B48" s="335" t="s">
        <v>132</v>
      </c>
      <c r="C48" s="408"/>
      <c r="D48" s="408"/>
      <c r="E48" s="441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75</v>
      </c>
      <c r="B51" s="336" t="s">
        <v>153</v>
      </c>
      <c r="C51" s="81"/>
      <c r="D51" s="81"/>
      <c r="E51" s="440"/>
    </row>
    <row r="52" spans="1:5" ht="12" customHeight="1">
      <c r="A52" s="558" t="s">
        <v>76</v>
      </c>
      <c r="B52" s="335" t="s">
        <v>135</v>
      </c>
      <c r="C52" s="408"/>
      <c r="D52" s="408"/>
      <c r="E52" s="441"/>
    </row>
    <row r="53" spans="1:5" ht="12" customHeight="1">
      <c r="A53" s="558" t="s">
        <v>77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78</v>
      </c>
      <c r="B54" s="335" t="s">
        <v>674</v>
      </c>
      <c r="C54" s="408"/>
      <c r="D54" s="408"/>
      <c r="E54" s="441"/>
    </row>
    <row r="55" spans="1:5" ht="12" customHeight="1" thickBot="1">
      <c r="A55" s="545" t="s">
        <v>9</v>
      </c>
      <c r="B55" s="549" t="s">
        <v>570</v>
      </c>
      <c r="C55" s="414">
        <f>+C44+C50</f>
        <v>49280000</v>
      </c>
      <c r="D55" s="414">
        <f>+D44+D50</f>
        <v>40985962</v>
      </c>
      <c r="E55" s="445">
        <f>+E44+E50</f>
        <v>40434929</v>
      </c>
    </row>
    <row r="56" spans="3:5" ht="13.5" thickBot="1">
      <c r="C56" s="554"/>
      <c r="D56" s="554"/>
      <c r="E56" s="554"/>
    </row>
    <row r="57" spans="1:5" ht="15" customHeight="1" thickBot="1">
      <c r="A57" s="637" t="s">
        <v>735</v>
      </c>
      <c r="B57" s="638"/>
      <c r="C57" s="91">
        <v>9</v>
      </c>
      <c r="D57" s="91">
        <v>9</v>
      </c>
      <c r="E57" s="543">
        <v>9</v>
      </c>
    </row>
    <row r="58" spans="1:5" ht="14.25" customHeight="1" thickBot="1">
      <c r="A58" s="639" t="s">
        <v>734</v>
      </c>
      <c r="B58" s="640"/>
      <c r="C58" s="91"/>
      <c r="D58" s="91"/>
      <c r="E58" s="543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50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+CONCATENATE("7.2. melléklet a 7/",LEFT(ÖSSZEFÜGGÉSEK!A4,4)+1,". (IV. 28.) önkormányzati rendelethez")</f>
        <v>7.2. melléklet a 7/2017. (IV. 28.) önkormányzati rendelethez</v>
      </c>
    </row>
    <row r="2" spans="1:5" s="532" customFormat="1" ht="25.5" customHeight="1">
      <c r="A2" s="512" t="s">
        <v>145</v>
      </c>
      <c r="B2" s="747" t="s">
        <v>745</v>
      </c>
      <c r="C2" s="748"/>
      <c r="D2" s="749"/>
      <c r="E2" s="555" t="s">
        <v>47</v>
      </c>
    </row>
    <row r="3" spans="1:5" s="532" customFormat="1" ht="24.75" thickBot="1">
      <c r="A3" s="530" t="s">
        <v>550</v>
      </c>
      <c r="B3" s="750" t="s">
        <v>668</v>
      </c>
      <c r="C3" s="753"/>
      <c r="D3" s="754"/>
      <c r="E3" s="556" t="s">
        <v>47</v>
      </c>
    </row>
    <row r="4" spans="1:5" s="533" customFormat="1" ht="15.75" customHeight="1" thickBot="1">
      <c r="A4" s="487"/>
      <c r="B4" s="487"/>
      <c r="C4" s="488"/>
      <c r="D4" s="488"/>
      <c r="E4" s="488" t="str">
        <f>'7.1. sz. mell'!E4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414">
        <f>SUM(D9:D18)</f>
        <v>734254</v>
      </c>
      <c r="E8" s="552">
        <f>SUM(E9:E18)</f>
        <v>734254</v>
      </c>
    </row>
    <row r="9" spans="1:5" s="508" customFormat="1" ht="12" customHeight="1">
      <c r="A9" s="557" t="s">
        <v>69</v>
      </c>
      <c r="B9" s="337" t="s">
        <v>330</v>
      </c>
      <c r="C9" s="84"/>
      <c r="D9" s="84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411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411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411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411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411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411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85">
        <v>37</v>
      </c>
      <c r="E16" s="540">
        <v>37</v>
      </c>
    </row>
    <row r="17" spans="1:5" s="508" customFormat="1" ht="12" customHeight="1">
      <c r="A17" s="558" t="s">
        <v>83</v>
      </c>
      <c r="B17" s="335" t="s">
        <v>339</v>
      </c>
      <c r="C17" s="411"/>
      <c r="D17" s="411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413">
        <v>734217</v>
      </c>
      <c r="E18" s="536">
        <v>734217</v>
      </c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411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411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411"/>
      <c r="E22" s="93"/>
    </row>
    <row r="23" spans="1:5" s="535" customFormat="1" ht="12" customHeight="1" thickBot="1">
      <c r="A23" s="558" t="s">
        <v>78</v>
      </c>
      <c r="B23" s="335" t="s">
        <v>671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122</v>
      </c>
      <c r="C24" s="42">
        <v>240000</v>
      </c>
      <c r="D24" s="42"/>
      <c r="E24" s="551"/>
    </row>
    <row r="25" spans="1:5" s="535" customFormat="1" ht="12" customHeight="1" thickBot="1">
      <c r="A25" s="545" t="s">
        <v>10</v>
      </c>
      <c r="B25" s="355" t="s">
        <v>557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324</v>
      </c>
      <c r="B26" s="560" t="s">
        <v>555</v>
      </c>
      <c r="C26" s="81"/>
      <c r="D26" s="81"/>
      <c r="E26" s="539"/>
    </row>
    <row r="27" spans="1:5" s="535" customFormat="1" ht="12" customHeight="1">
      <c r="A27" s="559" t="s">
        <v>325</v>
      </c>
      <c r="B27" s="561" t="s">
        <v>558</v>
      </c>
      <c r="C27" s="415"/>
      <c r="D27" s="415"/>
      <c r="E27" s="538"/>
    </row>
    <row r="28" spans="1:5" s="535" customFormat="1" ht="12" customHeight="1" thickBot="1">
      <c r="A28" s="558" t="s">
        <v>326</v>
      </c>
      <c r="B28" s="562" t="s">
        <v>672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559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62</v>
      </c>
      <c r="B30" s="560" t="s">
        <v>343</v>
      </c>
      <c r="C30" s="81"/>
      <c r="D30" s="81"/>
      <c r="E30" s="539"/>
    </row>
    <row r="31" spans="1:5" s="535" customFormat="1" ht="12" customHeight="1">
      <c r="A31" s="559" t="s">
        <v>63</v>
      </c>
      <c r="B31" s="561" t="s">
        <v>344</v>
      </c>
      <c r="C31" s="415"/>
      <c r="D31" s="415"/>
      <c r="E31" s="538"/>
    </row>
    <row r="32" spans="1:5" s="535" customFormat="1" ht="12" customHeight="1" thickBot="1">
      <c r="A32" s="558" t="s">
        <v>64</v>
      </c>
      <c r="B32" s="544" t="s">
        <v>346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471</v>
      </c>
      <c r="C33" s="42"/>
      <c r="D33" s="42">
        <v>841006</v>
      </c>
      <c r="E33" s="551">
        <v>841006</v>
      </c>
    </row>
    <row r="34" spans="1:5" s="508" customFormat="1" ht="12" customHeight="1" thickBot="1">
      <c r="A34" s="545" t="s">
        <v>13</v>
      </c>
      <c r="B34" s="355" t="s">
        <v>560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673</v>
      </c>
      <c r="C35" s="414">
        <f>+C8+C19+C24+C25+C29+C33+C34</f>
        <v>240000</v>
      </c>
      <c r="D35" s="414">
        <f>+D8+D19+D24+D25+D29+D33+D34</f>
        <v>1575260</v>
      </c>
      <c r="E35" s="552">
        <f>+E8+E19+E24+E25+E29+E33+E34</f>
        <v>1575260</v>
      </c>
    </row>
    <row r="36" spans="1:5" s="508" customFormat="1" ht="12" customHeight="1" thickBot="1">
      <c r="A36" s="547" t="s">
        <v>15</v>
      </c>
      <c r="B36" s="355" t="s">
        <v>562</v>
      </c>
      <c r="C36" s="414">
        <f>+C37+C38+C39</f>
        <v>49040000</v>
      </c>
      <c r="D36" s="414">
        <f>+D37+D38+D39</f>
        <v>39410702</v>
      </c>
      <c r="E36" s="552">
        <f>+E37+E38+E39</f>
        <v>39410702</v>
      </c>
    </row>
    <row r="37" spans="1:5" s="508" customFormat="1" ht="12" customHeight="1">
      <c r="A37" s="559" t="s">
        <v>563</v>
      </c>
      <c r="B37" s="560" t="s">
        <v>160</v>
      </c>
      <c r="C37" s="81"/>
      <c r="D37" s="81">
        <v>447745</v>
      </c>
      <c r="E37" s="539">
        <v>447745</v>
      </c>
    </row>
    <row r="38" spans="1:5" s="535" customFormat="1" ht="12" customHeight="1">
      <c r="A38" s="559" t="s">
        <v>564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565</v>
      </c>
      <c r="B39" s="544" t="s">
        <v>566</v>
      </c>
      <c r="C39" s="542">
        <v>49040000</v>
      </c>
      <c r="D39" s="542">
        <v>38962957</v>
      </c>
      <c r="E39" s="537">
        <v>38962957</v>
      </c>
    </row>
    <row r="40" spans="1:5" s="535" customFormat="1" ht="15" customHeight="1" thickBot="1">
      <c r="A40" s="547" t="s">
        <v>16</v>
      </c>
      <c r="B40" s="548" t="s">
        <v>567</v>
      </c>
      <c r="C40" s="87">
        <f>+C35+C36</f>
        <v>49280000</v>
      </c>
      <c r="D40" s="87">
        <f>+D35+D36</f>
        <v>40985962</v>
      </c>
      <c r="E40" s="553">
        <f>+E35+E36</f>
        <v>40985962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44" t="s">
        <v>43</v>
      </c>
      <c r="B43" s="745"/>
      <c r="C43" s="745"/>
      <c r="D43" s="745"/>
      <c r="E43" s="746"/>
    </row>
    <row r="44" spans="1:5" s="310" customFormat="1" ht="12" customHeight="1" thickBot="1">
      <c r="A44" s="545" t="s">
        <v>7</v>
      </c>
      <c r="B44" s="355" t="s">
        <v>568</v>
      </c>
      <c r="C44" s="414">
        <f>SUM(C45:C49)</f>
        <v>49280000</v>
      </c>
      <c r="D44" s="414">
        <f>SUM(D45:D49)</f>
        <v>40985962</v>
      </c>
      <c r="E44" s="445">
        <f>SUM(E45:E49)</f>
        <v>40434929</v>
      </c>
    </row>
    <row r="45" spans="1:5" ht="12" customHeight="1">
      <c r="A45" s="558" t="s">
        <v>69</v>
      </c>
      <c r="B45" s="336" t="s">
        <v>37</v>
      </c>
      <c r="C45" s="81">
        <v>27305000</v>
      </c>
      <c r="D45" s="81">
        <v>27222510</v>
      </c>
      <c r="E45" s="440">
        <v>27222510</v>
      </c>
    </row>
    <row r="46" spans="1:5" ht="12" customHeight="1">
      <c r="A46" s="558" t="s">
        <v>70</v>
      </c>
      <c r="B46" s="335" t="s">
        <v>131</v>
      </c>
      <c r="C46" s="408">
        <v>7552000</v>
      </c>
      <c r="D46" s="408">
        <v>6998515</v>
      </c>
      <c r="E46" s="441">
        <v>6998515</v>
      </c>
    </row>
    <row r="47" spans="1:5" ht="12" customHeight="1">
      <c r="A47" s="558" t="s">
        <v>71</v>
      </c>
      <c r="B47" s="335" t="s">
        <v>98</v>
      </c>
      <c r="C47" s="408">
        <v>14423000</v>
      </c>
      <c r="D47" s="408">
        <v>6764937</v>
      </c>
      <c r="E47" s="441">
        <v>6213904</v>
      </c>
    </row>
    <row r="48" spans="1:5" ht="12" customHeight="1">
      <c r="A48" s="558" t="s">
        <v>72</v>
      </c>
      <c r="B48" s="335" t="s">
        <v>132</v>
      </c>
      <c r="C48" s="408"/>
      <c r="D48" s="408"/>
      <c r="E48" s="441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75</v>
      </c>
      <c r="B51" s="336" t="s">
        <v>153</v>
      </c>
      <c r="C51" s="81"/>
      <c r="D51" s="81"/>
      <c r="E51" s="440"/>
    </row>
    <row r="52" spans="1:5" ht="12" customHeight="1">
      <c r="A52" s="558" t="s">
        <v>76</v>
      </c>
      <c r="B52" s="335" t="s">
        <v>135</v>
      </c>
      <c r="C52" s="408"/>
      <c r="D52" s="408"/>
      <c r="E52" s="441"/>
    </row>
    <row r="53" spans="1:5" ht="12" customHeight="1">
      <c r="A53" s="558" t="s">
        <v>77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78</v>
      </c>
      <c r="B54" s="335" t="s">
        <v>674</v>
      </c>
      <c r="C54" s="408"/>
      <c r="D54" s="408"/>
      <c r="E54" s="441"/>
    </row>
    <row r="55" spans="1:5" ht="12" customHeight="1" thickBot="1">
      <c r="A55" s="545" t="s">
        <v>9</v>
      </c>
      <c r="B55" s="549" t="s">
        <v>570</v>
      </c>
      <c r="C55" s="414">
        <f>+C44+C50</f>
        <v>49280000</v>
      </c>
      <c r="D55" s="414">
        <f>+D44+D50</f>
        <v>40985962</v>
      </c>
      <c r="E55" s="445">
        <f>+E44+E50</f>
        <v>40434929</v>
      </c>
    </row>
    <row r="56" spans="3:5" ht="13.5" thickBot="1">
      <c r="C56" s="554"/>
      <c r="D56" s="554"/>
      <c r="E56" s="554"/>
    </row>
    <row r="57" spans="1:5" ht="15" customHeight="1" thickBot="1">
      <c r="A57" s="637" t="s">
        <v>735</v>
      </c>
      <c r="B57" s="638"/>
      <c r="C57" s="91">
        <v>9</v>
      </c>
      <c r="D57" s="91">
        <v>9</v>
      </c>
      <c r="E57" s="543">
        <v>9</v>
      </c>
    </row>
    <row r="58" spans="1:5" ht="14.25" customHeight="1" thickBot="1">
      <c r="A58" s="639" t="s">
        <v>734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50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+CONCATENATE("7.3. melléklet a 7/",LEFT(ÖSSZEFÜGGÉSEK!A4,4)+1,". (IV. 28.) önkormányzati rendelethez")</f>
        <v>7.3. melléklet a 7/2017. (IV. 28.) önkormányzati rendelethez</v>
      </c>
    </row>
    <row r="2" spans="1:5" s="532" customFormat="1" ht="25.5" customHeight="1">
      <c r="A2" s="512" t="s">
        <v>145</v>
      </c>
      <c r="B2" s="747" t="s">
        <v>745</v>
      </c>
      <c r="C2" s="748"/>
      <c r="D2" s="749"/>
      <c r="E2" s="555" t="s">
        <v>47</v>
      </c>
    </row>
    <row r="3" spans="1:5" s="532" customFormat="1" ht="24.75" thickBot="1">
      <c r="A3" s="530" t="s">
        <v>550</v>
      </c>
      <c r="B3" s="750" t="s">
        <v>675</v>
      </c>
      <c r="C3" s="753"/>
      <c r="D3" s="754"/>
      <c r="E3" s="556" t="s">
        <v>48</v>
      </c>
    </row>
    <row r="4" spans="1:5" s="533" customFormat="1" ht="15.75" customHeight="1" thickBot="1">
      <c r="A4" s="487"/>
      <c r="B4" s="487"/>
      <c r="C4" s="488"/>
      <c r="D4" s="488"/>
      <c r="E4" s="488" t="str">
        <f>'7.2. sz. mell'!E4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414">
        <f>SUM(D9:D18)</f>
        <v>0</v>
      </c>
      <c r="E8" s="552">
        <f>SUM(E9:E18)</f>
        <v>0</v>
      </c>
    </row>
    <row r="9" spans="1:5" s="508" customFormat="1" ht="12" customHeight="1">
      <c r="A9" s="557" t="s">
        <v>69</v>
      </c>
      <c r="B9" s="337" t="s">
        <v>330</v>
      </c>
      <c r="C9" s="84"/>
      <c r="D9" s="84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411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411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411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411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411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411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85"/>
      <c r="E16" s="540"/>
    </row>
    <row r="17" spans="1:5" s="508" customFormat="1" ht="12" customHeight="1">
      <c r="A17" s="558" t="s">
        <v>83</v>
      </c>
      <c r="B17" s="335" t="s">
        <v>339</v>
      </c>
      <c r="C17" s="411"/>
      <c r="D17" s="411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413"/>
      <c r="E18" s="536"/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411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411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411"/>
      <c r="E22" s="93"/>
    </row>
    <row r="23" spans="1:5" s="535" customFormat="1" ht="12" customHeight="1" thickBot="1">
      <c r="A23" s="558" t="s">
        <v>78</v>
      </c>
      <c r="B23" s="335" t="s">
        <v>671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122</v>
      </c>
      <c r="C24" s="42"/>
      <c r="D24" s="42"/>
      <c r="E24" s="551"/>
    </row>
    <row r="25" spans="1:5" s="535" customFormat="1" ht="12" customHeight="1" thickBot="1">
      <c r="A25" s="545" t="s">
        <v>10</v>
      </c>
      <c r="B25" s="355" t="s">
        <v>557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324</v>
      </c>
      <c r="B26" s="560" t="s">
        <v>555</v>
      </c>
      <c r="C26" s="81"/>
      <c r="D26" s="81"/>
      <c r="E26" s="539"/>
    </row>
    <row r="27" spans="1:5" s="535" customFormat="1" ht="12" customHeight="1">
      <c r="A27" s="559" t="s">
        <v>325</v>
      </c>
      <c r="B27" s="561" t="s">
        <v>558</v>
      </c>
      <c r="C27" s="415"/>
      <c r="D27" s="415"/>
      <c r="E27" s="538"/>
    </row>
    <row r="28" spans="1:5" s="535" customFormat="1" ht="12" customHeight="1" thickBot="1">
      <c r="A28" s="558" t="s">
        <v>326</v>
      </c>
      <c r="B28" s="562" t="s">
        <v>672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559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62</v>
      </c>
      <c r="B30" s="560" t="s">
        <v>343</v>
      </c>
      <c r="C30" s="81"/>
      <c r="D30" s="81"/>
      <c r="E30" s="539"/>
    </row>
    <row r="31" spans="1:5" s="535" customFormat="1" ht="12" customHeight="1">
      <c r="A31" s="559" t="s">
        <v>63</v>
      </c>
      <c r="B31" s="561" t="s">
        <v>344</v>
      </c>
      <c r="C31" s="415"/>
      <c r="D31" s="415"/>
      <c r="E31" s="538"/>
    </row>
    <row r="32" spans="1:5" s="535" customFormat="1" ht="12" customHeight="1" thickBot="1">
      <c r="A32" s="558" t="s">
        <v>64</v>
      </c>
      <c r="B32" s="544" t="s">
        <v>346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471</v>
      </c>
      <c r="C33" s="42"/>
      <c r="D33" s="42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673</v>
      </c>
      <c r="C35" s="414">
        <f>+C8+C19+C24+C25+C29+C33+C34</f>
        <v>0</v>
      </c>
      <c r="D35" s="414">
        <f>+D8+D19+D24+D25+D29+D33+D34</f>
        <v>0</v>
      </c>
      <c r="E35" s="552">
        <f>+E8+E19+E24+E25+E29+E33+E34</f>
        <v>0</v>
      </c>
    </row>
    <row r="36" spans="1:5" s="508" customFormat="1" ht="12" customHeight="1" thickBot="1">
      <c r="A36" s="547" t="s">
        <v>15</v>
      </c>
      <c r="B36" s="355" t="s">
        <v>562</v>
      </c>
      <c r="C36" s="414">
        <f>+C37+C38+C39</f>
        <v>0</v>
      </c>
      <c r="D36" s="414">
        <f>+D37+D38+D39</f>
        <v>0</v>
      </c>
      <c r="E36" s="552">
        <f>+E37+E38+E39</f>
        <v>0</v>
      </c>
    </row>
    <row r="37" spans="1:5" s="508" customFormat="1" ht="12" customHeight="1">
      <c r="A37" s="559" t="s">
        <v>563</v>
      </c>
      <c r="B37" s="560" t="s">
        <v>160</v>
      </c>
      <c r="C37" s="81"/>
      <c r="D37" s="81"/>
      <c r="E37" s="539"/>
    </row>
    <row r="38" spans="1:5" s="535" customFormat="1" ht="12" customHeight="1">
      <c r="A38" s="559" t="s">
        <v>564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565</v>
      </c>
      <c r="B39" s="544" t="s">
        <v>566</v>
      </c>
      <c r="C39" s="542"/>
      <c r="D39" s="542"/>
      <c r="E39" s="537"/>
    </row>
    <row r="40" spans="1:5" s="535" customFormat="1" ht="15" customHeight="1" thickBot="1">
      <c r="A40" s="547" t="s">
        <v>16</v>
      </c>
      <c r="B40" s="548" t="s">
        <v>567</v>
      </c>
      <c r="C40" s="87">
        <f>+C35+C36</f>
        <v>0</v>
      </c>
      <c r="D40" s="87">
        <f>+D35+D36</f>
        <v>0</v>
      </c>
      <c r="E40" s="553">
        <f>+E35+E36</f>
        <v>0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44" t="s">
        <v>43</v>
      </c>
      <c r="B43" s="745"/>
      <c r="C43" s="745"/>
      <c r="D43" s="745"/>
      <c r="E43" s="746"/>
    </row>
    <row r="44" spans="1:5" s="310" customFormat="1" ht="12" customHeight="1" thickBot="1">
      <c r="A44" s="545" t="s">
        <v>7</v>
      </c>
      <c r="B44" s="355" t="s">
        <v>568</v>
      </c>
      <c r="C44" s="414">
        <f>SUM(C45:C49)</f>
        <v>0</v>
      </c>
      <c r="D44" s="414">
        <f>SUM(D45:D49)</f>
        <v>0</v>
      </c>
      <c r="E44" s="445">
        <f>SUM(E45:E49)</f>
        <v>0</v>
      </c>
    </row>
    <row r="45" spans="1:5" ht="12" customHeight="1">
      <c r="A45" s="558" t="s">
        <v>69</v>
      </c>
      <c r="B45" s="336" t="s">
        <v>37</v>
      </c>
      <c r="C45" s="81"/>
      <c r="D45" s="81"/>
      <c r="E45" s="440"/>
    </row>
    <row r="46" spans="1:5" ht="12" customHeight="1">
      <c r="A46" s="558" t="s">
        <v>70</v>
      </c>
      <c r="B46" s="335" t="s">
        <v>131</v>
      </c>
      <c r="C46" s="408"/>
      <c r="D46" s="408"/>
      <c r="E46" s="441"/>
    </row>
    <row r="47" spans="1:5" ht="12" customHeight="1">
      <c r="A47" s="558" t="s">
        <v>71</v>
      </c>
      <c r="B47" s="335" t="s">
        <v>98</v>
      </c>
      <c r="C47" s="408"/>
      <c r="D47" s="408"/>
      <c r="E47" s="441"/>
    </row>
    <row r="48" spans="1:5" ht="12" customHeight="1">
      <c r="A48" s="558" t="s">
        <v>72</v>
      </c>
      <c r="B48" s="335" t="s">
        <v>132</v>
      </c>
      <c r="C48" s="408"/>
      <c r="D48" s="408"/>
      <c r="E48" s="441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75</v>
      </c>
      <c r="B51" s="336" t="s">
        <v>153</v>
      </c>
      <c r="C51" s="81"/>
      <c r="D51" s="81"/>
      <c r="E51" s="440"/>
    </row>
    <row r="52" spans="1:5" ht="12" customHeight="1">
      <c r="A52" s="558" t="s">
        <v>76</v>
      </c>
      <c r="B52" s="335" t="s">
        <v>135</v>
      </c>
      <c r="C52" s="408"/>
      <c r="D52" s="408"/>
      <c r="E52" s="441"/>
    </row>
    <row r="53" spans="1:5" ht="12" customHeight="1">
      <c r="A53" s="558" t="s">
        <v>77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78</v>
      </c>
      <c r="B54" s="335" t="s">
        <v>674</v>
      </c>
      <c r="C54" s="408"/>
      <c r="D54" s="408"/>
      <c r="E54" s="441"/>
    </row>
    <row r="55" spans="1:5" ht="12" customHeight="1" thickBot="1">
      <c r="A55" s="545" t="s">
        <v>9</v>
      </c>
      <c r="B55" s="549" t="s">
        <v>570</v>
      </c>
      <c r="C55" s="414">
        <f>+C44+C50</f>
        <v>0</v>
      </c>
      <c r="D55" s="414">
        <f>+D44+D50</f>
        <v>0</v>
      </c>
      <c r="E55" s="445">
        <f>+E44+E50</f>
        <v>0</v>
      </c>
    </row>
    <row r="56" spans="3:5" ht="13.5" thickBot="1">
      <c r="C56" s="554"/>
      <c r="D56" s="554"/>
      <c r="E56" s="554"/>
    </row>
    <row r="57" spans="1:5" ht="15" customHeight="1" thickBot="1">
      <c r="A57" s="637" t="s">
        <v>735</v>
      </c>
      <c r="B57" s="638"/>
      <c r="C57" s="91"/>
      <c r="D57" s="91"/>
      <c r="E57" s="543"/>
    </row>
    <row r="58" spans="1:5" ht="14.25" customHeight="1" thickBot="1">
      <c r="A58" s="639" t="s">
        <v>734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50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+CONCATENATE("7.4. melléklet a 7/",LEFT(ÖSSZEFÜGGÉSEK!A4,4)+1,". (IV. 28.) önkormányzati rendelethez")</f>
        <v>7.4. melléklet a 7/2017. (IV. 28.) önkormányzati rendelethez</v>
      </c>
    </row>
    <row r="2" spans="1:5" s="532" customFormat="1" ht="25.5" customHeight="1">
      <c r="A2" s="512" t="s">
        <v>145</v>
      </c>
      <c r="B2" s="747" t="s">
        <v>745</v>
      </c>
      <c r="C2" s="748"/>
      <c r="D2" s="749"/>
      <c r="E2" s="555" t="s">
        <v>47</v>
      </c>
    </row>
    <row r="3" spans="1:5" s="532" customFormat="1" ht="24.75" thickBot="1">
      <c r="A3" s="530" t="s">
        <v>550</v>
      </c>
      <c r="B3" s="750" t="s">
        <v>670</v>
      </c>
      <c r="C3" s="753"/>
      <c r="D3" s="754"/>
      <c r="E3" s="556" t="s">
        <v>49</v>
      </c>
    </row>
    <row r="4" spans="1:5" s="533" customFormat="1" ht="15.75" customHeight="1" thickBot="1">
      <c r="A4" s="487"/>
      <c r="B4" s="487"/>
      <c r="C4" s="488"/>
      <c r="D4" s="488"/>
      <c r="E4" s="488" t="str">
        <f>'7.3. sz. mell'!E4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414">
        <f>SUM(D9:D18)</f>
        <v>734254</v>
      </c>
      <c r="E8" s="552">
        <f>SUM(E9:E18)</f>
        <v>734254</v>
      </c>
    </row>
    <row r="9" spans="1:5" s="508" customFormat="1" ht="12" customHeight="1">
      <c r="A9" s="557" t="s">
        <v>69</v>
      </c>
      <c r="B9" s="337" t="s">
        <v>330</v>
      </c>
      <c r="C9" s="84"/>
      <c r="D9" s="84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411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411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411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411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411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411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85">
        <v>37</v>
      </c>
      <c r="E16" s="540">
        <v>37</v>
      </c>
    </row>
    <row r="17" spans="1:5" s="508" customFormat="1" ht="12" customHeight="1">
      <c r="A17" s="558" t="s">
        <v>83</v>
      </c>
      <c r="B17" s="335" t="s">
        <v>339</v>
      </c>
      <c r="C17" s="411"/>
      <c r="D17" s="411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413">
        <v>734217</v>
      </c>
      <c r="E18" s="536">
        <v>734217</v>
      </c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411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411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411"/>
      <c r="E22" s="93"/>
    </row>
    <row r="23" spans="1:5" s="535" customFormat="1" ht="12" customHeight="1" thickBot="1">
      <c r="A23" s="558" t="s">
        <v>78</v>
      </c>
      <c r="B23" s="335" t="s">
        <v>671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122</v>
      </c>
      <c r="C24" s="42">
        <v>240000</v>
      </c>
      <c r="D24" s="42"/>
      <c r="E24" s="551"/>
    </row>
    <row r="25" spans="1:5" s="535" customFormat="1" ht="12" customHeight="1" thickBot="1">
      <c r="A25" s="545" t="s">
        <v>10</v>
      </c>
      <c r="B25" s="355" t="s">
        <v>557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324</v>
      </c>
      <c r="B26" s="560" t="s">
        <v>555</v>
      </c>
      <c r="C26" s="81"/>
      <c r="D26" s="81"/>
      <c r="E26" s="539"/>
    </row>
    <row r="27" spans="1:5" s="535" customFormat="1" ht="12" customHeight="1">
      <c r="A27" s="559" t="s">
        <v>325</v>
      </c>
      <c r="B27" s="561" t="s">
        <v>558</v>
      </c>
      <c r="C27" s="415"/>
      <c r="D27" s="415"/>
      <c r="E27" s="538"/>
    </row>
    <row r="28" spans="1:5" s="535" customFormat="1" ht="12" customHeight="1" thickBot="1">
      <c r="A28" s="558" t="s">
        <v>326</v>
      </c>
      <c r="B28" s="562" t="s">
        <v>672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559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62</v>
      </c>
      <c r="B30" s="560" t="s">
        <v>343</v>
      </c>
      <c r="C30" s="81"/>
      <c r="D30" s="81"/>
      <c r="E30" s="539"/>
    </row>
    <row r="31" spans="1:5" s="535" customFormat="1" ht="12" customHeight="1">
      <c r="A31" s="559" t="s">
        <v>63</v>
      </c>
      <c r="B31" s="561" t="s">
        <v>344</v>
      </c>
      <c r="C31" s="415"/>
      <c r="D31" s="415"/>
      <c r="E31" s="538"/>
    </row>
    <row r="32" spans="1:5" s="535" customFormat="1" ht="12" customHeight="1" thickBot="1">
      <c r="A32" s="558" t="s">
        <v>64</v>
      </c>
      <c r="B32" s="544" t="s">
        <v>346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471</v>
      </c>
      <c r="C33" s="42"/>
      <c r="D33" s="42">
        <v>841006</v>
      </c>
      <c r="E33" s="551">
        <v>841006</v>
      </c>
    </row>
    <row r="34" spans="1:5" s="508" customFormat="1" ht="12" customHeight="1" thickBot="1">
      <c r="A34" s="545" t="s">
        <v>13</v>
      </c>
      <c r="B34" s="355" t="s">
        <v>560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673</v>
      </c>
      <c r="C35" s="414">
        <f>+C8+C19+C24+C25+C29+C33+C34</f>
        <v>240000</v>
      </c>
      <c r="D35" s="414">
        <f>+D8+D19+D24+D25+D29+D33+D34</f>
        <v>1575260</v>
      </c>
      <c r="E35" s="552">
        <f>+E8+E19+E24+E25+E29+E33+E34</f>
        <v>1575260</v>
      </c>
    </row>
    <row r="36" spans="1:5" s="508" customFormat="1" ht="12" customHeight="1" thickBot="1">
      <c r="A36" s="547" t="s">
        <v>15</v>
      </c>
      <c r="B36" s="355" t="s">
        <v>562</v>
      </c>
      <c r="C36" s="414">
        <f>+C37+C38+C39</f>
        <v>49040000</v>
      </c>
      <c r="D36" s="414">
        <f>+D37+D38+D39</f>
        <v>39410702</v>
      </c>
      <c r="E36" s="552">
        <f>+E37+E38+E39</f>
        <v>39410702</v>
      </c>
    </row>
    <row r="37" spans="1:5" s="508" customFormat="1" ht="12" customHeight="1">
      <c r="A37" s="559" t="s">
        <v>563</v>
      </c>
      <c r="B37" s="560" t="s">
        <v>160</v>
      </c>
      <c r="C37" s="81"/>
      <c r="D37" s="81">
        <v>447745</v>
      </c>
      <c r="E37" s="539">
        <v>447745</v>
      </c>
    </row>
    <row r="38" spans="1:5" s="535" customFormat="1" ht="12" customHeight="1">
      <c r="A38" s="559" t="s">
        <v>564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565</v>
      </c>
      <c r="B39" s="544" t="s">
        <v>566</v>
      </c>
      <c r="C39" s="542">
        <v>49040000</v>
      </c>
      <c r="D39" s="542">
        <v>38962957</v>
      </c>
      <c r="E39" s="537">
        <v>38962957</v>
      </c>
    </row>
    <row r="40" spans="1:5" s="535" customFormat="1" ht="15" customHeight="1" thickBot="1">
      <c r="A40" s="547" t="s">
        <v>16</v>
      </c>
      <c r="B40" s="548" t="s">
        <v>567</v>
      </c>
      <c r="C40" s="87">
        <f>+C35+C36</f>
        <v>49280000</v>
      </c>
      <c r="D40" s="87">
        <f>+D35+D36</f>
        <v>40985962</v>
      </c>
      <c r="E40" s="553">
        <f>+E35+E36</f>
        <v>40985962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44" t="s">
        <v>43</v>
      </c>
      <c r="B43" s="745"/>
      <c r="C43" s="745"/>
      <c r="D43" s="745"/>
      <c r="E43" s="746"/>
    </row>
    <row r="44" spans="1:5" s="310" customFormat="1" ht="12" customHeight="1" thickBot="1">
      <c r="A44" s="545" t="s">
        <v>7</v>
      </c>
      <c r="B44" s="355" t="s">
        <v>568</v>
      </c>
      <c r="C44" s="414">
        <f>SUM(C45:C49)</f>
        <v>49280000</v>
      </c>
      <c r="D44" s="414">
        <f>SUM(D45:D49)</f>
        <v>40985962</v>
      </c>
      <c r="E44" s="445">
        <f>SUM(E45:E49)</f>
        <v>40434929</v>
      </c>
    </row>
    <row r="45" spans="1:5" ht="12" customHeight="1">
      <c r="A45" s="558" t="s">
        <v>69</v>
      </c>
      <c r="B45" s="336" t="s">
        <v>37</v>
      </c>
      <c r="C45" s="81">
        <v>27305000</v>
      </c>
      <c r="D45" s="81">
        <v>27222510</v>
      </c>
      <c r="E45" s="440">
        <v>27222510</v>
      </c>
    </row>
    <row r="46" spans="1:5" ht="12" customHeight="1">
      <c r="A46" s="558" t="s">
        <v>70</v>
      </c>
      <c r="B46" s="335" t="s">
        <v>131</v>
      </c>
      <c r="C46" s="408">
        <v>7552000</v>
      </c>
      <c r="D46" s="408">
        <v>6998515</v>
      </c>
      <c r="E46" s="441">
        <v>6998515</v>
      </c>
    </row>
    <row r="47" spans="1:5" ht="12" customHeight="1">
      <c r="A47" s="558" t="s">
        <v>71</v>
      </c>
      <c r="B47" s="335" t="s">
        <v>98</v>
      </c>
      <c r="C47" s="408">
        <v>14423000</v>
      </c>
      <c r="D47" s="408">
        <v>6764937</v>
      </c>
      <c r="E47" s="441">
        <v>6213904</v>
      </c>
    </row>
    <row r="48" spans="1:5" ht="12" customHeight="1">
      <c r="A48" s="558" t="s">
        <v>72</v>
      </c>
      <c r="B48" s="335" t="s">
        <v>132</v>
      </c>
      <c r="C48" s="408"/>
      <c r="D48" s="408"/>
      <c r="E48" s="441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75</v>
      </c>
      <c r="B51" s="336" t="s">
        <v>153</v>
      </c>
      <c r="C51" s="81"/>
      <c r="D51" s="81"/>
      <c r="E51" s="440"/>
    </row>
    <row r="52" spans="1:5" ht="12" customHeight="1">
      <c r="A52" s="558" t="s">
        <v>76</v>
      </c>
      <c r="B52" s="335" t="s">
        <v>135</v>
      </c>
      <c r="C52" s="408"/>
      <c r="D52" s="408"/>
      <c r="E52" s="441"/>
    </row>
    <row r="53" spans="1:5" ht="12" customHeight="1">
      <c r="A53" s="558" t="s">
        <v>77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78</v>
      </c>
      <c r="B54" s="335" t="s">
        <v>674</v>
      </c>
      <c r="C54" s="408"/>
      <c r="D54" s="408"/>
      <c r="E54" s="441"/>
    </row>
    <row r="55" spans="1:5" ht="12" customHeight="1" thickBot="1">
      <c r="A55" s="545" t="s">
        <v>9</v>
      </c>
      <c r="B55" s="549" t="s">
        <v>570</v>
      </c>
      <c r="C55" s="414">
        <f>+C44+C50</f>
        <v>49280000</v>
      </c>
      <c r="D55" s="414">
        <f>+D44+D50</f>
        <v>40985962</v>
      </c>
      <c r="E55" s="445">
        <f>+E44+E50</f>
        <v>40434929</v>
      </c>
    </row>
    <row r="56" spans="3:5" ht="13.5" thickBot="1">
      <c r="C56" s="554"/>
      <c r="D56" s="554"/>
      <c r="E56" s="554"/>
    </row>
    <row r="57" spans="1:5" ht="15" customHeight="1" thickBot="1">
      <c r="A57" s="637" t="s">
        <v>735</v>
      </c>
      <c r="B57" s="638"/>
      <c r="C57" s="91">
        <v>9</v>
      </c>
      <c r="D57" s="91">
        <v>9</v>
      </c>
      <c r="E57" s="543">
        <v>9</v>
      </c>
    </row>
    <row r="58" spans="1:5" ht="14.25" customHeight="1" thickBot="1">
      <c r="A58" s="639" t="s">
        <v>734</v>
      </c>
      <c r="B58" s="640"/>
      <c r="C58" s="91"/>
      <c r="D58" s="91"/>
      <c r="E58" s="543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E22" sqref="E22"/>
    </sheetView>
  </sheetViews>
  <sheetFormatPr defaultColWidth="9.00390625" defaultRowHeight="12.75"/>
  <cols>
    <col min="1" max="1" width="9.50390625" style="376" customWidth="1"/>
    <col min="2" max="2" width="60.875" style="376" customWidth="1"/>
    <col min="3" max="5" width="15.875" style="377" customWidth="1"/>
    <col min="6" max="16384" width="9.375" style="387" customWidth="1"/>
  </cols>
  <sheetData>
    <row r="1" spans="1:5" ht="15.75" customHeight="1">
      <c r="A1" s="704" t="s">
        <v>4</v>
      </c>
      <c r="B1" s="704"/>
      <c r="C1" s="704"/>
      <c r="D1" s="704"/>
      <c r="E1" s="704"/>
    </row>
    <row r="2" spans="1:5" ht="15.75" customHeight="1" thickBot="1">
      <c r="A2" s="46" t="s">
        <v>109</v>
      </c>
      <c r="B2" s="46"/>
      <c r="C2" s="374"/>
      <c r="D2" s="374"/>
      <c r="E2" s="374" t="s">
        <v>736</v>
      </c>
    </row>
    <row r="3" spans="1:5" ht="15.75" customHeight="1">
      <c r="A3" s="705" t="s">
        <v>57</v>
      </c>
      <c r="B3" s="707" t="s">
        <v>6</v>
      </c>
      <c r="C3" s="709" t="str">
        <f>+CONCATENATE(LEFT(ÖSSZEFÜGGÉSEK!A4,4),". évi")</f>
        <v>2016. évi</v>
      </c>
      <c r="D3" s="709"/>
      <c r="E3" s="710"/>
    </row>
    <row r="4" spans="1:5" ht="37.5" customHeight="1" thickBot="1">
      <c r="A4" s="706"/>
      <c r="B4" s="708"/>
      <c r="C4" s="48" t="s">
        <v>173</v>
      </c>
      <c r="D4" s="48" t="s">
        <v>178</v>
      </c>
      <c r="E4" s="49" t="s">
        <v>179</v>
      </c>
    </row>
    <row r="5" spans="1:5" s="388" customFormat="1" ht="12" customHeight="1" thickBot="1">
      <c r="A5" s="352" t="s">
        <v>411</v>
      </c>
      <c r="B5" s="353" t="s">
        <v>412</v>
      </c>
      <c r="C5" s="353" t="s">
        <v>413</v>
      </c>
      <c r="D5" s="353" t="s">
        <v>414</v>
      </c>
      <c r="E5" s="399" t="s">
        <v>415</v>
      </c>
    </row>
    <row r="6" spans="1:5" s="389" customFormat="1" ht="12" customHeight="1" thickBot="1">
      <c r="A6" s="347" t="s">
        <v>7</v>
      </c>
      <c r="B6" s="348" t="s">
        <v>303</v>
      </c>
      <c r="C6" s="379">
        <f>SUM(C7:C12)</f>
        <v>200031103</v>
      </c>
      <c r="D6" s="379">
        <f>SUM(D7:D12)</f>
        <v>203800049</v>
      </c>
      <c r="E6" s="362">
        <f>SUM(E7:E12)</f>
        <v>203800049</v>
      </c>
    </row>
    <row r="7" spans="1:5" s="389" customFormat="1" ht="12" customHeight="1">
      <c r="A7" s="342" t="s">
        <v>69</v>
      </c>
      <c r="B7" s="390" t="s">
        <v>304</v>
      </c>
      <c r="C7" s="381">
        <v>89398134</v>
      </c>
      <c r="D7" s="381">
        <v>89398134</v>
      </c>
      <c r="E7" s="364">
        <v>89398134</v>
      </c>
    </row>
    <row r="8" spans="1:5" s="389" customFormat="1" ht="12" customHeight="1">
      <c r="A8" s="341" t="s">
        <v>70</v>
      </c>
      <c r="B8" s="391" t="s">
        <v>305</v>
      </c>
      <c r="C8" s="380">
        <v>52473700</v>
      </c>
      <c r="D8" s="380">
        <v>52393701</v>
      </c>
      <c r="E8" s="363">
        <v>52393701</v>
      </c>
    </row>
    <row r="9" spans="1:5" s="389" customFormat="1" ht="12" customHeight="1">
      <c r="A9" s="341" t="s">
        <v>71</v>
      </c>
      <c r="B9" s="391" t="s">
        <v>306</v>
      </c>
      <c r="C9" s="380">
        <v>54102009</v>
      </c>
      <c r="D9" s="380">
        <v>55120596</v>
      </c>
      <c r="E9" s="363">
        <v>55120596</v>
      </c>
    </row>
    <row r="10" spans="1:5" s="389" customFormat="1" ht="12" customHeight="1">
      <c r="A10" s="341" t="s">
        <v>72</v>
      </c>
      <c r="B10" s="391" t="s">
        <v>307</v>
      </c>
      <c r="C10" s="380">
        <v>4057260</v>
      </c>
      <c r="D10" s="380">
        <v>4057260</v>
      </c>
      <c r="E10" s="363">
        <v>4057260</v>
      </c>
    </row>
    <row r="11" spans="1:5" s="389" customFormat="1" ht="12" customHeight="1">
      <c r="A11" s="341" t="s">
        <v>105</v>
      </c>
      <c r="B11" s="391" t="s">
        <v>308</v>
      </c>
      <c r="C11" s="380"/>
      <c r="D11" s="380">
        <v>2645791</v>
      </c>
      <c r="E11" s="363">
        <v>2645791</v>
      </c>
    </row>
    <row r="12" spans="1:5" s="389" customFormat="1" ht="12" customHeight="1" thickBot="1">
      <c r="A12" s="343" t="s">
        <v>73</v>
      </c>
      <c r="B12" s="392" t="s">
        <v>309</v>
      </c>
      <c r="C12" s="382"/>
      <c r="D12" s="382">
        <v>184567</v>
      </c>
      <c r="E12" s="365">
        <v>184567</v>
      </c>
    </row>
    <row r="13" spans="1:5" s="389" customFormat="1" ht="12" customHeight="1" thickBot="1">
      <c r="A13" s="347" t="s">
        <v>8</v>
      </c>
      <c r="B13" s="369" t="s">
        <v>310</v>
      </c>
      <c r="C13" s="379">
        <f>SUM(C14:C18)</f>
        <v>73748000</v>
      </c>
      <c r="D13" s="379">
        <f>SUM(D14:D18)</f>
        <v>206087136</v>
      </c>
      <c r="E13" s="362">
        <f>SUM(E14:E18)</f>
        <v>148738679</v>
      </c>
    </row>
    <row r="14" spans="1:5" s="389" customFormat="1" ht="12" customHeight="1">
      <c r="A14" s="342" t="s">
        <v>75</v>
      </c>
      <c r="B14" s="390" t="s">
        <v>311</v>
      </c>
      <c r="C14" s="381"/>
      <c r="D14" s="381">
        <v>7307475</v>
      </c>
      <c r="E14" s="364">
        <v>7307475</v>
      </c>
    </row>
    <row r="15" spans="1:5" s="389" customFormat="1" ht="12" customHeight="1">
      <c r="A15" s="341" t="s">
        <v>76</v>
      </c>
      <c r="B15" s="391" t="s">
        <v>312</v>
      </c>
      <c r="C15" s="380"/>
      <c r="D15" s="380"/>
      <c r="E15" s="363"/>
    </row>
    <row r="16" spans="1:5" s="389" customFormat="1" ht="12" customHeight="1">
      <c r="A16" s="341" t="s">
        <v>77</v>
      </c>
      <c r="B16" s="391" t="s">
        <v>313</v>
      </c>
      <c r="C16" s="380"/>
      <c r="D16" s="380"/>
      <c r="E16" s="363"/>
    </row>
    <row r="17" spans="1:5" s="389" customFormat="1" ht="12" customHeight="1">
      <c r="A17" s="341" t="s">
        <v>78</v>
      </c>
      <c r="B17" s="391" t="s">
        <v>314</v>
      </c>
      <c r="C17" s="380"/>
      <c r="D17" s="411"/>
      <c r="E17" s="411"/>
    </row>
    <row r="18" spans="1:5" s="389" customFormat="1" ht="12" customHeight="1">
      <c r="A18" s="341" t="s">
        <v>79</v>
      </c>
      <c r="B18" s="391" t="s">
        <v>315</v>
      </c>
      <c r="C18" s="380">
        <v>73748000</v>
      </c>
      <c r="D18" s="411">
        <v>198779661</v>
      </c>
      <c r="E18" s="411">
        <v>141431204</v>
      </c>
    </row>
    <row r="19" spans="1:5" s="389" customFormat="1" ht="12" customHeight="1" thickBot="1">
      <c r="A19" s="343" t="s">
        <v>86</v>
      </c>
      <c r="B19" s="392" t="s">
        <v>316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348" t="s">
        <v>317</v>
      </c>
      <c r="C20" s="379">
        <f>SUM(C21:C25)</f>
        <v>0</v>
      </c>
      <c r="D20" s="379">
        <f>SUM(D21:D25)</f>
        <v>111999999</v>
      </c>
      <c r="E20" s="362">
        <f>SUM(E21:E25)</f>
        <v>111999999</v>
      </c>
    </row>
    <row r="21" spans="1:5" s="389" customFormat="1" ht="12" customHeight="1">
      <c r="A21" s="342" t="s">
        <v>58</v>
      </c>
      <c r="B21" s="390" t="s">
        <v>318</v>
      </c>
      <c r="C21" s="381"/>
      <c r="D21" s="381">
        <v>111999999</v>
      </c>
      <c r="E21" s="364">
        <v>111999999</v>
      </c>
    </row>
    <row r="22" spans="1:5" s="389" customFormat="1" ht="12" customHeight="1">
      <c r="A22" s="341" t="s">
        <v>59</v>
      </c>
      <c r="B22" s="391" t="s">
        <v>319</v>
      </c>
      <c r="C22" s="380"/>
      <c r="D22" s="380"/>
      <c r="E22" s="363"/>
    </row>
    <row r="23" spans="1:5" s="389" customFormat="1" ht="12" customHeight="1">
      <c r="A23" s="341" t="s">
        <v>60</v>
      </c>
      <c r="B23" s="391" t="s">
        <v>320</v>
      </c>
      <c r="C23" s="380"/>
      <c r="D23" s="380"/>
      <c r="E23" s="363"/>
    </row>
    <row r="24" spans="1:5" s="389" customFormat="1" ht="12" customHeight="1">
      <c r="A24" s="341" t="s">
        <v>61</v>
      </c>
      <c r="B24" s="391" t="s">
        <v>321</v>
      </c>
      <c r="C24" s="380"/>
      <c r="D24" s="380"/>
      <c r="E24" s="363"/>
    </row>
    <row r="25" spans="1:5" s="389" customFormat="1" ht="12" customHeight="1">
      <c r="A25" s="341" t="s">
        <v>119</v>
      </c>
      <c r="B25" s="391" t="s">
        <v>322</v>
      </c>
      <c r="C25" s="380"/>
      <c r="D25" s="380"/>
      <c r="E25" s="363"/>
    </row>
    <row r="26" spans="1:5" s="389" customFormat="1" ht="12" customHeight="1" thickBot="1">
      <c r="A26" s="343" t="s">
        <v>120</v>
      </c>
      <c r="B26" s="371" t="s">
        <v>323</v>
      </c>
      <c r="C26" s="382"/>
      <c r="D26" s="382"/>
      <c r="E26" s="365"/>
    </row>
    <row r="27" spans="1:5" s="389" customFormat="1" ht="12" customHeight="1" thickBot="1">
      <c r="A27" s="347" t="s">
        <v>121</v>
      </c>
      <c r="B27" s="348" t="s">
        <v>724</v>
      </c>
      <c r="C27" s="385">
        <f>SUM(C28:C33)</f>
        <v>48240000</v>
      </c>
      <c r="D27" s="385">
        <f>SUM(D28:D33)</f>
        <v>57032589</v>
      </c>
      <c r="E27" s="398">
        <f>SUM(E28:E33)</f>
        <v>57032589</v>
      </c>
    </row>
    <row r="28" spans="1:5" s="389" customFormat="1" ht="12" customHeight="1">
      <c r="A28" s="342" t="s">
        <v>324</v>
      </c>
      <c r="B28" s="390" t="s">
        <v>728</v>
      </c>
      <c r="C28" s="381"/>
      <c r="D28" s="381"/>
      <c r="E28" s="364"/>
    </row>
    <row r="29" spans="1:5" s="389" customFormat="1" ht="12" customHeight="1">
      <c r="A29" s="341" t="s">
        <v>325</v>
      </c>
      <c r="B29" s="391" t="s">
        <v>729</v>
      </c>
      <c r="C29" s="380"/>
      <c r="D29" s="380"/>
      <c r="E29" s="363"/>
    </row>
    <row r="30" spans="1:5" s="389" customFormat="1" ht="12" customHeight="1">
      <c r="A30" s="341" t="s">
        <v>326</v>
      </c>
      <c r="B30" s="391" t="s">
        <v>730</v>
      </c>
      <c r="C30" s="380">
        <v>35000000</v>
      </c>
      <c r="D30" s="380">
        <v>44086230</v>
      </c>
      <c r="E30" s="363">
        <v>44086230</v>
      </c>
    </row>
    <row r="31" spans="1:5" s="389" customFormat="1" ht="12" customHeight="1">
      <c r="A31" s="341" t="s">
        <v>725</v>
      </c>
      <c r="B31" s="391" t="s">
        <v>731</v>
      </c>
      <c r="C31" s="380"/>
      <c r="D31" s="380"/>
      <c r="E31" s="363"/>
    </row>
    <row r="32" spans="1:5" s="389" customFormat="1" ht="12" customHeight="1">
      <c r="A32" s="341" t="s">
        <v>726</v>
      </c>
      <c r="B32" s="391" t="s">
        <v>748</v>
      </c>
      <c r="C32" s="380">
        <v>12000000</v>
      </c>
      <c r="D32" s="380">
        <v>10813451</v>
      </c>
      <c r="E32" s="363">
        <v>10813451</v>
      </c>
    </row>
    <row r="33" spans="1:5" s="389" customFormat="1" ht="12" customHeight="1" thickBot="1">
      <c r="A33" s="343" t="s">
        <v>727</v>
      </c>
      <c r="B33" s="371" t="s">
        <v>328</v>
      </c>
      <c r="C33" s="382">
        <v>1240000</v>
      </c>
      <c r="D33" s="382">
        <v>2132908</v>
      </c>
      <c r="E33" s="365">
        <v>2132908</v>
      </c>
    </row>
    <row r="34" spans="1:5" s="389" customFormat="1" ht="12" customHeight="1" thickBot="1">
      <c r="A34" s="347" t="s">
        <v>11</v>
      </c>
      <c r="B34" s="348" t="s">
        <v>329</v>
      </c>
      <c r="C34" s="379">
        <f>SUM(C35:C44)</f>
        <v>11226866</v>
      </c>
      <c r="D34" s="379">
        <f>SUM(D35:D44)</f>
        <v>14477903</v>
      </c>
      <c r="E34" s="362">
        <f>SUM(E35:E44)</f>
        <v>14477903</v>
      </c>
    </row>
    <row r="35" spans="1:5" s="389" customFormat="1" ht="12" customHeight="1">
      <c r="A35" s="342" t="s">
        <v>62</v>
      </c>
      <c r="B35" s="390" t="s">
        <v>330</v>
      </c>
      <c r="C35" s="381"/>
      <c r="D35" s="381"/>
      <c r="E35" s="364"/>
    </row>
    <row r="36" spans="1:5" s="389" customFormat="1" ht="12" customHeight="1">
      <c r="A36" s="341" t="s">
        <v>63</v>
      </c>
      <c r="B36" s="391" t="s">
        <v>331</v>
      </c>
      <c r="C36" s="380"/>
      <c r="D36" s="380">
        <v>5301067</v>
      </c>
      <c r="E36" s="363">
        <v>5301067</v>
      </c>
    </row>
    <row r="37" spans="1:5" s="389" customFormat="1" ht="12" customHeight="1">
      <c r="A37" s="341" t="s">
        <v>64</v>
      </c>
      <c r="B37" s="391" t="s">
        <v>332</v>
      </c>
      <c r="C37" s="380"/>
      <c r="D37" s="380"/>
      <c r="E37" s="363"/>
    </row>
    <row r="38" spans="1:5" s="389" customFormat="1" ht="12" customHeight="1">
      <c r="A38" s="341" t="s">
        <v>123</v>
      </c>
      <c r="B38" s="391" t="s">
        <v>333</v>
      </c>
      <c r="C38" s="380">
        <v>1659000</v>
      </c>
      <c r="D38" s="380"/>
      <c r="E38" s="363"/>
    </row>
    <row r="39" spans="1:5" s="389" customFormat="1" ht="12" customHeight="1">
      <c r="A39" s="341" t="s">
        <v>124</v>
      </c>
      <c r="B39" s="391" t="s">
        <v>334</v>
      </c>
      <c r="C39" s="380">
        <v>6000000</v>
      </c>
      <c r="D39" s="380">
        <v>5877858</v>
      </c>
      <c r="E39" s="363">
        <v>5877858</v>
      </c>
    </row>
    <row r="40" spans="1:5" s="389" customFormat="1" ht="12" customHeight="1">
      <c r="A40" s="341" t="s">
        <v>125</v>
      </c>
      <c r="B40" s="391" t="s">
        <v>335</v>
      </c>
      <c r="C40" s="380">
        <v>2068000</v>
      </c>
      <c r="D40" s="380">
        <v>3018308</v>
      </c>
      <c r="E40" s="363">
        <v>3018308</v>
      </c>
    </row>
    <row r="41" spans="1:5" s="389" customFormat="1" ht="12" customHeight="1">
      <c r="A41" s="341" t="s">
        <v>126</v>
      </c>
      <c r="B41" s="391" t="s">
        <v>336</v>
      </c>
      <c r="C41" s="380"/>
      <c r="D41" s="380"/>
      <c r="E41" s="363"/>
    </row>
    <row r="42" spans="1:5" s="389" customFormat="1" ht="12" customHeight="1">
      <c r="A42" s="341" t="s">
        <v>127</v>
      </c>
      <c r="B42" s="391" t="s">
        <v>337</v>
      </c>
      <c r="C42" s="380">
        <v>1499866</v>
      </c>
      <c r="D42" s="380">
        <v>280670</v>
      </c>
      <c r="E42" s="363">
        <v>280670</v>
      </c>
    </row>
    <row r="43" spans="1:5" s="389" customFormat="1" ht="12" customHeight="1">
      <c r="A43" s="341" t="s">
        <v>338</v>
      </c>
      <c r="B43" s="391" t="s">
        <v>339</v>
      </c>
      <c r="C43" s="383"/>
      <c r="D43" s="383"/>
      <c r="E43" s="366"/>
    </row>
    <row r="44" spans="1:5" s="389" customFormat="1" ht="12" customHeight="1" thickBot="1">
      <c r="A44" s="343" t="s">
        <v>340</v>
      </c>
      <c r="B44" s="392" t="s">
        <v>341</v>
      </c>
      <c r="C44" s="384"/>
      <c r="D44" s="384"/>
      <c r="E44" s="367"/>
    </row>
    <row r="45" spans="1:5" s="389" customFormat="1" ht="12" customHeight="1" thickBot="1">
      <c r="A45" s="347" t="s">
        <v>12</v>
      </c>
      <c r="B45" s="348" t="s">
        <v>342</v>
      </c>
      <c r="C45" s="379">
        <f>SUM(C46:C50)</f>
        <v>0</v>
      </c>
      <c r="D45" s="379">
        <f>SUM(D46:D50)</f>
        <v>50000</v>
      </c>
      <c r="E45" s="362">
        <f>SUM(E46:E50)</f>
        <v>50000</v>
      </c>
    </row>
    <row r="46" spans="1:5" s="389" customFormat="1" ht="12" customHeight="1">
      <c r="A46" s="342" t="s">
        <v>65</v>
      </c>
      <c r="B46" s="390" t="s">
        <v>343</v>
      </c>
      <c r="C46" s="400"/>
      <c r="D46" s="400"/>
      <c r="E46" s="368"/>
    </row>
    <row r="47" spans="1:5" s="389" customFormat="1" ht="12" customHeight="1">
      <c r="A47" s="341" t="s">
        <v>66</v>
      </c>
      <c r="B47" s="391" t="s">
        <v>344</v>
      </c>
      <c r="C47" s="383"/>
      <c r="D47" s="383"/>
      <c r="E47" s="366"/>
    </row>
    <row r="48" spans="1:5" s="389" customFormat="1" ht="12" customHeight="1">
      <c r="A48" s="341" t="s">
        <v>345</v>
      </c>
      <c r="B48" s="391" t="s">
        <v>346</v>
      </c>
      <c r="C48" s="383"/>
      <c r="D48" s="383">
        <v>50000</v>
      </c>
      <c r="E48" s="366">
        <v>50000</v>
      </c>
    </row>
    <row r="49" spans="1:5" s="389" customFormat="1" ht="12" customHeight="1">
      <c r="A49" s="341" t="s">
        <v>347</v>
      </c>
      <c r="B49" s="391" t="s">
        <v>348</v>
      </c>
      <c r="C49" s="383"/>
      <c r="D49" s="383"/>
      <c r="E49" s="366"/>
    </row>
    <row r="50" spans="1:5" s="389" customFormat="1" ht="12" customHeight="1" thickBot="1">
      <c r="A50" s="343" t="s">
        <v>349</v>
      </c>
      <c r="B50" s="392" t="s">
        <v>350</v>
      </c>
      <c r="C50" s="384"/>
      <c r="D50" s="384"/>
      <c r="E50" s="367"/>
    </row>
    <row r="51" spans="1:5" s="389" customFormat="1" ht="17.25" customHeight="1" thickBot="1">
      <c r="A51" s="347" t="s">
        <v>128</v>
      </c>
      <c r="B51" s="348" t="s">
        <v>351</v>
      </c>
      <c r="C51" s="379">
        <f>SUM(C52:C54)</f>
        <v>0</v>
      </c>
      <c r="D51" s="379">
        <f>SUM(D52:D54)</f>
        <v>841006</v>
      </c>
      <c r="E51" s="362">
        <f>SUM(E52:E54)</f>
        <v>841006</v>
      </c>
    </row>
    <row r="52" spans="1:5" s="389" customFormat="1" ht="12" customHeight="1">
      <c r="A52" s="342" t="s">
        <v>67</v>
      </c>
      <c r="B52" s="390" t="s">
        <v>352</v>
      </c>
      <c r="C52" s="381"/>
      <c r="D52" s="381"/>
      <c r="E52" s="364"/>
    </row>
    <row r="53" spans="1:5" s="389" customFormat="1" ht="12" customHeight="1">
      <c r="A53" s="341" t="s">
        <v>68</v>
      </c>
      <c r="B53" s="391" t="s">
        <v>353</v>
      </c>
      <c r="C53" s="380"/>
      <c r="D53" s="380"/>
      <c r="E53" s="363"/>
    </row>
    <row r="54" spans="1:5" s="389" customFormat="1" ht="12" customHeight="1">
      <c r="A54" s="341" t="s">
        <v>354</v>
      </c>
      <c r="B54" s="391" t="s">
        <v>355</v>
      </c>
      <c r="C54" s="380"/>
      <c r="D54" s="411">
        <v>841006</v>
      </c>
      <c r="E54" s="411">
        <v>841006</v>
      </c>
    </row>
    <row r="55" spans="1:5" s="389" customFormat="1" ht="12" customHeight="1" thickBot="1">
      <c r="A55" s="343" t="s">
        <v>356</v>
      </c>
      <c r="B55" s="392" t="s">
        <v>357</v>
      </c>
      <c r="C55" s="382"/>
      <c r="D55" s="382"/>
      <c r="E55" s="365"/>
    </row>
    <row r="56" spans="1:5" s="389" customFormat="1" ht="12" customHeight="1" thickBot="1">
      <c r="A56" s="347" t="s">
        <v>14</v>
      </c>
      <c r="B56" s="369" t="s">
        <v>358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2" customHeight="1">
      <c r="A57" s="342" t="s">
        <v>129</v>
      </c>
      <c r="B57" s="390" t="s">
        <v>359</v>
      </c>
      <c r="C57" s="383"/>
      <c r="D57" s="383"/>
      <c r="E57" s="366"/>
    </row>
    <row r="58" spans="1:5" s="389" customFormat="1" ht="12" customHeight="1">
      <c r="A58" s="341" t="s">
        <v>130</v>
      </c>
      <c r="B58" s="391" t="s">
        <v>360</v>
      </c>
      <c r="C58" s="383"/>
      <c r="D58" s="383"/>
      <c r="E58" s="366"/>
    </row>
    <row r="59" spans="1:5" s="389" customFormat="1" ht="12" customHeight="1">
      <c r="A59" s="341" t="s">
        <v>154</v>
      </c>
      <c r="B59" s="391" t="s">
        <v>361</v>
      </c>
      <c r="C59" s="383"/>
      <c r="D59" s="383"/>
      <c r="E59" s="366"/>
    </row>
    <row r="60" spans="1:5" s="389" customFormat="1" ht="12" customHeight="1" thickBot="1">
      <c r="A60" s="343" t="s">
        <v>362</v>
      </c>
      <c r="B60" s="392" t="s">
        <v>363</v>
      </c>
      <c r="C60" s="383"/>
      <c r="D60" s="383"/>
      <c r="E60" s="366"/>
    </row>
    <row r="61" spans="1:5" s="389" customFormat="1" ht="12" customHeight="1" thickBot="1">
      <c r="A61" s="347" t="s">
        <v>15</v>
      </c>
      <c r="B61" s="348" t="s">
        <v>364</v>
      </c>
      <c r="C61" s="385">
        <f>+C6+C13+C20+C27+C34+C45+C51+C56</f>
        <v>333245969</v>
      </c>
      <c r="D61" s="385">
        <f>+D6+D13+D20+D27+D34+D45+D51+D56</f>
        <v>594288682</v>
      </c>
      <c r="E61" s="398">
        <f>+E6+E13+E20+E27+E34+E45+E51+E56</f>
        <v>536940225</v>
      </c>
    </row>
    <row r="62" spans="1:5" s="389" customFormat="1" ht="12" customHeight="1" thickBot="1">
      <c r="A62" s="401" t="s">
        <v>365</v>
      </c>
      <c r="B62" s="369" t="s">
        <v>366</v>
      </c>
      <c r="C62" s="379">
        <f>+C63+C64+C65</f>
        <v>9509000</v>
      </c>
      <c r="D62" s="379">
        <f>+D63+D64+D65</f>
        <v>0</v>
      </c>
      <c r="E62" s="362">
        <f>+E63+E64+E65</f>
        <v>0</v>
      </c>
    </row>
    <row r="63" spans="1:5" s="389" customFormat="1" ht="12" customHeight="1">
      <c r="A63" s="342" t="s">
        <v>367</v>
      </c>
      <c r="B63" s="390" t="s">
        <v>368</v>
      </c>
      <c r="C63" s="383"/>
      <c r="D63" s="383"/>
      <c r="E63" s="366"/>
    </row>
    <row r="64" spans="1:5" s="389" customFormat="1" ht="12" customHeight="1">
      <c r="A64" s="341" t="s">
        <v>369</v>
      </c>
      <c r="B64" s="391" t="s">
        <v>370</v>
      </c>
      <c r="C64" s="383">
        <v>9509000</v>
      </c>
      <c r="D64" s="383"/>
      <c r="E64" s="366"/>
    </row>
    <row r="65" spans="1:5" s="389" customFormat="1" ht="12" customHeight="1" thickBot="1">
      <c r="A65" s="343" t="s">
        <v>371</v>
      </c>
      <c r="B65" s="327" t="s">
        <v>416</v>
      </c>
      <c r="C65" s="383"/>
      <c r="D65" s="383"/>
      <c r="E65" s="366"/>
    </row>
    <row r="66" spans="1:5" s="389" customFormat="1" ht="12" customHeight="1" thickBot="1">
      <c r="A66" s="401" t="s">
        <v>373</v>
      </c>
      <c r="B66" s="369" t="s">
        <v>374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3.5" customHeight="1">
      <c r="A67" s="342" t="s">
        <v>106</v>
      </c>
      <c r="B67" s="390" t="s">
        <v>375</v>
      </c>
      <c r="C67" s="383"/>
      <c r="D67" s="383"/>
      <c r="E67" s="366"/>
    </row>
    <row r="68" spans="1:5" s="389" customFormat="1" ht="12" customHeight="1">
      <c r="A68" s="341" t="s">
        <v>107</v>
      </c>
      <c r="B68" s="391" t="s">
        <v>376</v>
      </c>
      <c r="C68" s="383"/>
      <c r="D68" s="383"/>
      <c r="E68" s="366"/>
    </row>
    <row r="69" spans="1:5" s="389" customFormat="1" ht="12" customHeight="1">
      <c r="A69" s="341" t="s">
        <v>377</v>
      </c>
      <c r="B69" s="391" t="s">
        <v>378</v>
      </c>
      <c r="C69" s="383"/>
      <c r="D69" s="383"/>
      <c r="E69" s="366"/>
    </row>
    <row r="70" spans="1:5" s="389" customFormat="1" ht="12" customHeight="1" thickBot="1">
      <c r="A70" s="343" t="s">
        <v>379</v>
      </c>
      <c r="B70" s="392" t="s">
        <v>380</v>
      </c>
      <c r="C70" s="383"/>
      <c r="D70" s="383"/>
      <c r="E70" s="366"/>
    </row>
    <row r="71" spans="1:5" s="389" customFormat="1" ht="12" customHeight="1" thickBot="1">
      <c r="A71" s="401" t="s">
        <v>381</v>
      </c>
      <c r="B71" s="369" t="s">
        <v>382</v>
      </c>
      <c r="C71" s="379">
        <f>+C72+C73</f>
        <v>0</v>
      </c>
      <c r="D71" s="379">
        <f>+D72+D73</f>
        <v>30368659</v>
      </c>
      <c r="E71" s="362">
        <f>+E72+E73</f>
        <v>30368659</v>
      </c>
    </row>
    <row r="72" spans="1:5" s="389" customFormat="1" ht="12" customHeight="1">
      <c r="A72" s="342" t="s">
        <v>383</v>
      </c>
      <c r="B72" s="390" t="s">
        <v>384</v>
      </c>
      <c r="C72" s="383"/>
      <c r="D72" s="408">
        <v>30368659</v>
      </c>
      <c r="E72" s="408">
        <v>30368659</v>
      </c>
    </row>
    <row r="73" spans="1:5" s="389" customFormat="1" ht="12" customHeight="1" thickBot="1">
      <c r="A73" s="343" t="s">
        <v>385</v>
      </c>
      <c r="B73" s="392" t="s">
        <v>386</v>
      </c>
      <c r="C73" s="383"/>
      <c r="D73" s="383"/>
      <c r="E73" s="366"/>
    </row>
    <row r="74" spans="1:5" s="389" customFormat="1" ht="12" customHeight="1" thickBot="1">
      <c r="A74" s="401" t="s">
        <v>387</v>
      </c>
      <c r="B74" s="369" t="s">
        <v>388</v>
      </c>
      <c r="C74" s="379">
        <f>+C75+C76+C77</f>
        <v>58332000</v>
      </c>
      <c r="D74" s="379">
        <f>+D75+D76+D77</f>
        <v>47607903</v>
      </c>
      <c r="E74" s="362">
        <f>+E75+E76+E77</f>
        <v>47607903</v>
      </c>
    </row>
    <row r="75" spans="1:5" s="389" customFormat="1" ht="12" customHeight="1">
      <c r="A75" s="342" t="s">
        <v>389</v>
      </c>
      <c r="B75" s="390" t="s">
        <v>390</v>
      </c>
      <c r="C75" s="383"/>
      <c r="D75" s="383">
        <v>7607903</v>
      </c>
      <c r="E75" s="366">
        <v>7607903</v>
      </c>
    </row>
    <row r="76" spans="1:5" s="389" customFormat="1" ht="12" customHeight="1">
      <c r="A76" s="341" t="s">
        <v>391</v>
      </c>
      <c r="B76" s="391" t="s">
        <v>392</v>
      </c>
      <c r="C76" s="383"/>
      <c r="D76" s="383"/>
      <c r="E76" s="366"/>
    </row>
    <row r="77" spans="1:5" s="389" customFormat="1" ht="12" customHeight="1" thickBot="1">
      <c r="A77" s="343" t="s">
        <v>393</v>
      </c>
      <c r="B77" s="371" t="s">
        <v>394</v>
      </c>
      <c r="C77" s="383">
        <v>58332000</v>
      </c>
      <c r="D77" s="383">
        <v>40000000</v>
      </c>
      <c r="E77" s="366">
        <v>40000000</v>
      </c>
    </row>
    <row r="78" spans="1:5" s="389" customFormat="1" ht="12" customHeight="1" thickBot="1">
      <c r="A78" s="401" t="s">
        <v>395</v>
      </c>
      <c r="B78" s="369" t="s">
        <v>396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>
      <c r="A79" s="393" t="s">
        <v>397</v>
      </c>
      <c r="B79" s="390" t="s">
        <v>398</v>
      </c>
      <c r="C79" s="383"/>
      <c r="D79" s="383"/>
      <c r="E79" s="366"/>
    </row>
    <row r="80" spans="1:5" s="389" customFormat="1" ht="12" customHeight="1">
      <c r="A80" s="394" t="s">
        <v>399</v>
      </c>
      <c r="B80" s="391" t="s">
        <v>400</v>
      </c>
      <c r="C80" s="383"/>
      <c r="D80" s="383"/>
      <c r="E80" s="366"/>
    </row>
    <row r="81" spans="1:5" s="389" customFormat="1" ht="12" customHeight="1">
      <c r="A81" s="394" t="s">
        <v>401</v>
      </c>
      <c r="B81" s="391" t="s">
        <v>402</v>
      </c>
      <c r="C81" s="383"/>
      <c r="D81" s="383"/>
      <c r="E81" s="366"/>
    </row>
    <row r="82" spans="1:5" s="389" customFormat="1" ht="12" customHeight="1" thickBot="1">
      <c r="A82" s="402" t="s">
        <v>403</v>
      </c>
      <c r="B82" s="371" t="s">
        <v>404</v>
      </c>
      <c r="C82" s="383"/>
      <c r="D82" s="383"/>
      <c r="E82" s="366"/>
    </row>
    <row r="83" spans="1:5" s="389" customFormat="1" ht="12" customHeight="1" thickBot="1">
      <c r="A83" s="401" t="s">
        <v>405</v>
      </c>
      <c r="B83" s="369" t="s">
        <v>406</v>
      </c>
      <c r="C83" s="404"/>
      <c r="D83" s="404"/>
      <c r="E83" s="405"/>
    </row>
    <row r="84" spans="1:5" s="389" customFormat="1" ht="12" customHeight="1" thickBot="1">
      <c r="A84" s="401" t="s">
        <v>407</v>
      </c>
      <c r="B84" s="325" t="s">
        <v>408</v>
      </c>
      <c r="C84" s="385">
        <f>+C62+C66+C71+C74+C78+C83</f>
        <v>67841000</v>
      </c>
      <c r="D84" s="385">
        <f>+D62+D66+D71+D74+D78+D83</f>
        <v>77976562</v>
      </c>
      <c r="E84" s="398">
        <f>+E62+E66+E71+E74+E78+E83</f>
        <v>77976562</v>
      </c>
    </row>
    <row r="85" spans="1:5" s="389" customFormat="1" ht="12" customHeight="1" thickBot="1">
      <c r="A85" s="403" t="s">
        <v>409</v>
      </c>
      <c r="B85" s="328" t="s">
        <v>410</v>
      </c>
      <c r="C85" s="385">
        <f>+C61+C84</f>
        <v>401086969</v>
      </c>
      <c r="D85" s="385">
        <f>+D61+D84</f>
        <v>672265244</v>
      </c>
      <c r="E85" s="398">
        <f>+E61+E84</f>
        <v>614916787</v>
      </c>
    </row>
    <row r="86" spans="1:5" s="389" customFormat="1" ht="12" customHeight="1">
      <c r="A86" s="323"/>
      <c r="B86" s="323"/>
      <c r="C86" s="324"/>
      <c r="D86" s="324"/>
      <c r="E86" s="324"/>
    </row>
    <row r="87" spans="1:5" ht="16.5" customHeight="1">
      <c r="A87" s="704" t="s">
        <v>36</v>
      </c>
      <c r="B87" s="704"/>
      <c r="C87" s="704"/>
      <c r="D87" s="704"/>
      <c r="E87" s="704"/>
    </row>
    <row r="88" spans="1:5" s="395" customFormat="1" ht="16.5" customHeight="1" thickBot="1">
      <c r="A88" s="47" t="s">
        <v>110</v>
      </c>
      <c r="B88" s="47"/>
      <c r="C88" s="356"/>
      <c r="D88" s="356"/>
      <c r="E88" s="356" t="str">
        <f>E2</f>
        <v>Forintban!</v>
      </c>
    </row>
    <row r="89" spans="1:5" s="395" customFormat="1" ht="16.5" customHeight="1">
      <c r="A89" s="705" t="s">
        <v>57</v>
      </c>
      <c r="B89" s="707" t="s">
        <v>172</v>
      </c>
      <c r="C89" s="709" t="str">
        <f>+C3</f>
        <v>2016. évi</v>
      </c>
      <c r="D89" s="709"/>
      <c r="E89" s="710"/>
    </row>
    <row r="90" spans="1:5" ht="37.5" customHeight="1" thickBot="1">
      <c r="A90" s="706"/>
      <c r="B90" s="708"/>
      <c r="C90" s="48" t="s">
        <v>173</v>
      </c>
      <c r="D90" s="48" t="s">
        <v>178</v>
      </c>
      <c r="E90" s="49" t="s">
        <v>179</v>
      </c>
    </row>
    <row r="91" spans="1:5" s="388" customFormat="1" ht="12" customHeight="1" thickBot="1">
      <c r="A91" s="352" t="s">
        <v>411</v>
      </c>
      <c r="B91" s="353" t="s">
        <v>412</v>
      </c>
      <c r="C91" s="353" t="s">
        <v>413</v>
      </c>
      <c r="D91" s="353" t="s">
        <v>414</v>
      </c>
      <c r="E91" s="354" t="s">
        <v>415</v>
      </c>
    </row>
    <row r="92" spans="1:5" ht="12" customHeight="1" thickBot="1">
      <c r="A92" s="347" t="s">
        <v>7</v>
      </c>
      <c r="B92" s="350" t="s">
        <v>417</v>
      </c>
      <c r="C92" s="379">
        <f>SUM(C93:C97)</f>
        <v>352754969</v>
      </c>
      <c r="D92" s="379">
        <f>SUM(D93:D97)</f>
        <v>401309661</v>
      </c>
      <c r="E92" s="362">
        <f>SUM(E93:E97)</f>
        <v>374527551</v>
      </c>
    </row>
    <row r="93" spans="1:5" ht="12" customHeight="1">
      <c r="A93" s="342" t="s">
        <v>69</v>
      </c>
      <c r="B93" s="336" t="s">
        <v>37</v>
      </c>
      <c r="C93" s="410">
        <v>150138000</v>
      </c>
      <c r="D93" s="410">
        <f>113141384+1599500+27222510+38819716</f>
        <v>180783110</v>
      </c>
      <c r="E93" s="416">
        <f>113141384+27222510+1599500+38819716</f>
        <v>180783110</v>
      </c>
    </row>
    <row r="94" spans="1:5" ht="12" customHeight="1">
      <c r="A94" s="341" t="s">
        <v>70</v>
      </c>
      <c r="B94" s="335" t="s">
        <v>131</v>
      </c>
      <c r="C94" s="411">
        <v>35452000</v>
      </c>
      <c r="D94" s="411">
        <f>10589801+6998515+442463+20868207</f>
        <v>38898986</v>
      </c>
      <c r="E94" s="417">
        <f>10589801+442463+6998515+20868207</f>
        <v>38898986</v>
      </c>
    </row>
    <row r="95" spans="1:5" ht="12" customHeight="1">
      <c r="A95" s="341" t="s">
        <v>71</v>
      </c>
      <c r="B95" s="335" t="s">
        <v>98</v>
      </c>
      <c r="C95" s="411">
        <v>127172969</v>
      </c>
      <c r="D95" s="411">
        <f>117250924+1585838+6764937+5712436+16248645</f>
        <v>147562780</v>
      </c>
      <c r="E95" s="417">
        <f>108414328+6213904+1585838+5586600</f>
        <v>121800670</v>
      </c>
    </row>
    <row r="96" spans="1:5" ht="12" customHeight="1">
      <c r="A96" s="341" t="s">
        <v>72</v>
      </c>
      <c r="B96" s="338" t="s">
        <v>132</v>
      </c>
      <c r="C96" s="411">
        <v>13134000</v>
      </c>
      <c r="D96" s="411">
        <v>7007232</v>
      </c>
      <c r="E96" s="417">
        <v>7007232</v>
      </c>
    </row>
    <row r="97" spans="1:5" ht="12" customHeight="1">
      <c r="A97" s="341" t="s">
        <v>81</v>
      </c>
      <c r="B97" s="346" t="s">
        <v>133</v>
      </c>
      <c r="C97" s="411">
        <v>26858000</v>
      </c>
      <c r="D97" s="411">
        <f>5333477+21723451+625</f>
        <v>27057553</v>
      </c>
      <c r="E97" s="417">
        <v>26037553</v>
      </c>
    </row>
    <row r="98" spans="1:5" ht="12" customHeight="1">
      <c r="A98" s="341" t="s">
        <v>73</v>
      </c>
      <c r="B98" s="335" t="s">
        <v>418</v>
      </c>
      <c r="C98" s="382"/>
      <c r="D98" s="382"/>
      <c r="E98" s="365"/>
    </row>
    <row r="99" spans="1:5" ht="12" customHeight="1">
      <c r="A99" s="341" t="s">
        <v>74</v>
      </c>
      <c r="B99" s="358" t="s">
        <v>419</v>
      </c>
      <c r="C99" s="382"/>
      <c r="D99" s="382"/>
      <c r="E99" s="365"/>
    </row>
    <row r="100" spans="1:5" ht="12" customHeight="1">
      <c r="A100" s="341" t="s">
        <v>82</v>
      </c>
      <c r="B100" s="359" t="s">
        <v>420</v>
      </c>
      <c r="C100" s="382"/>
      <c r="D100" s="382"/>
      <c r="E100" s="365"/>
    </row>
    <row r="101" spans="1:5" ht="12" customHeight="1">
      <c r="A101" s="341" t="s">
        <v>83</v>
      </c>
      <c r="B101" s="359" t="s">
        <v>421</v>
      </c>
      <c r="C101" s="382"/>
      <c r="D101" s="382"/>
      <c r="E101" s="365"/>
    </row>
    <row r="102" spans="1:5" ht="12" customHeight="1">
      <c r="A102" s="341" t="s">
        <v>84</v>
      </c>
      <c r="B102" s="358" t="s">
        <v>422</v>
      </c>
      <c r="C102" s="382"/>
      <c r="D102" s="382"/>
      <c r="E102" s="365"/>
    </row>
    <row r="103" spans="1:5" ht="12" customHeight="1">
      <c r="A103" s="341" t="s">
        <v>85</v>
      </c>
      <c r="B103" s="358" t="s">
        <v>423</v>
      </c>
      <c r="C103" s="382"/>
      <c r="D103" s="382"/>
      <c r="E103" s="365"/>
    </row>
    <row r="104" spans="1:5" ht="12" customHeight="1">
      <c r="A104" s="341" t="s">
        <v>87</v>
      </c>
      <c r="B104" s="359" t="s">
        <v>424</v>
      </c>
      <c r="C104" s="382"/>
      <c r="D104" s="382"/>
      <c r="E104" s="365"/>
    </row>
    <row r="105" spans="1:5" ht="12" customHeight="1">
      <c r="A105" s="340" t="s">
        <v>134</v>
      </c>
      <c r="B105" s="360" t="s">
        <v>425</v>
      </c>
      <c r="C105" s="382"/>
      <c r="D105" s="382"/>
      <c r="E105" s="365"/>
    </row>
    <row r="106" spans="1:5" ht="12" customHeight="1">
      <c r="A106" s="341" t="s">
        <v>426</v>
      </c>
      <c r="B106" s="360" t="s">
        <v>427</v>
      </c>
      <c r="C106" s="382"/>
      <c r="D106" s="382"/>
      <c r="E106" s="365"/>
    </row>
    <row r="107" spans="1:5" ht="12" customHeight="1" thickBot="1">
      <c r="A107" s="345" t="s">
        <v>428</v>
      </c>
      <c r="B107" s="361" t="s">
        <v>429</v>
      </c>
      <c r="C107" s="79"/>
      <c r="D107" s="79"/>
      <c r="E107" s="326"/>
    </row>
    <row r="108" spans="1:5" ht="12" customHeight="1" thickBot="1">
      <c r="A108" s="347" t="s">
        <v>8</v>
      </c>
      <c r="B108" s="350" t="s">
        <v>430</v>
      </c>
      <c r="C108" s="379">
        <f>+C109+C111+C113</f>
        <v>48332000</v>
      </c>
      <c r="D108" s="379">
        <f>+D109+D111+D113</f>
        <v>76740108</v>
      </c>
      <c r="E108" s="362">
        <f>+E109+E111+E113</f>
        <v>64058466</v>
      </c>
    </row>
    <row r="109" spans="1:5" ht="12" customHeight="1">
      <c r="A109" s="342" t="s">
        <v>75</v>
      </c>
      <c r="B109" s="335" t="s">
        <v>153</v>
      </c>
      <c r="C109" s="410">
        <v>41194000</v>
      </c>
      <c r="D109" s="410">
        <v>66492853</v>
      </c>
      <c r="E109" s="416">
        <v>55983508</v>
      </c>
    </row>
    <row r="110" spans="1:5" ht="12" customHeight="1">
      <c r="A110" s="342" t="s">
        <v>76</v>
      </c>
      <c r="B110" s="339" t="s">
        <v>431</v>
      </c>
      <c r="C110" s="411"/>
      <c r="D110" s="411"/>
      <c r="E110" s="417"/>
    </row>
    <row r="111" spans="1:5" ht="15.75">
      <c r="A111" s="342" t="s">
        <v>77</v>
      </c>
      <c r="B111" s="339" t="s">
        <v>135</v>
      </c>
      <c r="C111" s="411">
        <v>7138000</v>
      </c>
      <c r="D111" s="411">
        <v>10247255</v>
      </c>
      <c r="E111" s="417">
        <v>8074958</v>
      </c>
    </row>
    <row r="112" spans="1:5" ht="12" customHeight="1">
      <c r="A112" s="342" t="s">
        <v>78</v>
      </c>
      <c r="B112" s="339" t="s">
        <v>432</v>
      </c>
      <c r="C112" s="411"/>
      <c r="D112" s="411"/>
      <c r="E112" s="417"/>
    </row>
    <row r="113" spans="1:5" ht="12" customHeight="1">
      <c r="A113" s="342" t="s">
        <v>79</v>
      </c>
      <c r="B113" s="371" t="s">
        <v>155</v>
      </c>
      <c r="C113" s="380"/>
      <c r="D113" s="380"/>
      <c r="E113" s="363"/>
    </row>
    <row r="114" spans="1:5" ht="21.75" customHeight="1">
      <c r="A114" s="342" t="s">
        <v>86</v>
      </c>
      <c r="B114" s="370" t="s">
        <v>433</v>
      </c>
      <c r="C114" s="380"/>
      <c r="D114" s="380"/>
      <c r="E114" s="363"/>
    </row>
    <row r="115" spans="1:5" ht="24" customHeight="1">
      <c r="A115" s="342" t="s">
        <v>88</v>
      </c>
      <c r="B115" s="386" t="s">
        <v>434</v>
      </c>
      <c r="C115" s="380"/>
      <c r="D115" s="380"/>
      <c r="E115" s="363"/>
    </row>
    <row r="116" spans="1:5" ht="12" customHeight="1">
      <c r="A116" s="342" t="s">
        <v>136</v>
      </c>
      <c r="B116" s="359" t="s">
        <v>421</v>
      </c>
      <c r="C116" s="380"/>
      <c r="D116" s="380"/>
      <c r="E116" s="363"/>
    </row>
    <row r="117" spans="1:5" ht="12" customHeight="1">
      <c r="A117" s="342" t="s">
        <v>137</v>
      </c>
      <c r="B117" s="359" t="s">
        <v>435</v>
      </c>
      <c r="C117" s="380"/>
      <c r="D117" s="380"/>
      <c r="E117" s="363"/>
    </row>
    <row r="118" spans="1:5" ht="12" customHeight="1">
      <c r="A118" s="342" t="s">
        <v>138</v>
      </c>
      <c r="B118" s="359" t="s">
        <v>436</v>
      </c>
      <c r="C118" s="380"/>
      <c r="D118" s="380"/>
      <c r="E118" s="363"/>
    </row>
    <row r="119" spans="1:5" s="406" customFormat="1" ht="12" customHeight="1">
      <c r="A119" s="342" t="s">
        <v>437</v>
      </c>
      <c r="B119" s="359" t="s">
        <v>424</v>
      </c>
      <c r="C119" s="380"/>
      <c r="D119" s="380"/>
      <c r="E119" s="363"/>
    </row>
    <row r="120" spans="1:5" ht="12" customHeight="1">
      <c r="A120" s="342" t="s">
        <v>438</v>
      </c>
      <c r="B120" s="359" t="s">
        <v>439</v>
      </c>
      <c r="C120" s="380"/>
      <c r="D120" s="380"/>
      <c r="E120" s="363"/>
    </row>
    <row r="121" spans="1:5" ht="12" customHeight="1" thickBot="1">
      <c r="A121" s="340" t="s">
        <v>440</v>
      </c>
      <c r="B121" s="359" t="s">
        <v>441</v>
      </c>
      <c r="C121" s="382"/>
      <c r="D121" s="382"/>
      <c r="E121" s="365"/>
    </row>
    <row r="122" spans="1:5" ht="12" customHeight="1" thickBot="1">
      <c r="A122" s="347" t="s">
        <v>9</v>
      </c>
      <c r="B122" s="355" t="s">
        <v>442</v>
      </c>
      <c r="C122" s="379">
        <f>+C123+C124</f>
        <v>0</v>
      </c>
      <c r="D122" s="379">
        <f>+D123+D124</f>
        <v>54918000</v>
      </c>
      <c r="E122" s="362">
        <f>+E123+E124</f>
        <v>0</v>
      </c>
    </row>
    <row r="123" spans="1:5" ht="12" customHeight="1">
      <c r="A123" s="342" t="s">
        <v>58</v>
      </c>
      <c r="B123" s="336" t="s">
        <v>45</v>
      </c>
      <c r="C123" s="381"/>
      <c r="D123" s="381">
        <v>54918000</v>
      </c>
      <c r="E123" s="364"/>
    </row>
    <row r="124" spans="1:5" ht="12" customHeight="1" thickBot="1">
      <c r="A124" s="343" t="s">
        <v>59</v>
      </c>
      <c r="B124" s="339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355" t="s">
        <v>443</v>
      </c>
      <c r="C125" s="379">
        <f>+C92+C108+C122</f>
        <v>401086969</v>
      </c>
      <c r="D125" s="379">
        <f>+D92+D108+D122</f>
        <v>532967769</v>
      </c>
      <c r="E125" s="362">
        <f>+E92+E108+E122</f>
        <v>438586017</v>
      </c>
    </row>
    <row r="126" spans="1:5" ht="12" customHeight="1" thickBot="1">
      <c r="A126" s="347" t="s">
        <v>11</v>
      </c>
      <c r="B126" s="355" t="s">
        <v>444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62</v>
      </c>
      <c r="B127" s="336" t="s">
        <v>445</v>
      </c>
      <c r="C127" s="380"/>
      <c r="D127" s="380"/>
      <c r="E127" s="363"/>
    </row>
    <row r="128" spans="1:5" ht="12" customHeight="1">
      <c r="A128" s="342" t="s">
        <v>63</v>
      </c>
      <c r="B128" s="336" t="s">
        <v>446</v>
      </c>
      <c r="C128" s="380"/>
      <c r="D128" s="380"/>
      <c r="E128" s="363"/>
    </row>
    <row r="129" spans="1:5" ht="12" customHeight="1" thickBot="1">
      <c r="A129" s="340" t="s">
        <v>64</v>
      </c>
      <c r="B129" s="334" t="s">
        <v>447</v>
      </c>
      <c r="C129" s="380"/>
      <c r="D129" s="380"/>
      <c r="E129" s="363"/>
    </row>
    <row r="130" spans="1:5" ht="12" customHeight="1" thickBot="1">
      <c r="A130" s="347" t="s">
        <v>12</v>
      </c>
      <c r="B130" s="355" t="s">
        <v>448</v>
      </c>
      <c r="C130" s="379">
        <f>+C131+C132+C134+C133</f>
        <v>0</v>
      </c>
      <c r="D130" s="379">
        <f>+D131+D132+D134+D133</f>
        <v>131990000</v>
      </c>
      <c r="E130" s="362">
        <f>+E131+E132+E134+E133</f>
        <v>131990000</v>
      </c>
    </row>
    <row r="131" spans="1:5" ht="12" customHeight="1">
      <c r="A131" s="342" t="s">
        <v>65</v>
      </c>
      <c r="B131" s="336" t="s">
        <v>449</v>
      </c>
      <c r="C131" s="380"/>
      <c r="D131" s="380"/>
      <c r="E131" s="363"/>
    </row>
    <row r="132" spans="1:5" ht="12" customHeight="1">
      <c r="A132" s="342" t="s">
        <v>66</v>
      </c>
      <c r="B132" s="336" t="s">
        <v>450</v>
      </c>
      <c r="C132" s="380"/>
      <c r="D132" s="380"/>
      <c r="E132" s="363"/>
    </row>
    <row r="133" spans="1:5" ht="12" customHeight="1">
      <c r="A133" s="342" t="s">
        <v>345</v>
      </c>
      <c r="B133" s="336" t="s">
        <v>451</v>
      </c>
      <c r="C133" s="380"/>
      <c r="D133" s="380">
        <v>131990000</v>
      </c>
      <c r="E133" s="363">
        <v>131990000</v>
      </c>
    </row>
    <row r="134" spans="1:5" ht="12" customHeight="1" thickBot="1">
      <c r="A134" s="340" t="s">
        <v>347</v>
      </c>
      <c r="B134" s="334" t="s">
        <v>452</v>
      </c>
      <c r="C134" s="380"/>
      <c r="D134" s="380"/>
      <c r="E134" s="363"/>
    </row>
    <row r="135" spans="1:5" ht="12" customHeight="1" thickBot="1">
      <c r="A135" s="347" t="s">
        <v>13</v>
      </c>
      <c r="B135" s="355" t="s">
        <v>453</v>
      </c>
      <c r="C135" s="385">
        <f>+C136+C137+C138+C139</f>
        <v>0</v>
      </c>
      <c r="D135" s="385">
        <f>+D136+D137+D138+D139</f>
        <v>7307475</v>
      </c>
      <c r="E135" s="398">
        <f>+E136+E137+E138+E139</f>
        <v>7307475</v>
      </c>
    </row>
    <row r="136" spans="1:5" ht="12" customHeight="1">
      <c r="A136" s="342" t="s">
        <v>67</v>
      </c>
      <c r="B136" s="336" t="s">
        <v>454</v>
      </c>
      <c r="C136" s="380"/>
      <c r="D136" s="380"/>
      <c r="E136" s="363"/>
    </row>
    <row r="137" spans="1:5" ht="12" customHeight="1">
      <c r="A137" s="342" t="s">
        <v>68</v>
      </c>
      <c r="B137" s="336" t="s">
        <v>455</v>
      </c>
      <c r="C137" s="380"/>
      <c r="D137" s="380">
        <v>7307475</v>
      </c>
      <c r="E137" s="363">
        <v>7307475</v>
      </c>
    </row>
    <row r="138" spans="1:5" ht="12" customHeight="1">
      <c r="A138" s="342" t="s">
        <v>354</v>
      </c>
      <c r="B138" s="336" t="s">
        <v>456</v>
      </c>
      <c r="C138" s="380"/>
      <c r="D138" s="380"/>
      <c r="E138" s="363"/>
    </row>
    <row r="139" spans="1:5" ht="12" customHeight="1" thickBot="1">
      <c r="A139" s="340" t="s">
        <v>356</v>
      </c>
      <c r="B139" s="334" t="s">
        <v>457</v>
      </c>
      <c r="C139" s="380"/>
      <c r="D139" s="380"/>
      <c r="E139" s="363"/>
    </row>
    <row r="140" spans="1:9" ht="15" customHeight="1" thickBot="1">
      <c r="A140" s="347" t="s">
        <v>14</v>
      </c>
      <c r="B140" s="355" t="s">
        <v>458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  <c r="F140" s="396"/>
      <c r="G140" s="397"/>
      <c r="H140" s="397"/>
      <c r="I140" s="397"/>
    </row>
    <row r="141" spans="1:5" s="389" customFormat="1" ht="12.75" customHeight="1">
      <c r="A141" s="342" t="s">
        <v>129</v>
      </c>
      <c r="B141" s="336" t="s">
        <v>459</v>
      </c>
      <c r="C141" s="380"/>
      <c r="D141" s="380"/>
      <c r="E141" s="363"/>
    </row>
    <row r="142" spans="1:5" ht="12.75" customHeight="1">
      <c r="A142" s="342" t="s">
        <v>130</v>
      </c>
      <c r="B142" s="336" t="s">
        <v>460</v>
      </c>
      <c r="C142" s="380"/>
      <c r="D142" s="380"/>
      <c r="E142" s="363"/>
    </row>
    <row r="143" spans="1:5" ht="12.75" customHeight="1">
      <c r="A143" s="342" t="s">
        <v>154</v>
      </c>
      <c r="B143" s="336" t="s">
        <v>461</v>
      </c>
      <c r="C143" s="380"/>
      <c r="D143" s="380"/>
      <c r="E143" s="363"/>
    </row>
    <row r="144" spans="1:5" ht="12.75" customHeight="1" thickBot="1">
      <c r="A144" s="342" t="s">
        <v>362</v>
      </c>
      <c r="B144" s="336" t="s">
        <v>462</v>
      </c>
      <c r="C144" s="380"/>
      <c r="D144" s="380"/>
      <c r="E144" s="363"/>
    </row>
    <row r="145" spans="1:5" ht="16.5" thickBot="1">
      <c r="A145" s="347" t="s">
        <v>15</v>
      </c>
      <c r="B145" s="355" t="s">
        <v>463</v>
      </c>
      <c r="C145" s="329">
        <f>+C126+C130+C135+C140</f>
        <v>0</v>
      </c>
      <c r="D145" s="329">
        <f>+D126+D130+D135+D140</f>
        <v>139297475</v>
      </c>
      <c r="E145" s="330">
        <f>+E126+E130+E135+E140</f>
        <v>139297475</v>
      </c>
    </row>
    <row r="146" spans="1:5" ht="16.5" thickBot="1">
      <c r="A146" s="372" t="s">
        <v>16</v>
      </c>
      <c r="B146" s="375" t="s">
        <v>464</v>
      </c>
      <c r="C146" s="329">
        <f>+C125+C145</f>
        <v>401086969</v>
      </c>
      <c r="D146" s="329">
        <f>+D125+D145</f>
        <v>672265244</v>
      </c>
      <c r="E146" s="330">
        <f>+E125+E145</f>
        <v>577883492</v>
      </c>
    </row>
    <row r="148" spans="1:5" ht="18.75" customHeight="1">
      <c r="A148" s="703" t="s">
        <v>465</v>
      </c>
      <c r="B148" s="703"/>
      <c r="C148" s="703"/>
      <c r="D148" s="703"/>
      <c r="E148" s="703"/>
    </row>
    <row r="149" spans="1:5" ht="13.5" customHeight="1" thickBot="1">
      <c r="A149" s="357" t="s">
        <v>111</v>
      </c>
      <c r="B149" s="357"/>
      <c r="C149" s="387"/>
      <c r="E149" s="374" t="str">
        <f>E88</f>
        <v>Forintban!</v>
      </c>
    </row>
    <row r="150" spans="1:5" ht="21.75" thickBot="1">
      <c r="A150" s="347">
        <v>1</v>
      </c>
      <c r="B150" s="350" t="s">
        <v>466</v>
      </c>
      <c r="C150" s="373">
        <f>+C61-C125</f>
        <v>-67841000</v>
      </c>
      <c r="D150" s="373">
        <f>+D61-D125</f>
        <v>61320913</v>
      </c>
      <c r="E150" s="373">
        <f>+E61-E125</f>
        <v>98354208</v>
      </c>
    </row>
    <row r="151" spans="1:5" ht="21.75" thickBot="1">
      <c r="A151" s="347" t="s">
        <v>8</v>
      </c>
      <c r="B151" s="350" t="s">
        <v>467</v>
      </c>
      <c r="C151" s="373">
        <f>+C84-C145</f>
        <v>67841000</v>
      </c>
      <c r="D151" s="373">
        <f>+D84-D145</f>
        <v>-61320913</v>
      </c>
      <c r="E151" s="373">
        <f>+E84-E145</f>
        <v>-61320913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Nyírpazony Nagyközség Önkormányzat
2016. ÉVI ZÁRSZÁMADÁSÁNAK PÉNZÜGYI MÉRLEGE&amp;10
&amp;R&amp;"Times New Roman CE,Félkövér dőlt"&amp;11 1.1. melléklet a 7/2017. (IV. 28.)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+CONCATENATE("8.1. melléklet a 7/",LEFT(ÖSSZEFÜGGÉSEK!A4,4)+1,". (IV. 28.) önkormányzati rendelethez")</f>
        <v>8.1. melléklet a 7/2017. (IV. 28.) önkormányzati rendelethez</v>
      </c>
    </row>
    <row r="2" spans="1:5" s="532" customFormat="1" ht="25.5" customHeight="1">
      <c r="A2" s="512" t="s">
        <v>145</v>
      </c>
      <c r="B2" s="747" t="s">
        <v>744</v>
      </c>
      <c r="C2" s="748"/>
      <c r="D2" s="749"/>
      <c r="E2" s="555" t="s">
        <v>48</v>
      </c>
    </row>
    <row r="3" spans="1:5" s="532" customFormat="1" ht="24.75" thickBot="1">
      <c r="A3" s="530" t="s">
        <v>144</v>
      </c>
      <c r="B3" s="750" t="s">
        <v>543</v>
      </c>
      <c r="C3" s="753"/>
      <c r="D3" s="754"/>
      <c r="E3" s="556" t="s">
        <v>41</v>
      </c>
    </row>
    <row r="4" spans="1:5" s="533" customFormat="1" ht="15.75" customHeight="1" thickBot="1">
      <c r="A4" s="487"/>
      <c r="B4" s="487"/>
      <c r="C4" s="488"/>
      <c r="D4" s="488"/>
      <c r="E4" s="488" t="str">
        <f>'7.4. sz. mell'!E4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575">
        <f>SUM(D9:D18)</f>
        <v>4</v>
      </c>
      <c r="E8" s="552">
        <f>SUM(E9:E18)</f>
        <v>4</v>
      </c>
    </row>
    <row r="9" spans="1:5" s="508" customFormat="1" ht="12" customHeight="1">
      <c r="A9" s="557" t="s">
        <v>69</v>
      </c>
      <c r="B9" s="337" t="s">
        <v>330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578">
        <v>4</v>
      </c>
      <c r="E16" s="540">
        <v>4</v>
      </c>
    </row>
    <row r="17" spans="1:5" s="508" customFormat="1" ht="12" customHeight="1">
      <c r="A17" s="558" t="s">
        <v>83</v>
      </c>
      <c r="B17" s="335" t="s">
        <v>339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676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557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324</v>
      </c>
      <c r="B26" s="560" t="s">
        <v>555</v>
      </c>
      <c r="C26" s="81"/>
      <c r="D26" s="566"/>
      <c r="E26" s="539"/>
    </row>
    <row r="27" spans="1:5" s="508" customFormat="1" ht="12" customHeight="1">
      <c r="A27" s="559" t="s">
        <v>325</v>
      </c>
      <c r="B27" s="561" t="s">
        <v>558</v>
      </c>
      <c r="C27" s="415"/>
      <c r="D27" s="580"/>
      <c r="E27" s="538"/>
    </row>
    <row r="28" spans="1:5" s="508" customFormat="1" ht="12" customHeight="1" thickBot="1">
      <c r="A28" s="558" t="s">
        <v>326</v>
      </c>
      <c r="B28" s="562" t="s">
        <v>677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559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343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344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346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471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561</v>
      </c>
      <c r="C35" s="414">
        <f>+C8+C19+C24+C25+C29+C33+C34</f>
        <v>0</v>
      </c>
      <c r="D35" s="575">
        <f>+D8+D19+D24+D25+D29+D33+D34</f>
        <v>4</v>
      </c>
      <c r="E35" s="552">
        <f>+E8+E19+E24+E25+E29+E33+E34</f>
        <v>4</v>
      </c>
    </row>
    <row r="36" spans="1:5" s="535" customFormat="1" ht="12" customHeight="1" thickBot="1">
      <c r="A36" s="547" t="s">
        <v>15</v>
      </c>
      <c r="B36" s="355" t="s">
        <v>562</v>
      </c>
      <c r="C36" s="414">
        <f>+C37+C38+C39</f>
        <v>57657000</v>
      </c>
      <c r="D36" s="575">
        <f>+D37+D38+D39</f>
        <v>55121949</v>
      </c>
      <c r="E36" s="552">
        <f>+E37+E38+E39</f>
        <v>55024169</v>
      </c>
    </row>
    <row r="37" spans="1:5" s="535" customFormat="1" ht="15" customHeight="1">
      <c r="A37" s="559" t="s">
        <v>563</v>
      </c>
      <c r="B37" s="560" t="s">
        <v>160</v>
      </c>
      <c r="C37" s="81"/>
      <c r="D37" s="566">
        <v>23152</v>
      </c>
      <c r="E37" s="539">
        <v>23152</v>
      </c>
    </row>
    <row r="38" spans="1:5" s="535" customFormat="1" ht="15" customHeight="1">
      <c r="A38" s="559" t="s">
        <v>564</v>
      </c>
      <c r="B38" s="561" t="s">
        <v>3</v>
      </c>
      <c r="C38" s="415"/>
      <c r="D38" s="580"/>
      <c r="E38" s="538"/>
    </row>
    <row r="39" spans="1:5" ht="13.5" thickBot="1">
      <c r="A39" s="558" t="s">
        <v>565</v>
      </c>
      <c r="B39" s="544" t="s">
        <v>566</v>
      </c>
      <c r="C39" s="542">
        <v>57657000</v>
      </c>
      <c r="D39" s="581">
        <v>55098797</v>
      </c>
      <c r="E39" s="537">
        <v>55001017</v>
      </c>
    </row>
    <row r="40" spans="1:5" s="534" customFormat="1" ht="16.5" customHeight="1" thickBot="1">
      <c r="A40" s="547" t="s">
        <v>16</v>
      </c>
      <c r="B40" s="548" t="s">
        <v>567</v>
      </c>
      <c r="C40" s="87">
        <f>+C35+C36</f>
        <v>57657000</v>
      </c>
      <c r="D40" s="582">
        <f>+D35+D36</f>
        <v>55121953</v>
      </c>
      <c r="E40" s="553">
        <f>+E35+E36</f>
        <v>55024173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44" t="s">
        <v>43</v>
      </c>
      <c r="B43" s="745"/>
      <c r="C43" s="745"/>
      <c r="D43" s="745"/>
      <c r="E43" s="746"/>
    </row>
    <row r="44" spans="1:5" ht="12" customHeight="1" thickBot="1">
      <c r="A44" s="545" t="s">
        <v>7</v>
      </c>
      <c r="B44" s="355" t="s">
        <v>568</v>
      </c>
      <c r="C44" s="414">
        <f>SUM(C45:C49)</f>
        <v>57657000</v>
      </c>
      <c r="D44" s="414">
        <f>SUM(D45:D49)</f>
        <v>55121953</v>
      </c>
      <c r="E44" s="552">
        <f>SUM(E45:E49)</f>
        <v>54996117</v>
      </c>
    </row>
    <row r="45" spans="1:5" ht="12" customHeight="1">
      <c r="A45" s="558" t="s">
        <v>69</v>
      </c>
      <c r="B45" s="336" t="s">
        <v>37</v>
      </c>
      <c r="C45" s="81">
        <v>39960000</v>
      </c>
      <c r="D45" s="81">
        <v>38819716</v>
      </c>
      <c r="E45" s="539">
        <v>38819716</v>
      </c>
    </row>
    <row r="46" spans="1:5" ht="12" customHeight="1">
      <c r="A46" s="558" t="s">
        <v>70</v>
      </c>
      <c r="B46" s="335" t="s">
        <v>131</v>
      </c>
      <c r="C46" s="408">
        <v>11036000</v>
      </c>
      <c r="D46" s="408">
        <v>10589801</v>
      </c>
      <c r="E46" s="563">
        <v>10589801</v>
      </c>
    </row>
    <row r="47" spans="1:5" ht="12" customHeight="1">
      <c r="A47" s="558" t="s">
        <v>71</v>
      </c>
      <c r="B47" s="335" t="s">
        <v>98</v>
      </c>
      <c r="C47" s="408">
        <v>6661000</v>
      </c>
      <c r="D47" s="408">
        <v>5712436</v>
      </c>
      <c r="E47" s="563">
        <v>5586600</v>
      </c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570</v>
      </c>
      <c r="C55" s="87">
        <f>+C44+C50</f>
        <v>57657000</v>
      </c>
      <c r="D55" s="87">
        <f>+D44+D50</f>
        <v>55121953</v>
      </c>
      <c r="E55" s="553">
        <f>+E44+E50</f>
        <v>54996117</v>
      </c>
    </row>
    <row r="56" spans="3:5" ht="13.5" thickBot="1">
      <c r="C56" s="554"/>
      <c r="D56" s="554"/>
      <c r="E56" s="554"/>
    </row>
    <row r="57" spans="1:5" ht="13.5" thickBot="1">
      <c r="A57" s="637" t="s">
        <v>735</v>
      </c>
      <c r="B57" s="638"/>
      <c r="C57" s="91">
        <v>14</v>
      </c>
      <c r="D57" s="91">
        <v>14</v>
      </c>
      <c r="E57" s="543">
        <v>14</v>
      </c>
    </row>
    <row r="58" spans="1:5" ht="13.5" thickBot="1">
      <c r="A58" s="639" t="s">
        <v>734</v>
      </c>
      <c r="B58" s="640"/>
      <c r="C58" s="91"/>
      <c r="D58" s="91"/>
      <c r="E58" s="543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+CONCATENATE("8.1.1. melléklet a 7/",LEFT(ÖSSZEFÜGGÉSEK!A4,4)+1,". (IV. 28.) önkormányzati rendelethez")</f>
        <v>8.1.1. melléklet a 7/2017. (IV. 28.) önkormányzati rendelethez</v>
      </c>
    </row>
    <row r="2" spans="1:5" s="532" customFormat="1" ht="25.5" customHeight="1">
      <c r="A2" s="512" t="s">
        <v>145</v>
      </c>
      <c r="B2" s="747" t="s">
        <v>744</v>
      </c>
      <c r="C2" s="748"/>
      <c r="D2" s="749"/>
      <c r="E2" s="555" t="s">
        <v>48</v>
      </c>
    </row>
    <row r="3" spans="1:5" s="532" customFormat="1" ht="24.75" thickBot="1">
      <c r="A3" s="530" t="s">
        <v>144</v>
      </c>
      <c r="B3" s="750" t="s">
        <v>684</v>
      </c>
      <c r="C3" s="753"/>
      <c r="D3" s="754"/>
      <c r="E3" s="556" t="s">
        <v>47</v>
      </c>
    </row>
    <row r="4" spans="1:5" s="533" customFormat="1" ht="15.75" customHeight="1" thickBot="1">
      <c r="A4" s="487"/>
      <c r="B4" s="487"/>
      <c r="C4" s="488"/>
      <c r="D4" s="488"/>
      <c r="E4" s="488" t="str">
        <f>'8.1. sz. mell.'!E4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575">
        <f>SUM(D9:D18)</f>
        <v>4</v>
      </c>
      <c r="E8" s="552">
        <f>SUM(E9:E18)</f>
        <v>4</v>
      </c>
    </row>
    <row r="9" spans="1:5" s="508" customFormat="1" ht="12" customHeight="1">
      <c r="A9" s="557" t="s">
        <v>69</v>
      </c>
      <c r="B9" s="337" t="s">
        <v>330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578">
        <v>4</v>
      </c>
      <c r="E16" s="540">
        <v>4</v>
      </c>
    </row>
    <row r="17" spans="1:5" s="508" customFormat="1" ht="12" customHeight="1">
      <c r="A17" s="558" t="s">
        <v>83</v>
      </c>
      <c r="B17" s="335" t="s">
        <v>339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676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557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324</v>
      </c>
      <c r="B26" s="560" t="s">
        <v>555</v>
      </c>
      <c r="C26" s="81"/>
      <c r="D26" s="566"/>
      <c r="E26" s="539"/>
    </row>
    <row r="27" spans="1:5" s="508" customFormat="1" ht="12" customHeight="1">
      <c r="A27" s="559" t="s">
        <v>325</v>
      </c>
      <c r="B27" s="561" t="s">
        <v>558</v>
      </c>
      <c r="C27" s="415"/>
      <c r="D27" s="580"/>
      <c r="E27" s="538"/>
    </row>
    <row r="28" spans="1:5" s="508" customFormat="1" ht="12" customHeight="1" thickBot="1">
      <c r="A28" s="558" t="s">
        <v>326</v>
      </c>
      <c r="B28" s="562" t="s">
        <v>677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559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343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344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346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471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561</v>
      </c>
      <c r="C35" s="414">
        <f>+C8+C19+C24+C25+C29+C33+C34</f>
        <v>0</v>
      </c>
      <c r="D35" s="575">
        <f>+D8+D19+D24+D25+D29+D33+D34</f>
        <v>4</v>
      </c>
      <c r="E35" s="552">
        <f>+E8+E19+E24+E25+E29+E33+E34</f>
        <v>4</v>
      </c>
    </row>
    <row r="36" spans="1:5" s="535" customFormat="1" ht="12" customHeight="1" thickBot="1">
      <c r="A36" s="547" t="s">
        <v>15</v>
      </c>
      <c r="B36" s="355" t="s">
        <v>562</v>
      </c>
      <c r="C36" s="414">
        <f>+C37+C38+C39</f>
        <v>57657000</v>
      </c>
      <c r="D36" s="575">
        <f>+D37+D38+D39</f>
        <v>55121949</v>
      </c>
      <c r="E36" s="552">
        <f>+E37+E38+E39</f>
        <v>55024169</v>
      </c>
    </row>
    <row r="37" spans="1:5" s="535" customFormat="1" ht="15" customHeight="1">
      <c r="A37" s="559" t="s">
        <v>563</v>
      </c>
      <c r="B37" s="560" t="s">
        <v>160</v>
      </c>
      <c r="C37" s="81"/>
      <c r="D37" s="566">
        <v>23152</v>
      </c>
      <c r="E37" s="539">
        <v>23152</v>
      </c>
    </row>
    <row r="38" spans="1:5" s="535" customFormat="1" ht="15" customHeight="1">
      <c r="A38" s="559" t="s">
        <v>564</v>
      </c>
      <c r="B38" s="561" t="s">
        <v>3</v>
      </c>
      <c r="C38" s="415"/>
      <c r="D38" s="580"/>
      <c r="E38" s="538"/>
    </row>
    <row r="39" spans="1:5" ht="13.5" thickBot="1">
      <c r="A39" s="558" t="s">
        <v>565</v>
      </c>
      <c r="B39" s="544" t="s">
        <v>566</v>
      </c>
      <c r="C39" s="542">
        <v>57657000</v>
      </c>
      <c r="D39" s="581">
        <v>55098797</v>
      </c>
      <c r="E39" s="537">
        <v>55001017</v>
      </c>
    </row>
    <row r="40" spans="1:5" s="534" customFormat="1" ht="16.5" customHeight="1" thickBot="1">
      <c r="A40" s="547" t="s">
        <v>16</v>
      </c>
      <c r="B40" s="548" t="s">
        <v>567</v>
      </c>
      <c r="C40" s="87">
        <f>+C35+C36</f>
        <v>57657000</v>
      </c>
      <c r="D40" s="582">
        <f>+D35+D36</f>
        <v>55121953</v>
      </c>
      <c r="E40" s="553">
        <f>+E35+E36</f>
        <v>55024173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44" t="s">
        <v>43</v>
      </c>
      <c r="B43" s="745"/>
      <c r="C43" s="745"/>
      <c r="D43" s="745"/>
      <c r="E43" s="746"/>
    </row>
    <row r="44" spans="1:5" ht="12" customHeight="1" thickBot="1">
      <c r="A44" s="545" t="s">
        <v>7</v>
      </c>
      <c r="B44" s="355" t="s">
        <v>568</v>
      </c>
      <c r="C44" s="414">
        <f>SUM(C45:C49)</f>
        <v>57657000</v>
      </c>
      <c r="D44" s="414">
        <f>SUM(D45:D49)</f>
        <v>55121953</v>
      </c>
      <c r="E44" s="552">
        <f>SUM(E45:E49)</f>
        <v>54996117</v>
      </c>
    </row>
    <row r="45" spans="1:5" ht="12" customHeight="1">
      <c r="A45" s="558" t="s">
        <v>69</v>
      </c>
      <c r="B45" s="336" t="s">
        <v>37</v>
      </c>
      <c r="C45" s="81">
        <v>39960000</v>
      </c>
      <c r="D45" s="81">
        <v>38819716</v>
      </c>
      <c r="E45" s="539">
        <v>38819716</v>
      </c>
    </row>
    <row r="46" spans="1:5" ht="12" customHeight="1">
      <c r="A46" s="558" t="s">
        <v>70</v>
      </c>
      <c r="B46" s="335" t="s">
        <v>131</v>
      </c>
      <c r="C46" s="408">
        <v>11036000</v>
      </c>
      <c r="D46" s="408">
        <v>10589801</v>
      </c>
      <c r="E46" s="563">
        <v>10589801</v>
      </c>
    </row>
    <row r="47" spans="1:5" ht="12" customHeight="1">
      <c r="A47" s="558" t="s">
        <v>71</v>
      </c>
      <c r="B47" s="335" t="s">
        <v>98</v>
      </c>
      <c r="C47" s="408">
        <v>6661000</v>
      </c>
      <c r="D47" s="408">
        <v>5712436</v>
      </c>
      <c r="E47" s="563">
        <v>5586600</v>
      </c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570</v>
      </c>
      <c r="C55" s="87">
        <f>+C44+C50</f>
        <v>57657000</v>
      </c>
      <c r="D55" s="87">
        <f>+D44+D50</f>
        <v>55121953</v>
      </c>
      <c r="E55" s="553">
        <f>+E44+E50</f>
        <v>54996117</v>
      </c>
    </row>
    <row r="56" spans="3:5" ht="13.5" thickBot="1">
      <c r="C56" s="554"/>
      <c r="D56" s="554"/>
      <c r="E56" s="554"/>
    </row>
    <row r="57" spans="1:5" ht="13.5" thickBot="1">
      <c r="A57" s="637" t="s">
        <v>735</v>
      </c>
      <c r="B57" s="638"/>
      <c r="C57" s="91">
        <v>14</v>
      </c>
      <c r="D57" s="91">
        <v>14</v>
      </c>
      <c r="E57" s="543">
        <v>14</v>
      </c>
    </row>
    <row r="58" spans="1:5" ht="13.5" thickBot="1">
      <c r="A58" s="639" t="s">
        <v>734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+CONCATENATE("8.1.2. melléklet a 7/",LEFT(ÖSSZEFÜGGÉSEK!A4,4)+1,". (IV. 28.) önkormányzati rendelethez")</f>
        <v>8.1.2. melléklet a 7/2017. (IV. 28.) önkormányzati rendelethez</v>
      </c>
    </row>
    <row r="2" spans="1:5" s="532" customFormat="1" ht="25.5" customHeight="1">
      <c r="A2" s="512" t="s">
        <v>145</v>
      </c>
      <c r="B2" s="747" t="s">
        <v>744</v>
      </c>
      <c r="C2" s="748"/>
      <c r="D2" s="749"/>
      <c r="E2" s="555" t="s">
        <v>48</v>
      </c>
    </row>
    <row r="3" spans="1:5" s="532" customFormat="1" ht="24.75" thickBot="1">
      <c r="A3" s="530" t="s">
        <v>144</v>
      </c>
      <c r="B3" s="750" t="s">
        <v>675</v>
      </c>
      <c r="C3" s="753"/>
      <c r="D3" s="754"/>
      <c r="E3" s="556" t="s">
        <v>48</v>
      </c>
    </row>
    <row r="4" spans="1:5" s="533" customFormat="1" ht="15.75" customHeight="1" thickBot="1">
      <c r="A4" s="487"/>
      <c r="B4" s="487"/>
      <c r="C4" s="488"/>
      <c r="D4" s="488"/>
      <c r="E4" s="488" t="str">
        <f>'8.1.1. sz. mell.'!E4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575">
        <f>SUM(D9:D18)</f>
        <v>0</v>
      </c>
      <c r="E8" s="552">
        <f>SUM(E9:E18)</f>
        <v>0</v>
      </c>
    </row>
    <row r="9" spans="1:5" s="508" customFormat="1" ht="12" customHeight="1">
      <c r="A9" s="557" t="s">
        <v>69</v>
      </c>
      <c r="B9" s="337" t="s">
        <v>330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578"/>
      <c r="E16" s="540"/>
    </row>
    <row r="17" spans="1:5" s="508" customFormat="1" ht="12" customHeight="1">
      <c r="A17" s="558" t="s">
        <v>83</v>
      </c>
      <c r="B17" s="335" t="s">
        <v>339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676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557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324</v>
      </c>
      <c r="B26" s="560" t="s">
        <v>555</v>
      </c>
      <c r="C26" s="81"/>
      <c r="D26" s="566"/>
      <c r="E26" s="539"/>
    </row>
    <row r="27" spans="1:5" s="508" customFormat="1" ht="12" customHeight="1">
      <c r="A27" s="559" t="s">
        <v>325</v>
      </c>
      <c r="B27" s="561" t="s">
        <v>558</v>
      </c>
      <c r="C27" s="415"/>
      <c r="D27" s="580"/>
      <c r="E27" s="538"/>
    </row>
    <row r="28" spans="1:5" s="508" customFormat="1" ht="12" customHeight="1" thickBot="1">
      <c r="A28" s="558" t="s">
        <v>326</v>
      </c>
      <c r="B28" s="562" t="s">
        <v>677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559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343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344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346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471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561</v>
      </c>
      <c r="C35" s="414">
        <f>+C8+C19+C24+C25+C29+C33+C34</f>
        <v>0</v>
      </c>
      <c r="D35" s="575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562</v>
      </c>
      <c r="C36" s="414">
        <f>+C37+C38+C39</f>
        <v>0</v>
      </c>
      <c r="D36" s="575">
        <f>+D37+D38+D39</f>
        <v>0</v>
      </c>
      <c r="E36" s="552">
        <f>+E37+E38+E39</f>
        <v>0</v>
      </c>
    </row>
    <row r="37" spans="1:5" s="535" customFormat="1" ht="15" customHeight="1">
      <c r="A37" s="559" t="s">
        <v>563</v>
      </c>
      <c r="B37" s="560" t="s">
        <v>160</v>
      </c>
      <c r="C37" s="81"/>
      <c r="D37" s="566"/>
      <c r="E37" s="539"/>
    </row>
    <row r="38" spans="1:5" s="535" customFormat="1" ht="15" customHeight="1">
      <c r="A38" s="559" t="s">
        <v>564</v>
      </c>
      <c r="B38" s="561" t="s">
        <v>3</v>
      </c>
      <c r="C38" s="415"/>
      <c r="D38" s="580"/>
      <c r="E38" s="538"/>
    </row>
    <row r="39" spans="1:5" ht="13.5" thickBot="1">
      <c r="A39" s="558" t="s">
        <v>565</v>
      </c>
      <c r="B39" s="544" t="s">
        <v>566</v>
      </c>
      <c r="C39" s="542"/>
      <c r="D39" s="581"/>
      <c r="E39" s="537"/>
    </row>
    <row r="40" spans="1:5" s="534" customFormat="1" ht="16.5" customHeight="1" thickBot="1">
      <c r="A40" s="547" t="s">
        <v>16</v>
      </c>
      <c r="B40" s="548" t="s">
        <v>567</v>
      </c>
      <c r="C40" s="87">
        <f>+C35+C36</f>
        <v>0</v>
      </c>
      <c r="D40" s="582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44" t="s">
        <v>43</v>
      </c>
      <c r="B43" s="745"/>
      <c r="C43" s="745"/>
      <c r="D43" s="745"/>
      <c r="E43" s="746"/>
    </row>
    <row r="44" spans="1:5" ht="12" customHeight="1" thickBot="1">
      <c r="A44" s="545" t="s">
        <v>7</v>
      </c>
      <c r="B44" s="355" t="s">
        <v>568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69</v>
      </c>
      <c r="B45" s="336" t="s">
        <v>37</v>
      </c>
      <c r="C45" s="81"/>
      <c r="D45" s="81"/>
      <c r="E45" s="539"/>
    </row>
    <row r="46" spans="1:5" ht="12" customHeight="1">
      <c r="A46" s="558" t="s">
        <v>70</v>
      </c>
      <c r="B46" s="335" t="s">
        <v>131</v>
      </c>
      <c r="C46" s="408"/>
      <c r="D46" s="408"/>
      <c r="E46" s="563"/>
    </row>
    <row r="47" spans="1:5" ht="12" customHeight="1">
      <c r="A47" s="558" t="s">
        <v>71</v>
      </c>
      <c r="B47" s="335" t="s">
        <v>98</v>
      </c>
      <c r="C47" s="408"/>
      <c r="D47" s="408"/>
      <c r="E47" s="563"/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570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3:5" ht="13.5" thickBot="1">
      <c r="C56" s="554"/>
      <c r="D56" s="554"/>
      <c r="E56" s="554"/>
    </row>
    <row r="57" spans="1:5" ht="13.5" thickBot="1">
      <c r="A57" s="637" t="s">
        <v>735</v>
      </c>
      <c r="B57" s="638"/>
      <c r="C57" s="91"/>
      <c r="D57" s="91"/>
      <c r="E57" s="543"/>
    </row>
    <row r="58" spans="1:5" ht="13.5" thickBot="1">
      <c r="A58" s="639" t="s">
        <v>734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+CONCATENATE("8.1.3. melléklet a 7/",LEFT(ÖSSZEFÜGGÉSEK!A4,4)+1,". (IV. 28.) önkormányzati rendelethez")</f>
        <v>8.1.3. melléklet a 7/2017. (IV. 28.) önkormányzati rendelethez</v>
      </c>
    </row>
    <row r="2" spans="1:5" s="532" customFormat="1" ht="25.5" customHeight="1">
      <c r="A2" s="512" t="s">
        <v>145</v>
      </c>
      <c r="B2" s="747" t="s">
        <v>744</v>
      </c>
      <c r="C2" s="748"/>
      <c r="D2" s="749"/>
      <c r="E2" s="555" t="s">
        <v>48</v>
      </c>
    </row>
    <row r="3" spans="1:5" s="532" customFormat="1" ht="24.75" thickBot="1">
      <c r="A3" s="530" t="s">
        <v>144</v>
      </c>
      <c r="B3" s="750" t="s">
        <v>685</v>
      </c>
      <c r="C3" s="753"/>
      <c r="D3" s="754"/>
      <c r="E3" s="556" t="s">
        <v>49</v>
      </c>
    </row>
    <row r="4" spans="1:5" s="533" customFormat="1" ht="15.75" customHeight="1" thickBot="1">
      <c r="A4" s="487"/>
      <c r="B4" s="487"/>
      <c r="C4" s="488"/>
      <c r="D4" s="488"/>
      <c r="E4" s="488" t="str">
        <f>'8.1.2. sz. mell.'!E4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575">
        <f>SUM(D9:D18)</f>
        <v>0</v>
      </c>
      <c r="E8" s="552">
        <f>SUM(E9:E18)</f>
        <v>0</v>
      </c>
    </row>
    <row r="9" spans="1:5" s="508" customFormat="1" ht="12" customHeight="1">
      <c r="A9" s="557" t="s">
        <v>69</v>
      </c>
      <c r="B9" s="337" t="s">
        <v>330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578"/>
      <c r="E16" s="540"/>
    </row>
    <row r="17" spans="1:5" s="508" customFormat="1" ht="12" customHeight="1">
      <c r="A17" s="558" t="s">
        <v>83</v>
      </c>
      <c r="B17" s="335" t="s">
        <v>339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676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557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324</v>
      </c>
      <c r="B26" s="560" t="s">
        <v>555</v>
      </c>
      <c r="C26" s="81"/>
      <c r="D26" s="566"/>
      <c r="E26" s="539"/>
    </row>
    <row r="27" spans="1:5" s="508" customFormat="1" ht="12" customHeight="1">
      <c r="A27" s="559" t="s">
        <v>325</v>
      </c>
      <c r="B27" s="561" t="s">
        <v>558</v>
      </c>
      <c r="C27" s="415"/>
      <c r="D27" s="580"/>
      <c r="E27" s="538"/>
    </row>
    <row r="28" spans="1:5" s="508" customFormat="1" ht="12" customHeight="1" thickBot="1">
      <c r="A28" s="558" t="s">
        <v>326</v>
      </c>
      <c r="B28" s="562" t="s">
        <v>677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559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343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344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346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471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561</v>
      </c>
      <c r="C35" s="414">
        <f>+C8+C19+C24+C25+C29+C33+C34</f>
        <v>0</v>
      </c>
      <c r="D35" s="575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562</v>
      </c>
      <c r="C36" s="414">
        <f>+C37+C38+C39</f>
        <v>0</v>
      </c>
      <c r="D36" s="575">
        <f>+D37+D38+D39</f>
        <v>0</v>
      </c>
      <c r="E36" s="552">
        <f>+E37+E38+E39</f>
        <v>0</v>
      </c>
    </row>
    <row r="37" spans="1:5" s="535" customFormat="1" ht="15" customHeight="1">
      <c r="A37" s="559" t="s">
        <v>563</v>
      </c>
      <c r="B37" s="560" t="s">
        <v>160</v>
      </c>
      <c r="C37" s="81"/>
      <c r="D37" s="566"/>
      <c r="E37" s="539"/>
    </row>
    <row r="38" spans="1:5" s="535" customFormat="1" ht="15" customHeight="1">
      <c r="A38" s="559" t="s">
        <v>564</v>
      </c>
      <c r="B38" s="561" t="s">
        <v>3</v>
      </c>
      <c r="C38" s="415"/>
      <c r="D38" s="580"/>
      <c r="E38" s="538"/>
    </row>
    <row r="39" spans="1:5" ht="13.5" thickBot="1">
      <c r="A39" s="558" t="s">
        <v>565</v>
      </c>
      <c r="B39" s="544" t="s">
        <v>566</v>
      </c>
      <c r="C39" s="542"/>
      <c r="D39" s="581"/>
      <c r="E39" s="537"/>
    </row>
    <row r="40" spans="1:5" s="534" customFormat="1" ht="16.5" customHeight="1" thickBot="1">
      <c r="A40" s="547" t="s">
        <v>16</v>
      </c>
      <c r="B40" s="548" t="s">
        <v>567</v>
      </c>
      <c r="C40" s="87">
        <f>+C35+C36</f>
        <v>0</v>
      </c>
      <c r="D40" s="582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44" t="s">
        <v>43</v>
      </c>
      <c r="B43" s="745"/>
      <c r="C43" s="745"/>
      <c r="D43" s="745"/>
      <c r="E43" s="746"/>
    </row>
    <row r="44" spans="1:5" ht="12" customHeight="1" thickBot="1">
      <c r="A44" s="545" t="s">
        <v>7</v>
      </c>
      <c r="B44" s="355" t="s">
        <v>568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69</v>
      </c>
      <c r="B45" s="336" t="s">
        <v>37</v>
      </c>
      <c r="C45" s="81"/>
      <c r="D45" s="81"/>
      <c r="E45" s="539"/>
    </row>
    <row r="46" spans="1:5" ht="12" customHeight="1">
      <c r="A46" s="558" t="s">
        <v>70</v>
      </c>
      <c r="B46" s="335" t="s">
        <v>131</v>
      </c>
      <c r="C46" s="408"/>
      <c r="D46" s="408"/>
      <c r="E46" s="563"/>
    </row>
    <row r="47" spans="1:5" ht="12" customHeight="1">
      <c r="A47" s="558" t="s">
        <v>71</v>
      </c>
      <c r="B47" s="335" t="s">
        <v>98</v>
      </c>
      <c r="C47" s="408"/>
      <c r="D47" s="408"/>
      <c r="E47" s="563"/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570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3:5" ht="13.5" thickBot="1">
      <c r="C56" s="554"/>
      <c r="D56" s="554"/>
      <c r="E56" s="554"/>
    </row>
    <row r="57" spans="1:5" ht="13.5" thickBot="1">
      <c r="A57" s="637" t="s">
        <v>735</v>
      </c>
      <c r="B57" s="638"/>
      <c r="C57" s="91"/>
      <c r="D57" s="91"/>
      <c r="E57" s="543"/>
    </row>
    <row r="58" spans="1:5" ht="13.5" thickBot="1">
      <c r="A58" s="639" t="s">
        <v>734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+CONCATENATE("8.2. melléklet a 7/",LEFT(ÖSSZEFÜGGÉSEK!A4,4)+1,". (IV. 28.) önkormányzati rendelethez")</f>
        <v>8.2. melléklet a 7/2017. (IV. 28.) önkormányzati rendelethez</v>
      </c>
    </row>
    <row r="2" spans="1:5" s="532" customFormat="1" ht="25.5" customHeight="1">
      <c r="A2" s="512" t="s">
        <v>145</v>
      </c>
      <c r="B2" s="747" t="s">
        <v>743</v>
      </c>
      <c r="C2" s="748"/>
      <c r="D2" s="749"/>
      <c r="E2" s="555" t="s">
        <v>49</v>
      </c>
    </row>
    <row r="3" spans="1:5" s="532" customFormat="1" ht="24.75" thickBot="1">
      <c r="A3" s="530" t="s">
        <v>144</v>
      </c>
      <c r="B3" s="750" t="s">
        <v>543</v>
      </c>
      <c r="C3" s="753"/>
      <c r="D3" s="754"/>
      <c r="E3" s="556" t="s">
        <v>41</v>
      </c>
    </row>
    <row r="4" spans="1:5" s="533" customFormat="1" ht="15.75" customHeight="1" thickBot="1">
      <c r="A4" s="487"/>
      <c r="B4" s="487"/>
      <c r="C4" s="488"/>
      <c r="D4" s="488"/>
      <c r="E4" s="488" t="str">
        <f>'8.1.3. sz. mell.'!E4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575">
        <f>SUM(D9:D18)</f>
        <v>1861224</v>
      </c>
      <c r="E8" s="552">
        <f>SUM(E9:E18)</f>
        <v>1861224</v>
      </c>
    </row>
    <row r="9" spans="1:5" s="508" customFormat="1" ht="12" customHeight="1">
      <c r="A9" s="557" t="s">
        <v>69</v>
      </c>
      <c r="B9" s="337" t="s">
        <v>330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578"/>
      <c r="E16" s="540"/>
    </row>
    <row r="17" spans="1:5" s="508" customFormat="1" ht="12" customHeight="1">
      <c r="A17" s="558" t="s">
        <v>83</v>
      </c>
      <c r="B17" s="335" t="s">
        <v>339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94">
        <v>1861224</v>
      </c>
      <c r="E18" s="536">
        <v>1861224</v>
      </c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676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557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324</v>
      </c>
      <c r="B26" s="560" t="s">
        <v>555</v>
      </c>
      <c r="C26" s="81"/>
      <c r="D26" s="566"/>
      <c r="E26" s="539"/>
    </row>
    <row r="27" spans="1:5" s="508" customFormat="1" ht="12" customHeight="1">
      <c r="A27" s="559" t="s">
        <v>325</v>
      </c>
      <c r="B27" s="561" t="s">
        <v>558</v>
      </c>
      <c r="C27" s="415"/>
      <c r="D27" s="580"/>
      <c r="E27" s="538"/>
    </row>
    <row r="28" spans="1:5" s="508" customFormat="1" ht="12" customHeight="1" thickBot="1">
      <c r="A28" s="558" t="s">
        <v>326</v>
      </c>
      <c r="B28" s="562" t="s">
        <v>677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559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343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344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346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471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561</v>
      </c>
      <c r="C35" s="414">
        <f>+C8+C19+C24+C25+C29+C33+C34</f>
        <v>0</v>
      </c>
      <c r="D35" s="575">
        <f>+D8+D19+D24+D25+D29+D33+D34</f>
        <v>1861224</v>
      </c>
      <c r="E35" s="552">
        <f>+E8+E19+E24+E25+E29+E33+E34</f>
        <v>1861224</v>
      </c>
    </row>
    <row r="36" spans="1:5" s="535" customFormat="1" ht="12" customHeight="1" thickBot="1">
      <c r="A36" s="547" t="s">
        <v>15</v>
      </c>
      <c r="B36" s="355" t="s">
        <v>562</v>
      </c>
      <c r="C36" s="414">
        <f>+C37+C38+C39</f>
        <v>4441000</v>
      </c>
      <c r="D36" s="575">
        <f>+D37+D38+D39</f>
        <v>1767202</v>
      </c>
      <c r="E36" s="552">
        <f>+E37+E38+E39</f>
        <v>1767202</v>
      </c>
    </row>
    <row r="37" spans="1:5" s="535" customFormat="1" ht="15" customHeight="1">
      <c r="A37" s="559" t="s">
        <v>563</v>
      </c>
      <c r="B37" s="560" t="s">
        <v>160</v>
      </c>
      <c r="C37" s="81"/>
      <c r="D37" s="566">
        <v>1601</v>
      </c>
      <c r="E37" s="539">
        <v>1601</v>
      </c>
    </row>
    <row r="38" spans="1:5" s="535" customFormat="1" ht="15" customHeight="1">
      <c r="A38" s="559" t="s">
        <v>564</v>
      </c>
      <c r="B38" s="561" t="s">
        <v>3</v>
      </c>
      <c r="C38" s="415"/>
      <c r="D38" s="580"/>
      <c r="E38" s="538"/>
    </row>
    <row r="39" spans="1:5" ht="13.5" thickBot="1">
      <c r="A39" s="558" t="s">
        <v>565</v>
      </c>
      <c r="B39" s="544" t="s">
        <v>566</v>
      </c>
      <c r="C39" s="542">
        <v>4441000</v>
      </c>
      <c r="D39" s="581">
        <v>1765601</v>
      </c>
      <c r="E39" s="537">
        <v>1765601</v>
      </c>
    </row>
    <row r="40" spans="1:5" s="534" customFormat="1" ht="16.5" customHeight="1" thickBot="1">
      <c r="A40" s="547" t="s">
        <v>16</v>
      </c>
      <c r="B40" s="548" t="s">
        <v>567</v>
      </c>
      <c r="C40" s="87">
        <f>+C35+C36</f>
        <v>4441000</v>
      </c>
      <c r="D40" s="582">
        <f>+D35+D36</f>
        <v>3628426</v>
      </c>
      <c r="E40" s="553">
        <f>+E35+E36</f>
        <v>3628426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44" t="s">
        <v>43</v>
      </c>
      <c r="B43" s="745"/>
      <c r="C43" s="745"/>
      <c r="D43" s="745"/>
      <c r="E43" s="746"/>
    </row>
    <row r="44" spans="1:5" ht="12" customHeight="1" thickBot="1">
      <c r="A44" s="545" t="s">
        <v>7</v>
      </c>
      <c r="B44" s="355" t="s">
        <v>568</v>
      </c>
      <c r="C44" s="414">
        <f>SUM(C45:C49)</f>
        <v>4441000</v>
      </c>
      <c r="D44" s="414">
        <f>SUM(D45:D49)</f>
        <v>3628426</v>
      </c>
      <c r="E44" s="552">
        <f>SUM(E45:E49)</f>
        <v>3628426</v>
      </c>
    </row>
    <row r="45" spans="1:5" ht="12" customHeight="1">
      <c r="A45" s="558" t="s">
        <v>69</v>
      </c>
      <c r="B45" s="336" t="s">
        <v>37</v>
      </c>
      <c r="C45" s="81">
        <v>1913000</v>
      </c>
      <c r="D45" s="81">
        <v>1599500</v>
      </c>
      <c r="E45" s="539">
        <v>1599500</v>
      </c>
    </row>
    <row r="46" spans="1:5" ht="12" customHeight="1">
      <c r="A46" s="558" t="s">
        <v>70</v>
      </c>
      <c r="B46" s="335" t="s">
        <v>131</v>
      </c>
      <c r="C46" s="408">
        <v>543000</v>
      </c>
      <c r="D46" s="408">
        <v>442463</v>
      </c>
      <c r="E46" s="563">
        <v>442463</v>
      </c>
    </row>
    <row r="47" spans="1:5" ht="12" customHeight="1">
      <c r="A47" s="558" t="s">
        <v>71</v>
      </c>
      <c r="B47" s="335" t="s">
        <v>98</v>
      </c>
      <c r="C47" s="408">
        <v>1985000</v>
      </c>
      <c r="D47" s="408">
        <v>1585838</v>
      </c>
      <c r="E47" s="563">
        <v>1585838</v>
      </c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>
        <v>625</v>
      </c>
      <c r="E49" s="563">
        <v>625</v>
      </c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570</v>
      </c>
      <c r="C55" s="87">
        <f>+C44+C50</f>
        <v>4441000</v>
      </c>
      <c r="D55" s="87">
        <f>+D44+D50</f>
        <v>3628426</v>
      </c>
      <c r="E55" s="553">
        <f>+E44+E50</f>
        <v>3628426</v>
      </c>
    </row>
    <row r="56" spans="3:5" ht="13.5" thickBot="1">
      <c r="C56" s="554"/>
      <c r="D56" s="554"/>
      <c r="E56" s="554"/>
    </row>
    <row r="57" spans="1:5" ht="13.5" thickBot="1">
      <c r="A57" s="637" t="s">
        <v>735</v>
      </c>
      <c r="B57" s="638"/>
      <c r="C57" s="91">
        <v>1</v>
      </c>
      <c r="D57" s="91">
        <v>1</v>
      </c>
      <c r="E57" s="543">
        <v>1</v>
      </c>
    </row>
    <row r="58" spans="1:5" ht="13.5" thickBot="1">
      <c r="A58" s="639" t="s">
        <v>734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+CONCATENATE("8.2.1. melléklet a 7/",LEFT(ÖSSZEFÜGGÉSEK!A4,4)+1,". (IV. 28.) önkormányzati rendelethez")</f>
        <v>8.2.1. melléklet a 7/2017. (IV. 28.) önkormányzati rendelethez</v>
      </c>
    </row>
    <row r="2" spans="1:5" s="532" customFormat="1" ht="25.5" customHeight="1">
      <c r="A2" s="512" t="s">
        <v>145</v>
      </c>
      <c r="B2" s="747" t="s">
        <v>743</v>
      </c>
      <c r="C2" s="748"/>
      <c r="D2" s="749"/>
      <c r="E2" s="555" t="s">
        <v>49</v>
      </c>
    </row>
    <row r="3" spans="1:5" s="532" customFormat="1" ht="24.75" thickBot="1">
      <c r="A3" s="530" t="s">
        <v>144</v>
      </c>
      <c r="B3" s="750" t="s">
        <v>684</v>
      </c>
      <c r="C3" s="753"/>
      <c r="D3" s="754"/>
      <c r="E3" s="556" t="s">
        <v>47</v>
      </c>
    </row>
    <row r="4" spans="1:5" s="533" customFormat="1" ht="15.75" customHeight="1" thickBot="1">
      <c r="A4" s="487"/>
      <c r="B4" s="487"/>
      <c r="C4" s="488"/>
      <c r="D4" s="488"/>
      <c r="E4" s="488" t="str">
        <f>'8.2. sz. mell.'!E4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575">
        <f>SUM(D9:D18)</f>
        <v>1861224</v>
      </c>
      <c r="E8" s="552">
        <f>SUM(E9:E18)</f>
        <v>1861224</v>
      </c>
    </row>
    <row r="9" spans="1:5" s="508" customFormat="1" ht="12" customHeight="1">
      <c r="A9" s="557" t="s">
        <v>69</v>
      </c>
      <c r="B9" s="337" t="s">
        <v>330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578"/>
      <c r="E16" s="540"/>
    </row>
    <row r="17" spans="1:5" s="508" customFormat="1" ht="12" customHeight="1">
      <c r="A17" s="558" t="s">
        <v>83</v>
      </c>
      <c r="B17" s="335" t="s">
        <v>339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94">
        <v>1861224</v>
      </c>
      <c r="E18" s="536">
        <v>1861224</v>
      </c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676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557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324</v>
      </c>
      <c r="B26" s="560" t="s">
        <v>555</v>
      </c>
      <c r="C26" s="81"/>
      <c r="D26" s="566"/>
      <c r="E26" s="539"/>
    </row>
    <row r="27" spans="1:5" s="508" customFormat="1" ht="12" customHeight="1">
      <c r="A27" s="559" t="s">
        <v>325</v>
      </c>
      <c r="B27" s="561" t="s">
        <v>558</v>
      </c>
      <c r="C27" s="415"/>
      <c r="D27" s="580"/>
      <c r="E27" s="538"/>
    </row>
    <row r="28" spans="1:5" s="508" customFormat="1" ht="12" customHeight="1" thickBot="1">
      <c r="A28" s="558" t="s">
        <v>326</v>
      </c>
      <c r="B28" s="562" t="s">
        <v>677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559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343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344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346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471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561</v>
      </c>
      <c r="C35" s="414">
        <f>+C8+C19+C24+C25+C29+C33+C34</f>
        <v>0</v>
      </c>
      <c r="D35" s="575">
        <f>+D8+D19+D24+D25+D29+D33+D34</f>
        <v>1861224</v>
      </c>
      <c r="E35" s="552">
        <f>+E8+E19+E24+E25+E29+E33+E34</f>
        <v>1861224</v>
      </c>
    </row>
    <row r="36" spans="1:5" s="535" customFormat="1" ht="12" customHeight="1" thickBot="1">
      <c r="A36" s="547" t="s">
        <v>15</v>
      </c>
      <c r="B36" s="355" t="s">
        <v>562</v>
      </c>
      <c r="C36" s="414">
        <f>+C37+C38+C39</f>
        <v>4441000</v>
      </c>
      <c r="D36" s="575">
        <f>+D37+D38+D39</f>
        <v>1767202</v>
      </c>
      <c r="E36" s="552">
        <f>+E37+E38+E39</f>
        <v>1767202</v>
      </c>
    </row>
    <row r="37" spans="1:5" s="535" customFormat="1" ht="15" customHeight="1">
      <c r="A37" s="559" t="s">
        <v>563</v>
      </c>
      <c r="B37" s="560" t="s">
        <v>160</v>
      </c>
      <c r="C37" s="81"/>
      <c r="D37" s="566">
        <v>1601</v>
      </c>
      <c r="E37" s="539">
        <v>1601</v>
      </c>
    </row>
    <row r="38" spans="1:5" s="535" customFormat="1" ht="15" customHeight="1">
      <c r="A38" s="559" t="s">
        <v>564</v>
      </c>
      <c r="B38" s="561" t="s">
        <v>3</v>
      </c>
      <c r="C38" s="415"/>
      <c r="D38" s="580"/>
      <c r="E38" s="538"/>
    </row>
    <row r="39" spans="1:5" ht="13.5" thickBot="1">
      <c r="A39" s="558" t="s">
        <v>565</v>
      </c>
      <c r="B39" s="544" t="s">
        <v>566</v>
      </c>
      <c r="C39" s="542">
        <v>4441000</v>
      </c>
      <c r="D39" s="581">
        <v>1765601</v>
      </c>
      <c r="E39" s="537">
        <v>1765601</v>
      </c>
    </row>
    <row r="40" spans="1:5" s="534" customFormat="1" ht="16.5" customHeight="1" thickBot="1">
      <c r="A40" s="547" t="s">
        <v>16</v>
      </c>
      <c r="B40" s="548" t="s">
        <v>567</v>
      </c>
      <c r="C40" s="87">
        <f>+C35+C36</f>
        <v>4441000</v>
      </c>
      <c r="D40" s="582">
        <f>+D35+D36</f>
        <v>3628426</v>
      </c>
      <c r="E40" s="553">
        <f>+E35+E36</f>
        <v>3628426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44" t="s">
        <v>43</v>
      </c>
      <c r="B43" s="745"/>
      <c r="C43" s="745"/>
      <c r="D43" s="745"/>
      <c r="E43" s="746"/>
    </row>
    <row r="44" spans="1:5" ht="12" customHeight="1" thickBot="1">
      <c r="A44" s="545" t="s">
        <v>7</v>
      </c>
      <c r="B44" s="355" t="s">
        <v>568</v>
      </c>
      <c r="C44" s="414">
        <f>SUM(C45:C49)</f>
        <v>4441000</v>
      </c>
      <c r="D44" s="414">
        <f>SUM(D45:D49)</f>
        <v>3628426</v>
      </c>
      <c r="E44" s="552">
        <f>SUM(E45:E49)</f>
        <v>3628426</v>
      </c>
    </row>
    <row r="45" spans="1:5" ht="12" customHeight="1">
      <c r="A45" s="558" t="s">
        <v>69</v>
      </c>
      <c r="B45" s="336" t="s">
        <v>37</v>
      </c>
      <c r="C45" s="81">
        <v>1913000</v>
      </c>
      <c r="D45" s="81">
        <v>1599500</v>
      </c>
      <c r="E45" s="539">
        <v>1599500</v>
      </c>
    </row>
    <row r="46" spans="1:5" ht="12" customHeight="1">
      <c r="A46" s="558" t="s">
        <v>70</v>
      </c>
      <c r="B46" s="335" t="s">
        <v>131</v>
      </c>
      <c r="C46" s="408">
        <v>543000</v>
      </c>
      <c r="D46" s="408">
        <v>442463</v>
      </c>
      <c r="E46" s="563">
        <v>442463</v>
      </c>
    </row>
    <row r="47" spans="1:5" ht="12" customHeight="1">
      <c r="A47" s="558" t="s">
        <v>71</v>
      </c>
      <c r="B47" s="335" t="s">
        <v>98</v>
      </c>
      <c r="C47" s="408">
        <v>1985000</v>
      </c>
      <c r="D47" s="408">
        <v>1585838</v>
      </c>
      <c r="E47" s="563">
        <v>1585838</v>
      </c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>
        <v>625</v>
      </c>
      <c r="E49" s="563">
        <v>625</v>
      </c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570</v>
      </c>
      <c r="C55" s="87">
        <f>+C44+C50</f>
        <v>4441000</v>
      </c>
      <c r="D55" s="87">
        <f>+D44+D50</f>
        <v>3628426</v>
      </c>
      <c r="E55" s="553">
        <f>+E44+E50</f>
        <v>3628426</v>
      </c>
    </row>
    <row r="56" spans="3:5" ht="13.5" thickBot="1">
      <c r="C56" s="554"/>
      <c r="D56" s="554"/>
      <c r="E56" s="554"/>
    </row>
    <row r="57" spans="1:5" ht="13.5" thickBot="1">
      <c r="A57" s="637" t="s">
        <v>735</v>
      </c>
      <c r="B57" s="638"/>
      <c r="C57" s="91">
        <v>1</v>
      </c>
      <c r="D57" s="91">
        <v>1</v>
      </c>
      <c r="E57" s="543">
        <v>1</v>
      </c>
    </row>
    <row r="58" spans="1:5" ht="13.5" thickBot="1">
      <c r="A58" s="639" t="s">
        <v>734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+CONCATENATE("8.2.2. melléklet a 7/",LEFT(ÖSSZEFÜGGÉSEK!A4,4)+1,". (IV. 28.) önkormányzati rendelethez")</f>
        <v>8.2.2. melléklet a 7/2017. (IV. 28.) önkormányzati rendelethez</v>
      </c>
    </row>
    <row r="2" spans="1:5" s="532" customFormat="1" ht="25.5" customHeight="1">
      <c r="A2" s="512" t="s">
        <v>145</v>
      </c>
      <c r="B2" s="747" t="s">
        <v>743</v>
      </c>
      <c r="C2" s="748"/>
      <c r="D2" s="749"/>
      <c r="E2" s="555" t="s">
        <v>49</v>
      </c>
    </row>
    <row r="3" spans="1:5" s="532" customFormat="1" ht="24.75" thickBot="1">
      <c r="A3" s="530" t="s">
        <v>144</v>
      </c>
      <c r="B3" s="750" t="s">
        <v>675</v>
      </c>
      <c r="C3" s="753"/>
      <c r="D3" s="754"/>
      <c r="E3" s="556" t="s">
        <v>48</v>
      </c>
    </row>
    <row r="4" spans="1:5" s="533" customFormat="1" ht="15.75" customHeight="1" thickBot="1">
      <c r="A4" s="487"/>
      <c r="B4" s="487"/>
      <c r="C4" s="488"/>
      <c r="D4" s="488"/>
      <c r="E4" s="488" t="str">
        <f>'8.2.1. sz. mell.'!E4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575">
        <f>SUM(D9:D18)</f>
        <v>0</v>
      </c>
      <c r="E8" s="552">
        <f>SUM(E9:E18)</f>
        <v>0</v>
      </c>
    </row>
    <row r="9" spans="1:5" s="508" customFormat="1" ht="12" customHeight="1">
      <c r="A9" s="557" t="s">
        <v>69</v>
      </c>
      <c r="B9" s="337" t="s">
        <v>330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578"/>
      <c r="E16" s="540"/>
    </row>
    <row r="17" spans="1:5" s="508" customFormat="1" ht="12" customHeight="1">
      <c r="A17" s="558" t="s">
        <v>83</v>
      </c>
      <c r="B17" s="335" t="s">
        <v>339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676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557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324</v>
      </c>
      <c r="B26" s="560" t="s">
        <v>555</v>
      </c>
      <c r="C26" s="81"/>
      <c r="D26" s="566"/>
      <c r="E26" s="539"/>
    </row>
    <row r="27" spans="1:5" s="508" customFormat="1" ht="12" customHeight="1">
      <c r="A27" s="559" t="s">
        <v>325</v>
      </c>
      <c r="B27" s="561" t="s">
        <v>558</v>
      </c>
      <c r="C27" s="415"/>
      <c r="D27" s="580"/>
      <c r="E27" s="538"/>
    </row>
    <row r="28" spans="1:5" s="508" customFormat="1" ht="12" customHeight="1" thickBot="1">
      <c r="A28" s="558" t="s">
        <v>326</v>
      </c>
      <c r="B28" s="562" t="s">
        <v>677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559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343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344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346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471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561</v>
      </c>
      <c r="C35" s="414">
        <f>+C8+C19+C24+C25+C29+C33+C34</f>
        <v>0</v>
      </c>
      <c r="D35" s="575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562</v>
      </c>
      <c r="C36" s="414">
        <f>+C37+C38+C39</f>
        <v>0</v>
      </c>
      <c r="D36" s="575">
        <f>+D37+D38+D39</f>
        <v>0</v>
      </c>
      <c r="E36" s="552">
        <f>+E37+E38+E39</f>
        <v>0</v>
      </c>
    </row>
    <row r="37" spans="1:5" s="535" customFormat="1" ht="15" customHeight="1">
      <c r="A37" s="559" t="s">
        <v>563</v>
      </c>
      <c r="B37" s="560" t="s">
        <v>160</v>
      </c>
      <c r="C37" s="81"/>
      <c r="D37" s="566"/>
      <c r="E37" s="539"/>
    </row>
    <row r="38" spans="1:5" s="535" customFormat="1" ht="15" customHeight="1">
      <c r="A38" s="559" t="s">
        <v>564</v>
      </c>
      <c r="B38" s="561" t="s">
        <v>3</v>
      </c>
      <c r="C38" s="415"/>
      <c r="D38" s="580"/>
      <c r="E38" s="538"/>
    </row>
    <row r="39" spans="1:5" ht="13.5" thickBot="1">
      <c r="A39" s="558" t="s">
        <v>565</v>
      </c>
      <c r="B39" s="544" t="s">
        <v>566</v>
      </c>
      <c r="C39" s="542"/>
      <c r="D39" s="581"/>
      <c r="E39" s="537"/>
    </row>
    <row r="40" spans="1:5" s="534" customFormat="1" ht="16.5" customHeight="1" thickBot="1">
      <c r="A40" s="547" t="s">
        <v>16</v>
      </c>
      <c r="B40" s="548" t="s">
        <v>567</v>
      </c>
      <c r="C40" s="87">
        <f>+C35+C36</f>
        <v>0</v>
      </c>
      <c r="D40" s="582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44" t="s">
        <v>43</v>
      </c>
      <c r="B43" s="745"/>
      <c r="C43" s="745"/>
      <c r="D43" s="745"/>
      <c r="E43" s="746"/>
    </row>
    <row r="44" spans="1:5" ht="12" customHeight="1" thickBot="1">
      <c r="A44" s="545" t="s">
        <v>7</v>
      </c>
      <c r="B44" s="355" t="s">
        <v>568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69</v>
      </c>
      <c r="B45" s="336" t="s">
        <v>37</v>
      </c>
      <c r="C45" s="81"/>
      <c r="D45" s="81"/>
      <c r="E45" s="539"/>
    </row>
    <row r="46" spans="1:5" ht="12" customHeight="1">
      <c r="A46" s="558" t="s">
        <v>70</v>
      </c>
      <c r="B46" s="335" t="s">
        <v>131</v>
      </c>
      <c r="C46" s="408"/>
      <c r="D46" s="408"/>
      <c r="E46" s="563"/>
    </row>
    <row r="47" spans="1:5" ht="12" customHeight="1">
      <c r="A47" s="558" t="s">
        <v>71</v>
      </c>
      <c r="B47" s="335" t="s">
        <v>98</v>
      </c>
      <c r="C47" s="408"/>
      <c r="D47" s="408"/>
      <c r="E47" s="563"/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570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3:5" ht="13.5" thickBot="1">
      <c r="C56" s="554"/>
      <c r="D56" s="554"/>
      <c r="E56" s="554"/>
    </row>
    <row r="57" spans="1:5" ht="13.5" thickBot="1">
      <c r="A57" s="637" t="s">
        <v>735</v>
      </c>
      <c r="B57" s="638"/>
      <c r="C57" s="91"/>
      <c r="D57" s="91"/>
      <c r="E57" s="543"/>
    </row>
    <row r="58" spans="1:5" ht="13.5" thickBot="1">
      <c r="A58" s="639" t="s">
        <v>734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+CONCATENATE("8.2.3. melléklet a 7/",LEFT(ÖSSZEFÜGGÉSEK!A4,4)+1,". (IV. 28.) önkormányzati rendelethez")</f>
        <v>8.2.3. melléklet a 7/2017. (IV. 28.) önkormányzati rendelethez</v>
      </c>
    </row>
    <row r="2" spans="1:5" s="532" customFormat="1" ht="25.5" customHeight="1">
      <c r="A2" s="512" t="s">
        <v>145</v>
      </c>
      <c r="B2" s="747" t="s">
        <v>743</v>
      </c>
      <c r="C2" s="748"/>
      <c r="D2" s="749"/>
      <c r="E2" s="555" t="s">
        <v>49</v>
      </c>
    </row>
    <row r="3" spans="1:5" s="532" customFormat="1" ht="24.75" thickBot="1">
      <c r="A3" s="530" t="s">
        <v>144</v>
      </c>
      <c r="B3" s="750" t="s">
        <v>670</v>
      </c>
      <c r="C3" s="753"/>
      <c r="D3" s="754"/>
      <c r="E3" s="556" t="s">
        <v>49</v>
      </c>
    </row>
    <row r="4" spans="1:5" s="533" customFormat="1" ht="15.75" customHeight="1" thickBot="1">
      <c r="A4" s="487"/>
      <c r="B4" s="487"/>
      <c r="C4" s="488"/>
      <c r="D4" s="488"/>
      <c r="E4" s="488" t="str">
        <f>'8.2.2. sz. mell.'!E4</f>
        <v>Forintban!</v>
      </c>
    </row>
    <row r="5" spans="1:5" ht="24.75" thickBot="1">
      <c r="A5" s="320" t="s">
        <v>146</v>
      </c>
      <c r="B5" s="321" t="s">
        <v>733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411</v>
      </c>
      <c r="B6" s="483" t="s">
        <v>412</v>
      </c>
      <c r="C6" s="483" t="s">
        <v>413</v>
      </c>
      <c r="D6" s="90" t="s">
        <v>414</v>
      </c>
      <c r="E6" s="88" t="s">
        <v>415</v>
      </c>
    </row>
    <row r="7" spans="1:5" s="534" customFormat="1" ht="15.75" customHeight="1" thickBot="1">
      <c r="A7" s="744" t="s">
        <v>42</v>
      </c>
      <c r="B7" s="745"/>
      <c r="C7" s="745"/>
      <c r="D7" s="745"/>
      <c r="E7" s="746"/>
    </row>
    <row r="8" spans="1:5" s="508" customFormat="1" ht="12" customHeight="1" thickBot="1">
      <c r="A8" s="482" t="s">
        <v>7</v>
      </c>
      <c r="B8" s="546" t="s">
        <v>551</v>
      </c>
      <c r="C8" s="414">
        <f>SUM(C9:C18)</f>
        <v>0</v>
      </c>
      <c r="D8" s="575">
        <f>SUM(D9:D18)</f>
        <v>0</v>
      </c>
      <c r="E8" s="552">
        <f>SUM(E9:E18)</f>
        <v>0</v>
      </c>
    </row>
    <row r="9" spans="1:5" s="508" customFormat="1" ht="12" customHeight="1">
      <c r="A9" s="557" t="s">
        <v>69</v>
      </c>
      <c r="B9" s="337" t="s">
        <v>330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331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332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333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334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552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553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337</v>
      </c>
      <c r="C16" s="85"/>
      <c r="D16" s="578"/>
      <c r="E16" s="540"/>
    </row>
    <row r="17" spans="1:5" s="508" customFormat="1" ht="12" customHeight="1">
      <c r="A17" s="558" t="s">
        <v>83</v>
      </c>
      <c r="B17" s="335" t="s">
        <v>339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341</v>
      </c>
      <c r="C18" s="413"/>
      <c r="D18" s="94"/>
      <c r="E18" s="536"/>
    </row>
    <row r="19" spans="1:5" s="535" customFormat="1" ht="12" customHeight="1" thickBot="1">
      <c r="A19" s="482" t="s">
        <v>8</v>
      </c>
      <c r="B19" s="546" t="s">
        <v>554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311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555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556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676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557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324</v>
      </c>
      <c r="B26" s="560" t="s">
        <v>555</v>
      </c>
      <c r="C26" s="81"/>
      <c r="D26" s="566"/>
      <c r="E26" s="539"/>
    </row>
    <row r="27" spans="1:5" s="508" customFormat="1" ht="12" customHeight="1">
      <c r="A27" s="559" t="s">
        <v>325</v>
      </c>
      <c r="B27" s="561" t="s">
        <v>558</v>
      </c>
      <c r="C27" s="415"/>
      <c r="D27" s="580"/>
      <c r="E27" s="538"/>
    </row>
    <row r="28" spans="1:5" s="508" customFormat="1" ht="12" customHeight="1" thickBot="1">
      <c r="A28" s="558" t="s">
        <v>326</v>
      </c>
      <c r="B28" s="562" t="s">
        <v>677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559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343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344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346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471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560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561</v>
      </c>
      <c r="C35" s="414">
        <f>+C8+C19+C24+C25+C29+C33+C34</f>
        <v>0</v>
      </c>
      <c r="D35" s="575">
        <f>+D8+D19+D24+D25+D29+D33+D34</f>
        <v>0</v>
      </c>
      <c r="E35" s="552">
        <f>+E8+E19+E24+E25+E29+E33+E34</f>
        <v>0</v>
      </c>
    </row>
    <row r="36" spans="1:5" s="535" customFormat="1" ht="12" customHeight="1" thickBot="1">
      <c r="A36" s="547" t="s">
        <v>15</v>
      </c>
      <c r="B36" s="355" t="s">
        <v>562</v>
      </c>
      <c r="C36" s="414">
        <f>+C37+C38+C39</f>
        <v>0</v>
      </c>
      <c r="D36" s="575">
        <f>+D37+D38+D39</f>
        <v>0</v>
      </c>
      <c r="E36" s="552">
        <f>+E37+E38+E39</f>
        <v>0</v>
      </c>
    </row>
    <row r="37" spans="1:5" s="535" customFormat="1" ht="15" customHeight="1">
      <c r="A37" s="559" t="s">
        <v>563</v>
      </c>
      <c r="B37" s="560" t="s">
        <v>160</v>
      </c>
      <c r="C37" s="81"/>
      <c r="D37" s="566"/>
      <c r="E37" s="539"/>
    </row>
    <row r="38" spans="1:5" s="535" customFormat="1" ht="15" customHeight="1">
      <c r="A38" s="559" t="s">
        <v>564</v>
      </c>
      <c r="B38" s="561" t="s">
        <v>3</v>
      </c>
      <c r="C38" s="415"/>
      <c r="D38" s="580"/>
      <c r="E38" s="538"/>
    </row>
    <row r="39" spans="1:5" ht="13.5" thickBot="1">
      <c r="A39" s="558" t="s">
        <v>565</v>
      </c>
      <c r="B39" s="544" t="s">
        <v>566</v>
      </c>
      <c r="C39" s="542"/>
      <c r="D39" s="581"/>
      <c r="E39" s="537"/>
    </row>
    <row r="40" spans="1:5" s="534" customFormat="1" ht="16.5" customHeight="1" thickBot="1">
      <c r="A40" s="547" t="s">
        <v>16</v>
      </c>
      <c r="B40" s="548" t="s">
        <v>567</v>
      </c>
      <c r="C40" s="87">
        <f>+C35+C36</f>
        <v>0</v>
      </c>
      <c r="D40" s="582">
        <f>+D35+D36</f>
        <v>0</v>
      </c>
      <c r="E40" s="553">
        <f>+E35+E36</f>
        <v>0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44" t="s">
        <v>43</v>
      </c>
      <c r="B43" s="745"/>
      <c r="C43" s="745"/>
      <c r="D43" s="745"/>
      <c r="E43" s="746"/>
    </row>
    <row r="44" spans="1:5" ht="12" customHeight="1" thickBot="1">
      <c r="A44" s="545" t="s">
        <v>7</v>
      </c>
      <c r="B44" s="355" t="s">
        <v>568</v>
      </c>
      <c r="C44" s="414">
        <f>SUM(C45:C49)</f>
        <v>0</v>
      </c>
      <c r="D44" s="414">
        <f>SUM(D45:D49)</f>
        <v>0</v>
      </c>
      <c r="E44" s="552">
        <f>SUM(E45:E49)</f>
        <v>0</v>
      </c>
    </row>
    <row r="45" spans="1:5" ht="12" customHeight="1">
      <c r="A45" s="558" t="s">
        <v>69</v>
      </c>
      <c r="B45" s="336" t="s">
        <v>37</v>
      </c>
      <c r="C45" s="81"/>
      <c r="D45" s="81"/>
      <c r="E45" s="539"/>
    </row>
    <row r="46" spans="1:5" ht="12" customHeight="1">
      <c r="A46" s="558" t="s">
        <v>70</v>
      </c>
      <c r="B46" s="335" t="s">
        <v>131</v>
      </c>
      <c r="C46" s="408"/>
      <c r="D46" s="408"/>
      <c r="E46" s="563"/>
    </row>
    <row r="47" spans="1:5" ht="12" customHeight="1">
      <c r="A47" s="558" t="s">
        <v>71</v>
      </c>
      <c r="B47" s="335" t="s">
        <v>98</v>
      </c>
      <c r="C47" s="408"/>
      <c r="D47" s="408"/>
      <c r="E47" s="563"/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569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678</v>
      </c>
      <c r="C54" s="408"/>
      <c r="D54" s="408"/>
      <c r="E54" s="563"/>
    </row>
    <row r="55" spans="1:5" ht="15" customHeight="1" thickBot="1">
      <c r="A55" s="545" t="s">
        <v>9</v>
      </c>
      <c r="B55" s="549" t="s">
        <v>570</v>
      </c>
      <c r="C55" s="87">
        <f>+C44+C50</f>
        <v>0</v>
      </c>
      <c r="D55" s="87">
        <f>+D44+D50</f>
        <v>0</v>
      </c>
      <c r="E55" s="553">
        <f>+E44+E50</f>
        <v>0</v>
      </c>
    </row>
    <row r="56" spans="3:5" ht="13.5" thickBot="1">
      <c r="C56" s="554"/>
      <c r="D56" s="554"/>
      <c r="E56" s="554"/>
    </row>
    <row r="57" spans="1:5" ht="13.5" thickBot="1">
      <c r="A57" s="637" t="s">
        <v>735</v>
      </c>
      <c r="B57" s="638"/>
      <c r="C57" s="91"/>
      <c r="D57" s="91"/>
      <c r="E57" s="543"/>
    </row>
    <row r="58" spans="1:5" ht="13.5" thickBot="1">
      <c r="A58" s="639" t="s">
        <v>734</v>
      </c>
      <c r="B58" s="640"/>
      <c r="C58" s="91"/>
      <c r="D58" s="91"/>
      <c r="E58" s="54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E2" sqref="E2:G2"/>
    </sheetView>
  </sheetViews>
  <sheetFormatPr defaultColWidth="9.00390625" defaultRowHeight="12.75"/>
  <cols>
    <col min="1" max="1" width="7.00390625" style="308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tr">
        <f>'8.2.3. sz. mell.'!E4</f>
        <v>Forintban!</v>
      </c>
    </row>
    <row r="2" spans="1:7" ht="17.25" customHeight="1" thickBot="1">
      <c r="A2" s="755" t="s">
        <v>5</v>
      </c>
      <c r="B2" s="757" t="s">
        <v>302</v>
      </c>
      <c r="C2" s="757" t="s">
        <v>679</v>
      </c>
      <c r="D2" s="757" t="s">
        <v>722</v>
      </c>
      <c r="E2" s="759" t="s">
        <v>680</v>
      </c>
      <c r="F2" s="759"/>
      <c r="G2" s="760"/>
    </row>
    <row r="3" spans="1:7" s="309" customFormat="1" ht="57.75" customHeight="1" thickBot="1">
      <c r="A3" s="756"/>
      <c r="B3" s="758"/>
      <c r="C3" s="758"/>
      <c r="D3" s="758"/>
      <c r="E3" s="31" t="s">
        <v>681</v>
      </c>
      <c r="F3" s="31" t="s">
        <v>682</v>
      </c>
      <c r="G3" s="635" t="s">
        <v>683</v>
      </c>
    </row>
    <row r="4" spans="1:7" s="310" customFormat="1" ht="15" customHeight="1" thickBot="1">
      <c r="A4" s="482" t="s">
        <v>411</v>
      </c>
      <c r="B4" s="483" t="s">
        <v>412</v>
      </c>
      <c r="C4" s="483" t="s">
        <v>413</v>
      </c>
      <c r="D4" s="483" t="s">
        <v>414</v>
      </c>
      <c r="E4" s="483" t="s">
        <v>723</v>
      </c>
      <c r="F4" s="483" t="s">
        <v>492</v>
      </c>
      <c r="G4" s="567" t="s">
        <v>493</v>
      </c>
    </row>
    <row r="5" spans="1:7" ht="15" customHeight="1">
      <c r="A5" s="311" t="s">
        <v>7</v>
      </c>
      <c r="B5" s="312" t="s">
        <v>743</v>
      </c>
      <c r="C5" s="313">
        <v>0</v>
      </c>
      <c r="D5" s="313"/>
      <c r="E5" s="314">
        <f>C5+D5</f>
        <v>0</v>
      </c>
      <c r="F5" s="313"/>
      <c r="G5" s="315"/>
    </row>
    <row r="6" spans="1:7" ht="15" customHeight="1">
      <c r="A6" s="316" t="s">
        <v>8</v>
      </c>
      <c r="B6" s="317" t="s">
        <v>747</v>
      </c>
      <c r="C6" s="2">
        <v>551033</v>
      </c>
      <c r="D6" s="2"/>
      <c r="E6" s="314">
        <f aca="true" t="shared" si="0" ref="E6:E35">C6+D6</f>
        <v>551033</v>
      </c>
      <c r="F6" s="2">
        <v>551033</v>
      </c>
      <c r="G6" s="159"/>
    </row>
    <row r="7" spans="1:7" ht="15" customHeight="1">
      <c r="A7" s="316" t="s">
        <v>9</v>
      </c>
      <c r="B7" s="317" t="s">
        <v>744</v>
      </c>
      <c r="C7" s="2">
        <v>28056</v>
      </c>
      <c r="D7" s="2"/>
      <c r="E7" s="314">
        <f t="shared" si="0"/>
        <v>28056</v>
      </c>
      <c r="F7" s="2">
        <v>28056</v>
      </c>
      <c r="G7" s="159"/>
    </row>
    <row r="8" spans="1:7" ht="15" customHeight="1">
      <c r="A8" s="316" t="s">
        <v>10</v>
      </c>
      <c r="B8" s="317" t="s">
        <v>746</v>
      </c>
      <c r="C8" s="2">
        <v>36454206</v>
      </c>
      <c r="D8" s="2"/>
      <c r="E8" s="314">
        <f t="shared" si="0"/>
        <v>36454206</v>
      </c>
      <c r="F8" s="2">
        <v>36454206</v>
      </c>
      <c r="G8" s="159"/>
    </row>
    <row r="9" spans="1:7" ht="15" customHeight="1">
      <c r="A9" s="316" t="s">
        <v>11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12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13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14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15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16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17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18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19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20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21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22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23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24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25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26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27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28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29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30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31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32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33</v>
      </c>
      <c r="B31" s="317"/>
      <c r="C31" s="2"/>
      <c r="D31" s="2"/>
      <c r="E31" s="314">
        <f t="shared" si="0"/>
        <v>0</v>
      </c>
      <c r="F31" s="2"/>
      <c r="G31" s="159"/>
    </row>
    <row r="32" spans="1:7" ht="15" customHeight="1">
      <c r="A32" s="316" t="s">
        <v>34</v>
      </c>
      <c r="B32" s="317"/>
      <c r="C32" s="2"/>
      <c r="D32" s="2"/>
      <c r="E32" s="314">
        <f t="shared" si="0"/>
        <v>0</v>
      </c>
      <c r="F32" s="2"/>
      <c r="G32" s="159"/>
    </row>
    <row r="33" spans="1:7" ht="15" customHeight="1">
      <c r="A33" s="316" t="s">
        <v>35</v>
      </c>
      <c r="B33" s="317"/>
      <c r="C33" s="2"/>
      <c r="D33" s="2"/>
      <c r="E33" s="314">
        <f t="shared" si="0"/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 t="shared" si="0"/>
        <v>0</v>
      </c>
      <c r="F34" s="2"/>
      <c r="G34" s="159"/>
    </row>
    <row r="35" spans="1:7" ht="15" customHeight="1" thickBot="1">
      <c r="A35" s="316" t="s">
        <v>182</v>
      </c>
      <c r="B35" s="318"/>
      <c r="C35" s="3"/>
      <c r="D35" s="3"/>
      <c r="E35" s="314">
        <f t="shared" si="0"/>
        <v>0</v>
      </c>
      <c r="F35" s="3"/>
      <c r="G35" s="319"/>
    </row>
    <row r="36" spans="1:7" ht="15" customHeight="1" thickBot="1">
      <c r="A36" s="761" t="s">
        <v>40</v>
      </c>
      <c r="B36" s="762"/>
      <c r="C36" s="15">
        <f>SUM(C5:C35)</f>
        <v>37033295</v>
      </c>
      <c r="D36" s="15">
        <f>SUM(D5:D35)</f>
        <v>0</v>
      </c>
      <c r="E36" s="15">
        <f>SUM(E5:E35)</f>
        <v>37033295</v>
      </c>
      <c r="F36" s="15">
        <f>SUM(F5:F35)</f>
        <v>37033295</v>
      </c>
      <c r="G36" s="16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7/2017. (IV. 28.) önkormányzati rendelethez&amp;"Times New Roman CE,Dőlt"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86">
      <selection activeCell="G91" sqref="G91"/>
    </sheetView>
  </sheetViews>
  <sheetFormatPr defaultColWidth="9.00390625" defaultRowHeight="12.75"/>
  <cols>
    <col min="1" max="1" width="9.00390625" style="376" customWidth="1"/>
    <col min="2" max="2" width="64.875" style="376" customWidth="1"/>
    <col min="3" max="3" width="17.375" style="376" customWidth="1"/>
    <col min="4" max="5" width="17.375" style="377" customWidth="1"/>
    <col min="6" max="16384" width="9.375" style="387" customWidth="1"/>
  </cols>
  <sheetData>
    <row r="1" spans="1:5" ht="15.75" customHeight="1">
      <c r="A1" s="704" t="s">
        <v>4</v>
      </c>
      <c r="B1" s="704"/>
      <c r="C1" s="704"/>
      <c r="D1" s="704"/>
      <c r="E1" s="704"/>
    </row>
    <row r="2" spans="1:5" ht="15.75" customHeight="1" thickBot="1">
      <c r="A2" s="46" t="s">
        <v>109</v>
      </c>
      <c r="B2" s="46"/>
      <c r="C2" s="46"/>
      <c r="D2" s="374"/>
      <c r="E2" s="374" t="str">
        <f>'9. sz. mell'!G1</f>
        <v>Forintban!</v>
      </c>
    </row>
    <row r="3" spans="1:5" ht="15.75" customHeight="1">
      <c r="A3" s="705" t="s">
        <v>57</v>
      </c>
      <c r="B3" s="707" t="s">
        <v>6</v>
      </c>
      <c r="C3" s="763" t="str">
        <f>+CONCATENATE(LEFT(ÖSSZEFÜGGÉSEK!A4,4)-1,". évi tény")</f>
        <v>2015. évi tény</v>
      </c>
      <c r="D3" s="709" t="str">
        <f>+CONCATENATE(LEFT(ÖSSZEFÜGGÉSEK!A4,4),". évi")</f>
        <v>2016. évi</v>
      </c>
      <c r="E3" s="710"/>
    </row>
    <row r="4" spans="1:5" ht="37.5" customHeight="1" thickBot="1">
      <c r="A4" s="706"/>
      <c r="B4" s="708"/>
      <c r="C4" s="764"/>
      <c r="D4" s="48" t="s">
        <v>178</v>
      </c>
      <c r="E4" s="49" t="s">
        <v>179</v>
      </c>
    </row>
    <row r="5" spans="1:5" s="388" customFormat="1" ht="12" customHeight="1" thickBot="1">
      <c r="A5" s="352" t="s">
        <v>411</v>
      </c>
      <c r="B5" s="353" t="s">
        <v>412</v>
      </c>
      <c r="C5" s="353" t="s">
        <v>413</v>
      </c>
      <c r="D5" s="353" t="s">
        <v>415</v>
      </c>
      <c r="E5" s="354" t="s">
        <v>492</v>
      </c>
    </row>
    <row r="6" spans="1:5" s="389" customFormat="1" ht="12" customHeight="1" thickBot="1">
      <c r="A6" s="347" t="s">
        <v>7</v>
      </c>
      <c r="B6" s="583" t="s">
        <v>303</v>
      </c>
      <c r="C6" s="379">
        <f>+C7+C8+C9+C10+C11+C12</f>
        <v>193079000</v>
      </c>
      <c r="D6" s="379">
        <f>+D7+D8+D9+D10+D11+D12</f>
        <v>203800049</v>
      </c>
      <c r="E6" s="362">
        <f>+E7+E8+E9+E10+E11+E12</f>
        <v>203800049</v>
      </c>
    </row>
    <row r="7" spans="1:5" s="389" customFormat="1" ht="12" customHeight="1">
      <c r="A7" s="342" t="s">
        <v>69</v>
      </c>
      <c r="B7" s="584" t="s">
        <v>304</v>
      </c>
      <c r="C7" s="381">
        <v>91587000</v>
      </c>
      <c r="D7" s="381">
        <v>89398134</v>
      </c>
      <c r="E7" s="364">
        <v>89398134</v>
      </c>
    </row>
    <row r="8" spans="1:5" s="389" customFormat="1" ht="12" customHeight="1">
      <c r="A8" s="341" t="s">
        <v>70</v>
      </c>
      <c r="B8" s="585" t="s">
        <v>305</v>
      </c>
      <c r="C8" s="380">
        <v>50515000</v>
      </c>
      <c r="D8" s="380">
        <v>52393701</v>
      </c>
      <c r="E8" s="363">
        <v>52393701</v>
      </c>
    </row>
    <row r="9" spans="1:5" s="389" customFormat="1" ht="12" customHeight="1">
      <c r="A9" s="341" t="s">
        <v>71</v>
      </c>
      <c r="B9" s="585" t="s">
        <v>306</v>
      </c>
      <c r="C9" s="380">
        <v>43177000</v>
      </c>
      <c r="D9" s="380">
        <v>55120596</v>
      </c>
      <c r="E9" s="363">
        <v>55120596</v>
      </c>
    </row>
    <row r="10" spans="1:5" s="389" customFormat="1" ht="12" customHeight="1">
      <c r="A10" s="341" t="s">
        <v>72</v>
      </c>
      <c r="B10" s="585" t="s">
        <v>307</v>
      </c>
      <c r="C10" s="380">
        <v>3998000</v>
      </c>
      <c r="D10" s="380">
        <v>4057260</v>
      </c>
      <c r="E10" s="363">
        <v>4057260</v>
      </c>
    </row>
    <row r="11" spans="1:5" s="389" customFormat="1" ht="12" customHeight="1">
      <c r="A11" s="341" t="s">
        <v>105</v>
      </c>
      <c r="B11" s="585" t="s">
        <v>308</v>
      </c>
      <c r="C11" s="573">
        <v>3566000</v>
      </c>
      <c r="D11" s="380">
        <v>2645791</v>
      </c>
      <c r="E11" s="363">
        <v>2645791</v>
      </c>
    </row>
    <row r="12" spans="1:5" s="389" customFormat="1" ht="12" customHeight="1" thickBot="1">
      <c r="A12" s="343" t="s">
        <v>73</v>
      </c>
      <c r="B12" s="586" t="s">
        <v>309</v>
      </c>
      <c r="C12" s="574">
        <v>236000</v>
      </c>
      <c r="D12" s="382">
        <v>184567</v>
      </c>
      <c r="E12" s="365">
        <v>184567</v>
      </c>
    </row>
    <row r="13" spans="1:5" s="389" customFormat="1" ht="12" customHeight="1" thickBot="1">
      <c r="A13" s="347" t="s">
        <v>8</v>
      </c>
      <c r="B13" s="587" t="s">
        <v>310</v>
      </c>
      <c r="C13" s="379">
        <f>+C14+C15+C16+C17+C18</f>
        <v>94867000</v>
      </c>
      <c r="D13" s="379">
        <f>+D14+D15+D16+D17+D18</f>
        <v>206087136</v>
      </c>
      <c r="E13" s="362">
        <f>+E14+E15+E16+E17+E18</f>
        <v>148738679</v>
      </c>
    </row>
    <row r="14" spans="1:5" s="389" customFormat="1" ht="12" customHeight="1">
      <c r="A14" s="342" t="s">
        <v>75</v>
      </c>
      <c r="B14" s="584" t="s">
        <v>311</v>
      </c>
      <c r="C14" s="381">
        <v>6272000</v>
      </c>
      <c r="D14" s="381">
        <v>7307475</v>
      </c>
      <c r="E14" s="364">
        <v>7307475</v>
      </c>
    </row>
    <row r="15" spans="1:5" s="389" customFormat="1" ht="12" customHeight="1">
      <c r="A15" s="341" t="s">
        <v>76</v>
      </c>
      <c r="B15" s="585" t="s">
        <v>312</v>
      </c>
      <c r="C15" s="380"/>
      <c r="D15" s="380"/>
      <c r="E15" s="363"/>
    </row>
    <row r="16" spans="1:5" s="389" customFormat="1" ht="12" customHeight="1">
      <c r="A16" s="341" t="s">
        <v>77</v>
      </c>
      <c r="B16" s="585" t="s">
        <v>313</v>
      </c>
      <c r="C16" s="380"/>
      <c r="D16" s="380"/>
      <c r="E16" s="363"/>
    </row>
    <row r="17" spans="1:5" s="389" customFormat="1" ht="12" customHeight="1">
      <c r="A17" s="341" t="s">
        <v>78</v>
      </c>
      <c r="B17" s="585" t="s">
        <v>314</v>
      </c>
      <c r="C17" s="380"/>
      <c r="D17" s="411"/>
      <c r="E17" s="411"/>
    </row>
    <row r="18" spans="1:5" s="389" customFormat="1" ht="12" customHeight="1">
      <c r="A18" s="341" t="s">
        <v>79</v>
      </c>
      <c r="B18" s="585" t="s">
        <v>315</v>
      </c>
      <c r="C18" s="380">
        <v>88595000</v>
      </c>
      <c r="D18" s="411">
        <v>198779661</v>
      </c>
      <c r="E18" s="411">
        <v>141431204</v>
      </c>
    </row>
    <row r="19" spans="1:5" s="389" customFormat="1" ht="12" customHeight="1" thickBot="1">
      <c r="A19" s="343" t="s">
        <v>86</v>
      </c>
      <c r="B19" s="586" t="s">
        <v>316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583" t="s">
        <v>317</v>
      </c>
      <c r="C20" s="379">
        <f>+C21+C22+C23+C24+C25</f>
        <v>274747000</v>
      </c>
      <c r="D20" s="379">
        <f>+D21+D22+D23+D24+D25</f>
        <v>111999999</v>
      </c>
      <c r="E20" s="362">
        <f>+E21+E22+E23+E24+E25</f>
        <v>111999999</v>
      </c>
    </row>
    <row r="21" spans="1:5" s="389" customFormat="1" ht="12" customHeight="1">
      <c r="A21" s="342" t="s">
        <v>58</v>
      </c>
      <c r="B21" s="584" t="s">
        <v>318</v>
      </c>
      <c r="C21" s="381">
        <v>112000000</v>
      </c>
      <c r="D21" s="381">
        <v>111999999</v>
      </c>
      <c r="E21" s="364">
        <v>111999999</v>
      </c>
    </row>
    <row r="22" spans="1:5" s="389" customFormat="1" ht="12" customHeight="1">
      <c r="A22" s="341" t="s">
        <v>59</v>
      </c>
      <c r="B22" s="585" t="s">
        <v>319</v>
      </c>
      <c r="C22" s="380"/>
      <c r="D22" s="380"/>
      <c r="E22" s="363"/>
    </row>
    <row r="23" spans="1:5" s="389" customFormat="1" ht="12" customHeight="1">
      <c r="A23" s="341" t="s">
        <v>60</v>
      </c>
      <c r="B23" s="585" t="s">
        <v>320</v>
      </c>
      <c r="C23" s="380"/>
      <c r="D23" s="380"/>
      <c r="E23" s="363"/>
    </row>
    <row r="24" spans="1:5" s="389" customFormat="1" ht="12" customHeight="1">
      <c r="A24" s="341" t="s">
        <v>61</v>
      </c>
      <c r="B24" s="585" t="s">
        <v>321</v>
      </c>
      <c r="C24" s="380"/>
      <c r="D24" s="380"/>
      <c r="E24" s="363"/>
    </row>
    <row r="25" spans="1:5" s="389" customFormat="1" ht="12" customHeight="1">
      <c r="A25" s="341" t="s">
        <v>119</v>
      </c>
      <c r="B25" s="585" t="s">
        <v>322</v>
      </c>
      <c r="C25" s="380">
        <v>162747000</v>
      </c>
      <c r="D25" s="380"/>
      <c r="E25" s="363"/>
    </row>
    <row r="26" spans="1:5" s="389" customFormat="1" ht="12" customHeight="1" thickBot="1">
      <c r="A26" s="343" t="s">
        <v>120</v>
      </c>
      <c r="B26" s="586" t="s">
        <v>323</v>
      </c>
      <c r="C26" s="382"/>
      <c r="D26" s="382"/>
      <c r="E26" s="365"/>
    </row>
    <row r="27" spans="1:5" s="389" customFormat="1" ht="12" customHeight="1" thickBot="1">
      <c r="A27" s="352" t="s">
        <v>121</v>
      </c>
      <c r="B27" s="348" t="s">
        <v>724</v>
      </c>
      <c r="C27" s="385">
        <f>SUM(C28:C33)</f>
        <v>62017000</v>
      </c>
      <c r="D27" s="385">
        <f>SUM(D28:D33)</f>
        <v>57032589</v>
      </c>
      <c r="E27" s="398">
        <f>SUM(E28:E33)</f>
        <v>57032589</v>
      </c>
    </row>
    <row r="28" spans="1:5" s="389" customFormat="1" ht="12" customHeight="1">
      <c r="A28" s="518" t="s">
        <v>324</v>
      </c>
      <c r="B28" s="390" t="s">
        <v>728</v>
      </c>
      <c r="C28" s="381"/>
      <c r="D28" s="381"/>
      <c r="E28" s="364"/>
    </row>
    <row r="29" spans="1:5" s="389" customFormat="1" ht="12" customHeight="1">
      <c r="A29" s="519" t="s">
        <v>325</v>
      </c>
      <c r="B29" s="391" t="s">
        <v>729</v>
      </c>
      <c r="C29" s="380"/>
      <c r="D29" s="380"/>
      <c r="E29" s="363"/>
    </row>
    <row r="30" spans="1:5" s="389" customFormat="1" ht="12" customHeight="1">
      <c r="A30" s="519" t="s">
        <v>326</v>
      </c>
      <c r="B30" s="391" t="s">
        <v>730</v>
      </c>
      <c r="C30" s="380">
        <v>45561000</v>
      </c>
      <c r="D30" s="380">
        <v>44086230</v>
      </c>
      <c r="E30" s="363">
        <v>44086230</v>
      </c>
    </row>
    <row r="31" spans="1:5" s="389" customFormat="1" ht="12" customHeight="1">
      <c r="A31" s="519" t="s">
        <v>725</v>
      </c>
      <c r="B31" s="391" t="s">
        <v>731</v>
      </c>
      <c r="C31" s="380"/>
      <c r="D31" s="380"/>
      <c r="E31" s="363"/>
    </row>
    <row r="32" spans="1:5" s="389" customFormat="1" ht="12" customHeight="1">
      <c r="A32" s="519" t="s">
        <v>726</v>
      </c>
      <c r="B32" s="391" t="s">
        <v>748</v>
      </c>
      <c r="C32" s="380">
        <v>11929000</v>
      </c>
      <c r="D32" s="380">
        <v>10813451</v>
      </c>
      <c r="E32" s="363">
        <v>10813451</v>
      </c>
    </row>
    <row r="33" spans="1:5" s="389" customFormat="1" ht="12" customHeight="1" thickBot="1">
      <c r="A33" s="520" t="s">
        <v>727</v>
      </c>
      <c r="B33" s="371" t="s">
        <v>328</v>
      </c>
      <c r="C33" s="382">
        <v>4527000</v>
      </c>
      <c r="D33" s="382">
        <v>2132908</v>
      </c>
      <c r="E33" s="365">
        <v>2132908</v>
      </c>
    </row>
    <row r="34" spans="1:5" s="389" customFormat="1" ht="12" customHeight="1" thickBot="1">
      <c r="A34" s="347" t="s">
        <v>11</v>
      </c>
      <c r="B34" s="583" t="s">
        <v>329</v>
      </c>
      <c r="C34" s="379">
        <f>SUM(C35:C44)</f>
        <v>11219000</v>
      </c>
      <c r="D34" s="379">
        <f>SUM(D35:D44)</f>
        <v>14477903</v>
      </c>
      <c r="E34" s="362">
        <f>SUM(E35:E44)</f>
        <v>14477903</v>
      </c>
    </row>
    <row r="35" spans="1:5" s="389" customFormat="1" ht="12" customHeight="1">
      <c r="A35" s="342" t="s">
        <v>62</v>
      </c>
      <c r="B35" s="584" t="s">
        <v>330</v>
      </c>
      <c r="C35" s="381">
        <v>117000</v>
      </c>
      <c r="D35" s="381"/>
      <c r="E35" s="364"/>
    </row>
    <row r="36" spans="1:5" s="389" customFormat="1" ht="12" customHeight="1">
      <c r="A36" s="341" t="s">
        <v>63</v>
      </c>
      <c r="B36" s="585" t="s">
        <v>331</v>
      </c>
      <c r="C36" s="380">
        <v>3144000</v>
      </c>
      <c r="D36" s="380">
        <v>5301067</v>
      </c>
      <c r="E36" s="363">
        <v>5301067</v>
      </c>
    </row>
    <row r="37" spans="1:5" s="389" customFormat="1" ht="12" customHeight="1">
      <c r="A37" s="341" t="s">
        <v>64</v>
      </c>
      <c r="B37" s="585" t="s">
        <v>332</v>
      </c>
      <c r="C37" s="380"/>
      <c r="D37" s="380"/>
      <c r="E37" s="363"/>
    </row>
    <row r="38" spans="1:5" s="389" customFormat="1" ht="12" customHeight="1">
      <c r="A38" s="341" t="s">
        <v>123</v>
      </c>
      <c r="B38" s="585" t="s">
        <v>333</v>
      </c>
      <c r="C38" s="380"/>
      <c r="D38" s="380"/>
      <c r="E38" s="363"/>
    </row>
    <row r="39" spans="1:5" s="389" customFormat="1" ht="12" customHeight="1">
      <c r="A39" s="341" t="s">
        <v>124</v>
      </c>
      <c r="B39" s="585" t="s">
        <v>334</v>
      </c>
      <c r="C39" s="380">
        <v>5054000</v>
      </c>
      <c r="D39" s="380">
        <v>5877858</v>
      </c>
      <c r="E39" s="363">
        <v>5877858</v>
      </c>
    </row>
    <row r="40" spans="1:5" s="389" customFormat="1" ht="12" customHeight="1">
      <c r="A40" s="341" t="s">
        <v>125</v>
      </c>
      <c r="B40" s="585" t="s">
        <v>335</v>
      </c>
      <c r="C40" s="380">
        <v>2245000</v>
      </c>
      <c r="D40" s="380">
        <v>3018308</v>
      </c>
      <c r="E40" s="363">
        <v>3018308</v>
      </c>
    </row>
    <row r="41" spans="1:5" s="389" customFormat="1" ht="12" customHeight="1">
      <c r="A41" s="341" t="s">
        <v>126</v>
      </c>
      <c r="B41" s="585" t="s">
        <v>336</v>
      </c>
      <c r="C41" s="380"/>
      <c r="D41" s="380"/>
      <c r="E41" s="363"/>
    </row>
    <row r="42" spans="1:5" s="389" customFormat="1" ht="12" customHeight="1">
      <c r="A42" s="341" t="s">
        <v>127</v>
      </c>
      <c r="B42" s="585" t="s">
        <v>337</v>
      </c>
      <c r="C42" s="380">
        <v>12000</v>
      </c>
      <c r="D42" s="380">
        <v>280670</v>
      </c>
      <c r="E42" s="363">
        <v>280670</v>
      </c>
    </row>
    <row r="43" spans="1:5" s="389" customFormat="1" ht="12" customHeight="1">
      <c r="A43" s="341" t="s">
        <v>338</v>
      </c>
      <c r="B43" s="585" t="s">
        <v>339</v>
      </c>
      <c r="C43" s="383">
        <v>600000</v>
      </c>
      <c r="D43" s="383"/>
      <c r="E43" s="366"/>
    </row>
    <row r="44" spans="1:5" s="389" customFormat="1" ht="12" customHeight="1" thickBot="1">
      <c r="A44" s="343" t="s">
        <v>340</v>
      </c>
      <c r="B44" s="586" t="s">
        <v>341</v>
      </c>
      <c r="C44" s="384">
        <v>47000</v>
      </c>
      <c r="D44" s="384"/>
      <c r="E44" s="367"/>
    </row>
    <row r="45" spans="1:5" s="389" customFormat="1" ht="12" customHeight="1" thickBot="1">
      <c r="A45" s="347" t="s">
        <v>12</v>
      </c>
      <c r="B45" s="583" t="s">
        <v>342</v>
      </c>
      <c r="C45" s="379">
        <f>SUM(C46:C50)</f>
        <v>0</v>
      </c>
      <c r="D45" s="379">
        <f>SUM(D46:D50)</f>
        <v>50000</v>
      </c>
      <c r="E45" s="362">
        <f>SUM(E46:E50)</f>
        <v>50000</v>
      </c>
    </row>
    <row r="46" spans="1:5" s="389" customFormat="1" ht="12" customHeight="1">
      <c r="A46" s="342" t="s">
        <v>65</v>
      </c>
      <c r="B46" s="584" t="s">
        <v>343</v>
      </c>
      <c r="C46" s="400"/>
      <c r="D46" s="400"/>
      <c r="E46" s="368"/>
    </row>
    <row r="47" spans="1:5" s="389" customFormat="1" ht="12" customHeight="1">
      <c r="A47" s="341" t="s">
        <v>66</v>
      </c>
      <c r="B47" s="585" t="s">
        <v>344</v>
      </c>
      <c r="C47" s="383"/>
      <c r="D47" s="383"/>
      <c r="E47" s="366"/>
    </row>
    <row r="48" spans="1:5" s="389" customFormat="1" ht="12" customHeight="1">
      <c r="A48" s="341" t="s">
        <v>345</v>
      </c>
      <c r="B48" s="585" t="s">
        <v>346</v>
      </c>
      <c r="C48" s="383"/>
      <c r="D48" s="383">
        <v>50000</v>
      </c>
      <c r="E48" s="366">
        <v>50000</v>
      </c>
    </row>
    <row r="49" spans="1:5" s="389" customFormat="1" ht="12" customHeight="1">
      <c r="A49" s="341" t="s">
        <v>347</v>
      </c>
      <c r="B49" s="585" t="s">
        <v>348</v>
      </c>
      <c r="C49" s="383"/>
      <c r="D49" s="383"/>
      <c r="E49" s="366"/>
    </row>
    <row r="50" spans="1:5" s="389" customFormat="1" ht="12" customHeight="1" thickBot="1">
      <c r="A50" s="343" t="s">
        <v>349</v>
      </c>
      <c r="B50" s="586" t="s">
        <v>350</v>
      </c>
      <c r="C50" s="384"/>
      <c r="D50" s="384"/>
      <c r="E50" s="367"/>
    </row>
    <row r="51" spans="1:5" s="389" customFormat="1" ht="13.5" thickBot="1">
      <c r="A51" s="347" t="s">
        <v>128</v>
      </c>
      <c r="B51" s="583" t="s">
        <v>351</v>
      </c>
      <c r="C51" s="379">
        <f>SUM(C52:C54)</f>
        <v>109770000</v>
      </c>
      <c r="D51" s="379">
        <f>SUM(D52:D54)</f>
        <v>841006</v>
      </c>
      <c r="E51" s="362">
        <f>SUM(E52:E54)</f>
        <v>841006</v>
      </c>
    </row>
    <row r="52" spans="1:5" s="389" customFormat="1" ht="12.75">
      <c r="A52" s="342" t="s">
        <v>67</v>
      </c>
      <c r="B52" s="584" t="s">
        <v>352</v>
      </c>
      <c r="C52" s="381"/>
      <c r="D52" s="381"/>
      <c r="E52" s="364"/>
    </row>
    <row r="53" spans="1:5" s="389" customFormat="1" ht="14.25" customHeight="1">
      <c r="A53" s="341" t="s">
        <v>68</v>
      </c>
      <c r="B53" s="585" t="s">
        <v>571</v>
      </c>
      <c r="C53" s="380"/>
      <c r="D53" s="380"/>
      <c r="E53" s="363"/>
    </row>
    <row r="54" spans="1:5" s="389" customFormat="1" ht="12.75">
      <c r="A54" s="341" t="s">
        <v>354</v>
      </c>
      <c r="B54" s="585" t="s">
        <v>355</v>
      </c>
      <c r="C54" s="380">
        <v>109770000</v>
      </c>
      <c r="D54" s="411">
        <v>841006</v>
      </c>
      <c r="E54" s="411">
        <v>841006</v>
      </c>
    </row>
    <row r="55" spans="1:5" s="389" customFormat="1" ht="13.5" thickBot="1">
      <c r="A55" s="343" t="s">
        <v>356</v>
      </c>
      <c r="B55" s="586" t="s">
        <v>357</v>
      </c>
      <c r="C55" s="382"/>
      <c r="D55" s="382"/>
      <c r="E55" s="365"/>
    </row>
    <row r="56" spans="1:5" s="389" customFormat="1" ht="13.5" thickBot="1">
      <c r="A56" s="347" t="s">
        <v>14</v>
      </c>
      <c r="B56" s="587" t="s">
        <v>358</v>
      </c>
      <c r="C56" s="379">
        <f>SUM(C57:C59)</f>
        <v>4389000</v>
      </c>
      <c r="D56" s="379">
        <f>SUM(D57:D59)</f>
        <v>0</v>
      </c>
      <c r="E56" s="362">
        <f>SUM(E57:E59)</f>
        <v>0</v>
      </c>
    </row>
    <row r="57" spans="1:5" s="389" customFormat="1" ht="12.75">
      <c r="A57" s="341" t="s">
        <v>129</v>
      </c>
      <c r="B57" s="584" t="s">
        <v>359</v>
      </c>
      <c r="C57" s="383"/>
      <c r="D57" s="383"/>
      <c r="E57" s="366"/>
    </row>
    <row r="58" spans="1:5" s="389" customFormat="1" ht="12.75" customHeight="1">
      <c r="A58" s="341" t="s">
        <v>130</v>
      </c>
      <c r="B58" s="585" t="s">
        <v>572</v>
      </c>
      <c r="C58" s="383"/>
      <c r="D58" s="383"/>
      <c r="E58" s="366"/>
    </row>
    <row r="59" spans="1:5" s="389" customFormat="1" ht="12.75">
      <c r="A59" s="341" t="s">
        <v>154</v>
      </c>
      <c r="B59" s="585" t="s">
        <v>361</v>
      </c>
      <c r="C59" s="383">
        <v>4389000</v>
      </c>
      <c r="D59" s="383"/>
      <c r="E59" s="366"/>
    </row>
    <row r="60" spans="1:5" s="389" customFormat="1" ht="13.5" thickBot="1">
      <c r="A60" s="341" t="s">
        <v>362</v>
      </c>
      <c r="B60" s="586" t="s">
        <v>363</v>
      </c>
      <c r="C60" s="383"/>
      <c r="D60" s="383"/>
      <c r="E60" s="366"/>
    </row>
    <row r="61" spans="1:5" s="389" customFormat="1" ht="13.5" thickBot="1">
      <c r="A61" s="347" t="s">
        <v>15</v>
      </c>
      <c r="B61" s="583" t="s">
        <v>364</v>
      </c>
      <c r="C61" s="385">
        <f>+C6+C13+C20+C27+C34+C45+C51+C56</f>
        <v>750088000</v>
      </c>
      <c r="D61" s="385">
        <f>+D6+D13+D20+D27+D34+D45+D51+D56</f>
        <v>594288682</v>
      </c>
      <c r="E61" s="398">
        <f>+E6+E13+E20+E27+E34+E45+E51+E56</f>
        <v>536940225</v>
      </c>
    </row>
    <row r="62" spans="1:5" s="389" customFormat="1" ht="13.5" thickBot="1">
      <c r="A62" s="401" t="s">
        <v>365</v>
      </c>
      <c r="B62" s="587" t="s">
        <v>686</v>
      </c>
      <c r="C62" s="379">
        <f>SUM(C63:C65)</f>
        <v>0</v>
      </c>
      <c r="D62" s="379">
        <f>SUM(D63:D65)</f>
        <v>0</v>
      </c>
      <c r="E62" s="362">
        <f>SUM(E63:E65)</f>
        <v>0</v>
      </c>
    </row>
    <row r="63" spans="1:5" s="389" customFormat="1" ht="12.75">
      <c r="A63" s="341" t="s">
        <v>367</v>
      </c>
      <c r="B63" s="584" t="s">
        <v>368</v>
      </c>
      <c r="C63" s="383"/>
      <c r="D63" s="383"/>
      <c r="E63" s="366"/>
    </row>
    <row r="64" spans="1:5" s="389" customFormat="1" ht="12.75">
      <c r="A64" s="341" t="s">
        <v>369</v>
      </c>
      <c r="B64" s="585" t="s">
        <v>370</v>
      </c>
      <c r="C64" s="383"/>
      <c r="D64" s="383"/>
      <c r="E64" s="366"/>
    </row>
    <row r="65" spans="1:5" s="389" customFormat="1" ht="13.5" thickBot="1">
      <c r="A65" s="341" t="s">
        <v>371</v>
      </c>
      <c r="B65" s="327" t="s">
        <v>416</v>
      </c>
      <c r="C65" s="383"/>
      <c r="D65" s="383"/>
      <c r="E65" s="366"/>
    </row>
    <row r="66" spans="1:5" s="389" customFormat="1" ht="13.5" thickBot="1">
      <c r="A66" s="401" t="s">
        <v>373</v>
      </c>
      <c r="B66" s="587" t="s">
        <v>374</v>
      </c>
      <c r="C66" s="379">
        <f>SUM(C67:C70)</f>
        <v>0</v>
      </c>
      <c r="D66" s="379">
        <f>SUM(D67:D70)</f>
        <v>0</v>
      </c>
      <c r="E66" s="362">
        <f>SUM(E67:E70)</f>
        <v>0</v>
      </c>
    </row>
    <row r="67" spans="1:5" s="389" customFormat="1" ht="12.75">
      <c r="A67" s="341" t="s">
        <v>106</v>
      </c>
      <c r="B67" s="584" t="s">
        <v>375</v>
      </c>
      <c r="C67" s="383"/>
      <c r="D67" s="383"/>
      <c r="E67" s="366"/>
    </row>
    <row r="68" spans="1:5" s="389" customFormat="1" ht="12.75">
      <c r="A68" s="341" t="s">
        <v>107</v>
      </c>
      <c r="B68" s="585" t="s">
        <v>376</v>
      </c>
      <c r="C68" s="383"/>
      <c r="D68" s="383"/>
      <c r="E68" s="366"/>
    </row>
    <row r="69" spans="1:5" s="389" customFormat="1" ht="12" customHeight="1">
      <c r="A69" s="341" t="s">
        <v>377</v>
      </c>
      <c r="B69" s="585" t="s">
        <v>378</v>
      </c>
      <c r="C69" s="383"/>
      <c r="D69" s="383"/>
      <c r="E69" s="366"/>
    </row>
    <row r="70" spans="1:5" s="389" customFormat="1" ht="12" customHeight="1" thickBot="1">
      <c r="A70" s="341" t="s">
        <v>379</v>
      </c>
      <c r="B70" s="586" t="s">
        <v>380</v>
      </c>
      <c r="C70" s="383"/>
      <c r="D70" s="383"/>
      <c r="E70" s="366"/>
    </row>
    <row r="71" spans="1:5" s="389" customFormat="1" ht="12" customHeight="1" thickBot="1">
      <c r="A71" s="401" t="s">
        <v>381</v>
      </c>
      <c r="B71" s="587" t="s">
        <v>382</v>
      </c>
      <c r="C71" s="379">
        <f>SUM(C72:C73)</f>
        <v>14281000</v>
      </c>
      <c r="D71" s="379">
        <f>SUM(D72:D73)</f>
        <v>30368659</v>
      </c>
      <c r="E71" s="362">
        <f>SUM(E72:E73)</f>
        <v>30368659</v>
      </c>
    </row>
    <row r="72" spans="1:5" s="389" customFormat="1" ht="12" customHeight="1">
      <c r="A72" s="341" t="s">
        <v>383</v>
      </c>
      <c r="B72" s="584" t="s">
        <v>384</v>
      </c>
      <c r="C72" s="383">
        <v>14281000</v>
      </c>
      <c r="D72" s="408">
        <v>30368659</v>
      </c>
      <c r="E72" s="408">
        <v>30368659</v>
      </c>
    </row>
    <row r="73" spans="1:5" s="389" customFormat="1" ht="12" customHeight="1" thickBot="1">
      <c r="A73" s="341" t="s">
        <v>385</v>
      </c>
      <c r="B73" s="586" t="s">
        <v>386</v>
      </c>
      <c r="C73" s="383"/>
      <c r="D73" s="383"/>
      <c r="E73" s="366"/>
    </row>
    <row r="74" spans="1:5" s="389" customFormat="1" ht="12" customHeight="1" thickBot="1">
      <c r="A74" s="401" t="s">
        <v>387</v>
      </c>
      <c r="B74" s="587" t="s">
        <v>388</v>
      </c>
      <c r="C74" s="379">
        <f>SUM(C75:C77)</f>
        <v>7307000</v>
      </c>
      <c r="D74" s="379">
        <f>SUM(D75:D77)</f>
        <v>47607903</v>
      </c>
      <c r="E74" s="362">
        <f>SUM(E75:E77)</f>
        <v>47607903</v>
      </c>
    </row>
    <row r="75" spans="1:5" s="389" customFormat="1" ht="12" customHeight="1">
      <c r="A75" s="341" t="s">
        <v>389</v>
      </c>
      <c r="B75" s="584" t="s">
        <v>390</v>
      </c>
      <c r="C75" s="383">
        <v>7307000</v>
      </c>
      <c r="D75" s="383">
        <v>7607903</v>
      </c>
      <c r="E75" s="366">
        <v>7607903</v>
      </c>
    </row>
    <row r="76" spans="1:5" s="389" customFormat="1" ht="12" customHeight="1">
      <c r="A76" s="341" t="s">
        <v>391</v>
      </c>
      <c r="B76" s="585" t="s">
        <v>392</v>
      </c>
      <c r="C76" s="383"/>
      <c r="D76" s="383"/>
      <c r="E76" s="366"/>
    </row>
    <row r="77" spans="1:5" s="389" customFormat="1" ht="12" customHeight="1" thickBot="1">
      <c r="A77" s="341" t="s">
        <v>393</v>
      </c>
      <c r="B77" s="586" t="s">
        <v>394</v>
      </c>
      <c r="C77" s="383"/>
      <c r="D77" s="383">
        <v>40000000</v>
      </c>
      <c r="E77" s="366">
        <v>40000000</v>
      </c>
    </row>
    <row r="78" spans="1:5" s="389" customFormat="1" ht="12" customHeight="1" thickBot="1">
      <c r="A78" s="401" t="s">
        <v>395</v>
      </c>
      <c r="B78" s="587" t="s">
        <v>396</v>
      </c>
      <c r="C78" s="379">
        <f>SUM(C79:C82)</f>
        <v>0</v>
      </c>
      <c r="D78" s="379">
        <f>SUM(D79:D82)</f>
        <v>0</v>
      </c>
      <c r="E78" s="362">
        <f>SUM(E79:E82)</f>
        <v>0</v>
      </c>
    </row>
    <row r="79" spans="1:5" s="389" customFormat="1" ht="12" customHeight="1">
      <c r="A79" s="571" t="s">
        <v>397</v>
      </c>
      <c r="B79" s="584" t="s">
        <v>398</v>
      </c>
      <c r="C79" s="383"/>
      <c r="D79" s="383"/>
      <c r="E79" s="366"/>
    </row>
    <row r="80" spans="1:5" s="389" customFormat="1" ht="12" customHeight="1">
      <c r="A80" s="572" t="s">
        <v>399</v>
      </c>
      <c r="B80" s="585" t="s">
        <v>400</v>
      </c>
      <c r="C80" s="383"/>
      <c r="D80" s="383"/>
      <c r="E80" s="366"/>
    </row>
    <row r="81" spans="1:5" s="389" customFormat="1" ht="12" customHeight="1">
      <c r="A81" s="572" t="s">
        <v>401</v>
      </c>
      <c r="B81" s="585" t="s">
        <v>402</v>
      </c>
      <c r="C81" s="383"/>
      <c r="D81" s="383"/>
      <c r="E81" s="366"/>
    </row>
    <row r="82" spans="1:5" s="389" customFormat="1" ht="12" customHeight="1" thickBot="1">
      <c r="A82" s="402" t="s">
        <v>403</v>
      </c>
      <c r="B82" s="586" t="s">
        <v>404</v>
      </c>
      <c r="C82" s="383"/>
      <c r="D82" s="383"/>
      <c r="E82" s="366"/>
    </row>
    <row r="83" spans="1:5" s="389" customFormat="1" ht="12" customHeight="1" thickBot="1">
      <c r="A83" s="401" t="s">
        <v>405</v>
      </c>
      <c r="B83" s="587" t="s">
        <v>406</v>
      </c>
      <c r="C83" s="404"/>
      <c r="D83" s="404"/>
      <c r="E83" s="405"/>
    </row>
    <row r="84" spans="1:5" s="389" customFormat="1" ht="13.5" customHeight="1" thickBot="1">
      <c r="A84" s="401" t="s">
        <v>407</v>
      </c>
      <c r="B84" s="325" t="s">
        <v>408</v>
      </c>
      <c r="C84" s="385">
        <f>+C62+C66+C71+C74+C78+C83</f>
        <v>21588000</v>
      </c>
      <c r="D84" s="385">
        <f>+D62+D66+D71+D74+D78+D83</f>
        <v>77976562</v>
      </c>
      <c r="E84" s="398">
        <f>+E62+E66+E71+E74+E78+E83</f>
        <v>77976562</v>
      </c>
    </row>
    <row r="85" spans="1:5" s="389" customFormat="1" ht="12" customHeight="1" thickBot="1">
      <c r="A85" s="403" t="s">
        <v>409</v>
      </c>
      <c r="B85" s="328" t="s">
        <v>410</v>
      </c>
      <c r="C85" s="385">
        <f>+C61+C84</f>
        <v>771676000</v>
      </c>
      <c r="D85" s="385">
        <f>+D61+D84</f>
        <v>672265244</v>
      </c>
      <c r="E85" s="398">
        <f>+E61+E84</f>
        <v>614916787</v>
      </c>
    </row>
    <row r="86" spans="1:5" ht="16.5" customHeight="1">
      <c r="A86" s="704" t="s">
        <v>36</v>
      </c>
      <c r="B86" s="704"/>
      <c r="C86" s="704"/>
      <c r="D86" s="704"/>
      <c r="E86" s="704"/>
    </row>
    <row r="87" spans="1:5" s="395" customFormat="1" ht="16.5" customHeight="1" thickBot="1">
      <c r="A87" s="47" t="s">
        <v>110</v>
      </c>
      <c r="B87" s="47"/>
      <c r="C87" s="47"/>
      <c r="D87" s="356"/>
      <c r="E87" s="356" t="str">
        <f>E2</f>
        <v>Forintban!</v>
      </c>
    </row>
    <row r="88" spans="1:5" s="395" customFormat="1" ht="16.5" customHeight="1">
      <c r="A88" s="705" t="s">
        <v>57</v>
      </c>
      <c r="B88" s="707" t="s">
        <v>172</v>
      </c>
      <c r="C88" s="763" t="str">
        <f>+C3</f>
        <v>2015. évi tény</v>
      </c>
      <c r="D88" s="709" t="str">
        <f>+D3</f>
        <v>2016. évi</v>
      </c>
      <c r="E88" s="710"/>
    </row>
    <row r="89" spans="1:5" ht="37.5" customHeight="1" thickBot="1">
      <c r="A89" s="706"/>
      <c r="B89" s="708"/>
      <c r="C89" s="764"/>
      <c r="D89" s="48" t="s">
        <v>178</v>
      </c>
      <c r="E89" s="49" t="s">
        <v>179</v>
      </c>
    </row>
    <row r="90" spans="1:5" s="388" customFormat="1" ht="12" customHeight="1" thickBot="1">
      <c r="A90" s="352" t="s">
        <v>411</v>
      </c>
      <c r="B90" s="353" t="s">
        <v>412</v>
      </c>
      <c r="C90" s="353" t="s">
        <v>413</v>
      </c>
      <c r="D90" s="353" t="s">
        <v>415</v>
      </c>
      <c r="E90" s="399" t="s">
        <v>492</v>
      </c>
    </row>
    <row r="91" spans="1:5" ht="12" customHeight="1" thickBot="1">
      <c r="A91" s="347" t="s">
        <v>7</v>
      </c>
      <c r="B91" s="350" t="s">
        <v>573</v>
      </c>
      <c r="C91" s="379">
        <f>SUM(C92:C96)</f>
        <v>487795000</v>
      </c>
      <c r="D91" s="379">
        <f>+D92+D93+D94+D95+D96</f>
        <v>401309661</v>
      </c>
      <c r="E91" s="362">
        <f>+E92+E93+E94+E95+E96</f>
        <v>374527551</v>
      </c>
    </row>
    <row r="92" spans="1:5" ht="12" customHeight="1">
      <c r="A92" s="342" t="s">
        <v>69</v>
      </c>
      <c r="B92" s="594" t="s">
        <v>37</v>
      </c>
      <c r="C92" s="381">
        <v>171147000</v>
      </c>
      <c r="D92" s="410">
        <f>113141384+1599500+27222510+38819716</f>
        <v>180783110</v>
      </c>
      <c r="E92" s="416">
        <f>113141384+27222510+1599500+38819716</f>
        <v>180783110</v>
      </c>
    </row>
    <row r="93" spans="1:5" ht="12" customHeight="1">
      <c r="A93" s="341" t="s">
        <v>70</v>
      </c>
      <c r="B93" s="588" t="s">
        <v>131</v>
      </c>
      <c r="C93" s="380">
        <v>36753000</v>
      </c>
      <c r="D93" s="411">
        <f>10589801+6998515+442463+20868207</f>
        <v>38898986</v>
      </c>
      <c r="E93" s="417">
        <f>10589801+442463+6998515+20868207</f>
        <v>38898986</v>
      </c>
    </row>
    <row r="94" spans="1:5" ht="12" customHeight="1">
      <c r="A94" s="341" t="s">
        <v>71</v>
      </c>
      <c r="B94" s="588" t="s">
        <v>98</v>
      </c>
      <c r="C94" s="382">
        <v>133109000</v>
      </c>
      <c r="D94" s="411">
        <f>117250924+1585838+6764937+5712436+16248645</f>
        <v>147562780</v>
      </c>
      <c r="E94" s="417">
        <f>108414328+6213904+1585838+5586600</f>
        <v>121800670</v>
      </c>
    </row>
    <row r="95" spans="1:5" ht="12" customHeight="1">
      <c r="A95" s="341" t="s">
        <v>72</v>
      </c>
      <c r="B95" s="589" t="s">
        <v>132</v>
      </c>
      <c r="C95" s="382">
        <v>12608000</v>
      </c>
      <c r="D95" s="411">
        <v>7007232</v>
      </c>
      <c r="E95" s="417">
        <v>7007232</v>
      </c>
    </row>
    <row r="96" spans="1:5" ht="12" customHeight="1">
      <c r="A96" s="341" t="s">
        <v>81</v>
      </c>
      <c r="B96" s="590" t="s">
        <v>133</v>
      </c>
      <c r="C96" s="382">
        <v>134178000</v>
      </c>
      <c r="D96" s="411">
        <f>5333477+21723451+625</f>
        <v>27057553</v>
      </c>
      <c r="E96" s="417">
        <v>26037553</v>
      </c>
    </row>
    <row r="97" spans="1:5" ht="12" customHeight="1">
      <c r="A97" s="341" t="s">
        <v>73</v>
      </c>
      <c r="B97" s="588" t="s">
        <v>418</v>
      </c>
      <c r="C97" s="382"/>
      <c r="D97" s="382"/>
      <c r="E97" s="365"/>
    </row>
    <row r="98" spans="1:5" ht="12" customHeight="1">
      <c r="A98" s="341" t="s">
        <v>74</v>
      </c>
      <c r="B98" s="591" t="s">
        <v>419</v>
      </c>
      <c r="C98" s="382"/>
      <c r="D98" s="382"/>
      <c r="E98" s="365"/>
    </row>
    <row r="99" spans="1:5" ht="12" customHeight="1">
      <c r="A99" s="341" t="s">
        <v>82</v>
      </c>
      <c r="B99" s="588" t="s">
        <v>420</v>
      </c>
      <c r="C99" s="382"/>
      <c r="D99" s="382"/>
      <c r="E99" s="365"/>
    </row>
    <row r="100" spans="1:5" ht="12" customHeight="1">
      <c r="A100" s="341" t="s">
        <v>83</v>
      </c>
      <c r="B100" s="588" t="s">
        <v>421</v>
      </c>
      <c r="C100" s="382"/>
      <c r="D100" s="382"/>
      <c r="E100" s="365"/>
    </row>
    <row r="101" spans="1:5" ht="12" customHeight="1">
      <c r="A101" s="341" t="s">
        <v>84</v>
      </c>
      <c r="B101" s="591" t="s">
        <v>422</v>
      </c>
      <c r="C101" s="382"/>
      <c r="D101" s="382"/>
      <c r="E101" s="365"/>
    </row>
    <row r="102" spans="1:5" ht="12" customHeight="1">
      <c r="A102" s="341" t="s">
        <v>85</v>
      </c>
      <c r="B102" s="591" t="s">
        <v>423</v>
      </c>
      <c r="C102" s="382"/>
      <c r="D102" s="382"/>
      <c r="E102" s="365"/>
    </row>
    <row r="103" spans="1:5" ht="12" customHeight="1">
      <c r="A103" s="341" t="s">
        <v>87</v>
      </c>
      <c r="B103" s="588" t="s">
        <v>424</v>
      </c>
      <c r="C103" s="382"/>
      <c r="D103" s="382"/>
      <c r="E103" s="365"/>
    </row>
    <row r="104" spans="1:5" ht="12" customHeight="1">
      <c r="A104" s="340" t="s">
        <v>134</v>
      </c>
      <c r="B104" s="592" t="s">
        <v>425</v>
      </c>
      <c r="C104" s="382"/>
      <c r="D104" s="382"/>
      <c r="E104" s="365"/>
    </row>
    <row r="105" spans="1:5" ht="12" customHeight="1">
      <c r="A105" s="341" t="s">
        <v>426</v>
      </c>
      <c r="B105" s="592" t="s">
        <v>427</v>
      </c>
      <c r="C105" s="382"/>
      <c r="D105" s="382"/>
      <c r="E105" s="365"/>
    </row>
    <row r="106" spans="1:5" ht="12" customHeight="1" thickBot="1">
      <c r="A106" s="345" t="s">
        <v>428</v>
      </c>
      <c r="B106" s="593" t="s">
        <v>429</v>
      </c>
      <c r="C106" s="79"/>
      <c r="D106" s="79"/>
      <c r="E106" s="326"/>
    </row>
    <row r="107" spans="1:5" ht="12" customHeight="1" thickBot="1">
      <c r="A107" s="347" t="s">
        <v>8</v>
      </c>
      <c r="B107" s="350" t="s">
        <v>574</v>
      </c>
      <c r="C107" s="379">
        <f>+C108+C110+C112</f>
        <v>167239000</v>
      </c>
      <c r="D107" s="379">
        <f>+D108+D110+D112</f>
        <v>76740108</v>
      </c>
      <c r="E107" s="362">
        <f>+E108+E110+E112</f>
        <v>64058466</v>
      </c>
    </row>
    <row r="108" spans="1:5" ht="12" customHeight="1">
      <c r="A108" s="342" t="s">
        <v>75</v>
      </c>
      <c r="B108" s="588" t="s">
        <v>153</v>
      </c>
      <c r="C108" s="381">
        <v>8245000</v>
      </c>
      <c r="D108" s="410">
        <v>66492853</v>
      </c>
      <c r="E108" s="416">
        <v>55983508</v>
      </c>
    </row>
    <row r="109" spans="1:5" ht="12" customHeight="1">
      <c r="A109" s="342" t="s">
        <v>76</v>
      </c>
      <c r="B109" s="592" t="s">
        <v>431</v>
      </c>
      <c r="C109" s="381"/>
      <c r="D109" s="411"/>
      <c r="E109" s="417"/>
    </row>
    <row r="110" spans="1:5" ht="15.75">
      <c r="A110" s="342" t="s">
        <v>77</v>
      </c>
      <c r="B110" s="592" t="s">
        <v>135</v>
      </c>
      <c r="C110" s="380">
        <v>158994000</v>
      </c>
      <c r="D110" s="411">
        <v>10247255</v>
      </c>
      <c r="E110" s="417">
        <v>8074958</v>
      </c>
    </row>
    <row r="111" spans="1:5" ht="12" customHeight="1">
      <c r="A111" s="342" t="s">
        <v>78</v>
      </c>
      <c r="B111" s="592" t="s">
        <v>432</v>
      </c>
      <c r="C111" s="380"/>
      <c r="D111" s="380"/>
      <c r="E111" s="363"/>
    </row>
    <row r="112" spans="1:5" ht="12" customHeight="1">
      <c r="A112" s="342" t="s">
        <v>79</v>
      </c>
      <c r="B112" s="586" t="s">
        <v>155</v>
      </c>
      <c r="C112" s="380"/>
      <c r="D112" s="380"/>
      <c r="E112" s="363"/>
    </row>
    <row r="113" spans="1:5" ht="15.75">
      <c r="A113" s="342" t="s">
        <v>86</v>
      </c>
      <c r="B113" s="585" t="s">
        <v>433</v>
      </c>
      <c r="C113" s="380"/>
      <c r="D113" s="380"/>
      <c r="E113" s="363"/>
    </row>
    <row r="114" spans="1:5" ht="15.75">
      <c r="A114" s="342" t="s">
        <v>88</v>
      </c>
      <c r="B114" s="594" t="s">
        <v>434</v>
      </c>
      <c r="C114" s="380"/>
      <c r="D114" s="380"/>
      <c r="E114" s="363"/>
    </row>
    <row r="115" spans="1:5" ht="12" customHeight="1">
      <c r="A115" s="342" t="s">
        <v>136</v>
      </c>
      <c r="B115" s="588" t="s">
        <v>421</v>
      </c>
      <c r="C115" s="380"/>
      <c r="D115" s="380"/>
      <c r="E115" s="363"/>
    </row>
    <row r="116" spans="1:5" ht="12" customHeight="1">
      <c r="A116" s="342" t="s">
        <v>137</v>
      </c>
      <c r="B116" s="588" t="s">
        <v>435</v>
      </c>
      <c r="C116" s="380"/>
      <c r="D116" s="380"/>
      <c r="E116" s="363"/>
    </row>
    <row r="117" spans="1:5" ht="12" customHeight="1">
      <c r="A117" s="342" t="s">
        <v>138</v>
      </c>
      <c r="B117" s="588" t="s">
        <v>436</v>
      </c>
      <c r="C117" s="380"/>
      <c r="D117" s="380"/>
      <c r="E117" s="363"/>
    </row>
    <row r="118" spans="1:5" s="406" customFormat="1" ht="12" customHeight="1">
      <c r="A118" s="342" t="s">
        <v>437</v>
      </c>
      <c r="B118" s="588" t="s">
        <v>424</v>
      </c>
      <c r="C118" s="380"/>
      <c r="D118" s="380"/>
      <c r="E118" s="363"/>
    </row>
    <row r="119" spans="1:5" ht="12" customHeight="1">
      <c r="A119" s="342" t="s">
        <v>438</v>
      </c>
      <c r="B119" s="588" t="s">
        <v>439</v>
      </c>
      <c r="C119" s="380"/>
      <c r="D119" s="380"/>
      <c r="E119" s="363"/>
    </row>
    <row r="120" spans="1:5" ht="12" customHeight="1" thickBot="1">
      <c r="A120" s="340" t="s">
        <v>440</v>
      </c>
      <c r="B120" s="588" t="s">
        <v>441</v>
      </c>
      <c r="C120" s="382"/>
      <c r="D120" s="382"/>
      <c r="E120" s="365"/>
    </row>
    <row r="121" spans="1:5" ht="12" customHeight="1" thickBot="1">
      <c r="A121" s="347" t="s">
        <v>9</v>
      </c>
      <c r="B121" s="565" t="s">
        <v>442</v>
      </c>
      <c r="C121" s="379">
        <f>+C122+C123</f>
        <v>0</v>
      </c>
      <c r="D121" s="379">
        <f>+D122+D123</f>
        <v>54918000</v>
      </c>
      <c r="E121" s="362">
        <f>+E122+E123</f>
        <v>0</v>
      </c>
    </row>
    <row r="122" spans="1:5" ht="12" customHeight="1">
      <c r="A122" s="342" t="s">
        <v>58</v>
      </c>
      <c r="B122" s="594" t="s">
        <v>45</v>
      </c>
      <c r="C122" s="381"/>
      <c r="D122" s="381">
        <v>54918000</v>
      </c>
      <c r="E122" s="364"/>
    </row>
    <row r="123" spans="1:5" ht="12" customHeight="1" thickBot="1">
      <c r="A123" s="343" t="s">
        <v>59</v>
      </c>
      <c r="B123" s="592" t="s">
        <v>46</v>
      </c>
      <c r="C123" s="382"/>
      <c r="D123" s="382"/>
      <c r="E123" s="365"/>
    </row>
    <row r="124" spans="1:5" ht="12" customHeight="1" thickBot="1">
      <c r="A124" s="347" t="s">
        <v>10</v>
      </c>
      <c r="B124" s="565" t="s">
        <v>443</v>
      </c>
      <c r="C124" s="379">
        <f>+C91+C107+C121</f>
        <v>655034000</v>
      </c>
      <c r="D124" s="379">
        <f>+D91+D107+D121</f>
        <v>532967769</v>
      </c>
      <c r="E124" s="362">
        <f>+E91+E107+E121</f>
        <v>438586017</v>
      </c>
    </row>
    <row r="125" spans="1:5" ht="12" customHeight="1" thickBot="1">
      <c r="A125" s="347" t="s">
        <v>11</v>
      </c>
      <c r="B125" s="565" t="s">
        <v>444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342" t="s">
        <v>62</v>
      </c>
      <c r="B126" s="594" t="s">
        <v>575</v>
      </c>
      <c r="C126" s="380"/>
      <c r="D126" s="380"/>
      <c r="E126" s="363"/>
    </row>
    <row r="127" spans="1:5" ht="12" customHeight="1">
      <c r="A127" s="342" t="s">
        <v>63</v>
      </c>
      <c r="B127" s="594" t="s">
        <v>576</v>
      </c>
      <c r="C127" s="380"/>
      <c r="D127" s="380"/>
      <c r="E127" s="363"/>
    </row>
    <row r="128" spans="1:5" ht="12" customHeight="1" thickBot="1">
      <c r="A128" s="340" t="s">
        <v>64</v>
      </c>
      <c r="B128" s="595" t="s">
        <v>577</v>
      </c>
      <c r="C128" s="380"/>
      <c r="D128" s="380"/>
      <c r="E128" s="363"/>
    </row>
    <row r="129" spans="1:5" ht="12" customHeight="1" thickBot="1">
      <c r="A129" s="347" t="s">
        <v>12</v>
      </c>
      <c r="B129" s="565" t="s">
        <v>448</v>
      </c>
      <c r="C129" s="379">
        <f>+C130+C131+C132+C133</f>
        <v>40000000</v>
      </c>
      <c r="D129" s="379">
        <f>+D130+D131+D132+D133</f>
        <v>131990000</v>
      </c>
      <c r="E129" s="362">
        <f>+E130+E131+E132+E133</f>
        <v>131990000</v>
      </c>
    </row>
    <row r="130" spans="1:5" ht="12" customHeight="1">
      <c r="A130" s="342" t="s">
        <v>65</v>
      </c>
      <c r="B130" s="594" t="s">
        <v>578</v>
      </c>
      <c r="C130" s="380"/>
      <c r="D130" s="380"/>
      <c r="E130" s="363"/>
    </row>
    <row r="131" spans="1:5" ht="12" customHeight="1">
      <c r="A131" s="342" t="s">
        <v>66</v>
      </c>
      <c r="B131" s="594" t="s">
        <v>579</v>
      </c>
      <c r="C131" s="380"/>
      <c r="D131" s="380"/>
      <c r="E131" s="363"/>
    </row>
    <row r="132" spans="1:5" ht="12" customHeight="1">
      <c r="A132" s="342" t="s">
        <v>345</v>
      </c>
      <c r="B132" s="594" t="s">
        <v>580</v>
      </c>
      <c r="C132" s="380">
        <v>40000000</v>
      </c>
      <c r="D132" s="380">
        <v>131990000</v>
      </c>
      <c r="E132" s="363">
        <v>131990000</v>
      </c>
    </row>
    <row r="133" spans="1:5" ht="12" customHeight="1" thickBot="1">
      <c r="A133" s="340" t="s">
        <v>347</v>
      </c>
      <c r="B133" s="595" t="s">
        <v>581</v>
      </c>
      <c r="C133" s="380"/>
      <c r="D133" s="380"/>
      <c r="E133" s="363"/>
    </row>
    <row r="134" spans="1:5" ht="12" customHeight="1" thickBot="1">
      <c r="A134" s="347" t="s">
        <v>13</v>
      </c>
      <c r="B134" s="565" t="s">
        <v>453</v>
      </c>
      <c r="C134" s="385">
        <f>+C135+C136+C137+C138</f>
        <v>46272000</v>
      </c>
      <c r="D134" s="385">
        <f>+D135+D136+D137+D138</f>
        <v>7307475</v>
      </c>
      <c r="E134" s="398">
        <f>+E135+E136+E137+E138</f>
        <v>7307475</v>
      </c>
    </row>
    <row r="135" spans="1:5" ht="12" customHeight="1">
      <c r="A135" s="342" t="s">
        <v>67</v>
      </c>
      <c r="B135" s="594" t="s">
        <v>454</v>
      </c>
      <c r="C135" s="380"/>
      <c r="D135" s="380"/>
      <c r="E135" s="363"/>
    </row>
    <row r="136" spans="1:5" ht="12" customHeight="1">
      <c r="A136" s="342" t="s">
        <v>68</v>
      </c>
      <c r="B136" s="594" t="s">
        <v>455</v>
      </c>
      <c r="C136" s="380">
        <v>6272000</v>
      </c>
      <c r="D136" s="380">
        <v>7307475</v>
      </c>
      <c r="E136" s="363">
        <v>7307475</v>
      </c>
    </row>
    <row r="137" spans="1:5" ht="12" customHeight="1">
      <c r="A137" s="342" t="s">
        <v>354</v>
      </c>
      <c r="B137" s="594" t="s">
        <v>582</v>
      </c>
      <c r="C137" s="380">
        <v>40000000</v>
      </c>
      <c r="D137" s="380"/>
      <c r="E137" s="363"/>
    </row>
    <row r="138" spans="1:5" ht="12" customHeight="1" thickBot="1">
      <c r="A138" s="340" t="s">
        <v>356</v>
      </c>
      <c r="B138" s="595" t="s">
        <v>499</v>
      </c>
      <c r="C138" s="380"/>
      <c r="D138" s="380"/>
      <c r="E138" s="363"/>
    </row>
    <row r="139" spans="1:9" ht="15" customHeight="1" thickBot="1">
      <c r="A139" s="347" t="s">
        <v>14</v>
      </c>
      <c r="B139" s="565" t="s">
        <v>549</v>
      </c>
      <c r="C139" s="80">
        <f>+C140+C141+C142+C143</f>
        <v>0</v>
      </c>
      <c r="D139" s="80">
        <f>+D140+D141+D142+D143</f>
        <v>0</v>
      </c>
      <c r="E139" s="331">
        <f>+E140+E141+E142+E143</f>
        <v>0</v>
      </c>
      <c r="F139" s="396"/>
      <c r="G139" s="397"/>
      <c r="H139" s="397"/>
      <c r="I139" s="397"/>
    </row>
    <row r="140" spans="1:5" s="389" customFormat="1" ht="12.75" customHeight="1">
      <c r="A140" s="342" t="s">
        <v>129</v>
      </c>
      <c r="B140" s="594" t="s">
        <v>459</v>
      </c>
      <c r="C140" s="380"/>
      <c r="D140" s="380"/>
      <c r="E140" s="363"/>
    </row>
    <row r="141" spans="1:5" ht="13.5" customHeight="1">
      <c r="A141" s="342" t="s">
        <v>130</v>
      </c>
      <c r="B141" s="594" t="s">
        <v>460</v>
      </c>
      <c r="C141" s="380"/>
      <c r="D141" s="380"/>
      <c r="E141" s="363"/>
    </row>
    <row r="142" spans="1:5" ht="13.5" customHeight="1">
      <c r="A142" s="342" t="s">
        <v>154</v>
      </c>
      <c r="B142" s="594" t="s">
        <v>461</v>
      </c>
      <c r="C142" s="380"/>
      <c r="D142" s="380"/>
      <c r="E142" s="363"/>
    </row>
    <row r="143" spans="1:5" ht="13.5" customHeight="1" thickBot="1">
      <c r="A143" s="342" t="s">
        <v>362</v>
      </c>
      <c r="B143" s="594" t="s">
        <v>462</v>
      </c>
      <c r="C143" s="380"/>
      <c r="D143" s="380"/>
      <c r="E143" s="363"/>
    </row>
    <row r="144" spans="1:5" ht="12.75" customHeight="1" thickBot="1">
      <c r="A144" s="347" t="s">
        <v>15</v>
      </c>
      <c r="B144" s="565" t="s">
        <v>463</v>
      </c>
      <c r="C144" s="329">
        <f>+C125+C129+C134+C139</f>
        <v>86272000</v>
      </c>
      <c r="D144" s="329">
        <f>+D125+D129+D134+D139</f>
        <v>139297475</v>
      </c>
      <c r="E144" s="330">
        <f>+E125+E129+E134+E139</f>
        <v>139297475</v>
      </c>
    </row>
    <row r="145" spans="1:5" ht="13.5" customHeight="1" thickBot="1">
      <c r="A145" s="372" t="s">
        <v>16</v>
      </c>
      <c r="B145" s="596" t="s">
        <v>464</v>
      </c>
      <c r="C145" s="329">
        <f>+C124+C144</f>
        <v>741306000</v>
      </c>
      <c r="D145" s="329">
        <f>+D124+D144</f>
        <v>672265244</v>
      </c>
      <c r="E145" s="330">
        <f>+E124+E144</f>
        <v>577883492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Nyírpazony Nagyközség Önkormányzat
2016. ÉVI ZÁRSZÁMADÁSÁNAK PÉNZÜGYI MÉRLEGE&amp;10
&amp;R&amp;"Times New Roman CE,Félkövér dőlt"&amp;11 1. tájékoztató tábla a 7/2017. (IV. 28.) önkormányzati rendelethez</oddHeader>
  </headerFooter>
  <rowBreaks count="1" manualBreakCount="1">
    <brk id="8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37" sqref="E37"/>
    </sheetView>
  </sheetViews>
  <sheetFormatPr defaultColWidth="9.00390625" defaultRowHeight="12.75"/>
  <cols>
    <col min="1" max="1" width="9.50390625" style="376" customWidth="1"/>
    <col min="2" max="2" width="60.875" style="376" customWidth="1"/>
    <col min="3" max="5" width="15.875" style="377" customWidth="1"/>
    <col min="6" max="16384" width="9.375" style="387" customWidth="1"/>
  </cols>
  <sheetData>
    <row r="1" spans="1:5" ht="15.75" customHeight="1">
      <c r="A1" s="704" t="s">
        <v>4</v>
      </c>
      <c r="B1" s="704"/>
      <c r="C1" s="704"/>
      <c r="D1" s="704"/>
      <c r="E1" s="704"/>
    </row>
    <row r="2" spans="1:5" ht="15.75" customHeight="1" thickBot="1">
      <c r="A2" s="46" t="s">
        <v>109</v>
      </c>
      <c r="B2" s="46"/>
      <c r="C2" s="374"/>
      <c r="D2" s="374"/>
      <c r="E2" s="374" t="str">
        <f>'1.1.sz.mell.'!E2</f>
        <v>Forintban!</v>
      </c>
    </row>
    <row r="3" spans="1:5" ht="15.75" customHeight="1">
      <c r="A3" s="705" t="s">
        <v>57</v>
      </c>
      <c r="B3" s="707" t="s">
        <v>6</v>
      </c>
      <c r="C3" s="709" t="str">
        <f>+'1.1.sz.mell.'!C3:E3</f>
        <v>2016. évi</v>
      </c>
      <c r="D3" s="709"/>
      <c r="E3" s="710"/>
    </row>
    <row r="4" spans="1:5" ht="37.5" customHeight="1" thickBot="1">
      <c r="A4" s="706"/>
      <c r="B4" s="708"/>
      <c r="C4" s="48" t="s">
        <v>173</v>
      </c>
      <c r="D4" s="48" t="s">
        <v>178</v>
      </c>
      <c r="E4" s="49" t="s">
        <v>179</v>
      </c>
    </row>
    <row r="5" spans="1:5" s="388" customFormat="1" ht="12" customHeight="1" thickBot="1">
      <c r="A5" s="352" t="s">
        <v>411</v>
      </c>
      <c r="B5" s="353" t="s">
        <v>412</v>
      </c>
      <c r="C5" s="353" t="s">
        <v>413</v>
      </c>
      <c r="D5" s="353" t="s">
        <v>414</v>
      </c>
      <c r="E5" s="399" t="s">
        <v>415</v>
      </c>
    </row>
    <row r="6" spans="1:5" s="389" customFormat="1" ht="12" customHeight="1" thickBot="1">
      <c r="A6" s="347" t="s">
        <v>7</v>
      </c>
      <c r="B6" s="348" t="s">
        <v>303</v>
      </c>
      <c r="C6" s="379">
        <f>SUM(C7:C12)</f>
        <v>189781103</v>
      </c>
      <c r="D6" s="379">
        <f>SUM(D7:D12)</f>
        <v>193550049</v>
      </c>
      <c r="E6" s="362">
        <f>SUM(E7:E12)</f>
        <v>193550049</v>
      </c>
    </row>
    <row r="7" spans="1:5" s="389" customFormat="1" ht="12" customHeight="1">
      <c r="A7" s="342" t="s">
        <v>69</v>
      </c>
      <c r="B7" s="390" t="s">
        <v>304</v>
      </c>
      <c r="C7" s="381">
        <v>89398134</v>
      </c>
      <c r="D7" s="381">
        <v>89398134</v>
      </c>
      <c r="E7" s="364">
        <v>89398134</v>
      </c>
    </row>
    <row r="8" spans="1:5" s="389" customFormat="1" ht="12" customHeight="1">
      <c r="A8" s="341" t="s">
        <v>70</v>
      </c>
      <c r="B8" s="391" t="s">
        <v>305</v>
      </c>
      <c r="C8" s="380">
        <v>52473700</v>
      </c>
      <c r="D8" s="380">
        <v>52393701</v>
      </c>
      <c r="E8" s="363">
        <v>52393701</v>
      </c>
    </row>
    <row r="9" spans="1:5" s="389" customFormat="1" ht="12" customHeight="1">
      <c r="A9" s="341" t="s">
        <v>71</v>
      </c>
      <c r="B9" s="391" t="s">
        <v>306</v>
      </c>
      <c r="C9" s="380">
        <f>54102009-10250000</f>
        <v>43852009</v>
      </c>
      <c r="D9" s="380">
        <f>55120596-10250000</f>
        <v>44870596</v>
      </c>
      <c r="E9" s="363">
        <f>55120596-10250000</f>
        <v>44870596</v>
      </c>
    </row>
    <row r="10" spans="1:5" s="389" customFormat="1" ht="12" customHeight="1">
      <c r="A10" s="341" t="s">
        <v>72</v>
      </c>
      <c r="B10" s="391" t="s">
        <v>307</v>
      </c>
      <c r="C10" s="380">
        <v>4057260</v>
      </c>
      <c r="D10" s="380">
        <v>4057260</v>
      </c>
      <c r="E10" s="363">
        <v>4057260</v>
      </c>
    </row>
    <row r="11" spans="1:5" s="389" customFormat="1" ht="12" customHeight="1">
      <c r="A11" s="341" t="s">
        <v>105</v>
      </c>
      <c r="B11" s="391" t="s">
        <v>308</v>
      </c>
      <c r="C11" s="380"/>
      <c r="D11" s="380">
        <v>2645791</v>
      </c>
      <c r="E11" s="363">
        <v>2645791</v>
      </c>
    </row>
    <row r="12" spans="1:5" s="389" customFormat="1" ht="12" customHeight="1" thickBot="1">
      <c r="A12" s="343" t="s">
        <v>73</v>
      </c>
      <c r="B12" s="392" t="s">
        <v>309</v>
      </c>
      <c r="C12" s="382"/>
      <c r="D12" s="382">
        <v>184567</v>
      </c>
      <c r="E12" s="365">
        <v>184567</v>
      </c>
    </row>
    <row r="13" spans="1:5" s="389" customFormat="1" ht="12" customHeight="1" thickBot="1">
      <c r="A13" s="347" t="s">
        <v>8</v>
      </c>
      <c r="B13" s="369" t="s">
        <v>310</v>
      </c>
      <c r="C13" s="379">
        <f>SUM(C14:C18)</f>
        <v>72668000</v>
      </c>
      <c r="D13" s="379">
        <f>SUM(D14:D18)</f>
        <v>205007136</v>
      </c>
      <c r="E13" s="362">
        <f>SUM(E14:E18)</f>
        <v>147658679</v>
      </c>
    </row>
    <row r="14" spans="1:5" s="389" customFormat="1" ht="12" customHeight="1">
      <c r="A14" s="342" t="s">
        <v>75</v>
      </c>
      <c r="B14" s="390" t="s">
        <v>311</v>
      </c>
      <c r="C14" s="410"/>
      <c r="D14" s="381">
        <v>7307475</v>
      </c>
      <c r="E14" s="364">
        <v>7307475</v>
      </c>
    </row>
    <row r="15" spans="1:5" s="389" customFormat="1" ht="12" customHeight="1">
      <c r="A15" s="341" t="s">
        <v>76</v>
      </c>
      <c r="B15" s="391" t="s">
        <v>312</v>
      </c>
      <c r="C15" s="411"/>
      <c r="D15" s="411"/>
      <c r="E15" s="417"/>
    </row>
    <row r="16" spans="1:5" s="389" customFormat="1" ht="12" customHeight="1">
      <c r="A16" s="341" t="s">
        <v>77</v>
      </c>
      <c r="B16" s="391" t="s">
        <v>313</v>
      </c>
      <c r="C16" s="411"/>
      <c r="D16" s="411"/>
      <c r="E16" s="417"/>
    </row>
    <row r="17" spans="1:5" s="389" customFormat="1" ht="12" customHeight="1">
      <c r="A17" s="341" t="s">
        <v>78</v>
      </c>
      <c r="B17" s="391" t="s">
        <v>314</v>
      </c>
      <c r="C17" s="380"/>
      <c r="D17" s="380"/>
      <c r="E17" s="363"/>
    </row>
    <row r="18" spans="1:5" s="389" customFormat="1" ht="12" customHeight="1">
      <c r="A18" s="341" t="s">
        <v>79</v>
      </c>
      <c r="B18" s="391" t="s">
        <v>315</v>
      </c>
      <c r="C18" s="380">
        <f>73748000-1080000</f>
        <v>72668000</v>
      </c>
      <c r="D18" s="411">
        <f>198779661-1080000</f>
        <v>197699661</v>
      </c>
      <c r="E18" s="411">
        <f>141431204-1080000</f>
        <v>140351204</v>
      </c>
    </row>
    <row r="19" spans="1:5" s="389" customFormat="1" ht="12" customHeight="1" thickBot="1">
      <c r="A19" s="343" t="s">
        <v>86</v>
      </c>
      <c r="B19" s="392" t="s">
        <v>316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348" t="s">
        <v>317</v>
      </c>
      <c r="C20" s="379">
        <f>SUM(C21:C25)</f>
        <v>0</v>
      </c>
      <c r="D20" s="379">
        <f>SUM(D21:D25)</f>
        <v>111999999</v>
      </c>
      <c r="E20" s="362">
        <f>SUM(E21:E25)</f>
        <v>111999999</v>
      </c>
    </row>
    <row r="21" spans="1:5" s="389" customFormat="1" ht="12" customHeight="1">
      <c r="A21" s="342" t="s">
        <v>58</v>
      </c>
      <c r="B21" s="390" t="s">
        <v>318</v>
      </c>
      <c r="C21" s="381"/>
      <c r="D21" s="381">
        <v>111999999</v>
      </c>
      <c r="E21" s="364">
        <v>111999999</v>
      </c>
    </row>
    <row r="22" spans="1:5" s="389" customFormat="1" ht="12" customHeight="1">
      <c r="A22" s="341" t="s">
        <v>59</v>
      </c>
      <c r="B22" s="391" t="s">
        <v>319</v>
      </c>
      <c r="C22" s="380"/>
      <c r="D22" s="380"/>
      <c r="E22" s="363"/>
    </row>
    <row r="23" spans="1:5" s="389" customFormat="1" ht="12" customHeight="1">
      <c r="A23" s="341" t="s">
        <v>60</v>
      </c>
      <c r="B23" s="391" t="s">
        <v>320</v>
      </c>
      <c r="C23" s="380"/>
      <c r="D23" s="380"/>
      <c r="E23" s="363"/>
    </row>
    <row r="24" spans="1:5" s="389" customFormat="1" ht="12" customHeight="1">
      <c r="A24" s="341" t="s">
        <v>61</v>
      </c>
      <c r="B24" s="391" t="s">
        <v>321</v>
      </c>
      <c r="C24" s="380"/>
      <c r="D24" s="380"/>
      <c r="E24" s="363"/>
    </row>
    <row r="25" spans="1:5" s="389" customFormat="1" ht="12" customHeight="1">
      <c r="A25" s="341" t="s">
        <v>119</v>
      </c>
      <c r="B25" s="391" t="s">
        <v>322</v>
      </c>
      <c r="C25" s="380"/>
      <c r="D25" s="380"/>
      <c r="E25" s="363"/>
    </row>
    <row r="26" spans="1:5" s="389" customFormat="1" ht="12" customHeight="1" thickBot="1">
      <c r="A26" s="343" t="s">
        <v>120</v>
      </c>
      <c r="B26" s="392" t="s">
        <v>323</v>
      </c>
      <c r="C26" s="382"/>
      <c r="D26" s="382"/>
      <c r="E26" s="365"/>
    </row>
    <row r="27" spans="1:5" s="389" customFormat="1" ht="12" customHeight="1" thickBot="1">
      <c r="A27" s="347" t="s">
        <v>121</v>
      </c>
      <c r="B27" s="348" t="s">
        <v>724</v>
      </c>
      <c r="C27" s="385">
        <f>SUM(C28:C33)</f>
        <v>48240000</v>
      </c>
      <c r="D27" s="385">
        <f>SUM(D28:D33)</f>
        <v>57032589</v>
      </c>
      <c r="E27" s="398">
        <f>SUM(E28:E33)</f>
        <v>57032589</v>
      </c>
    </row>
    <row r="28" spans="1:5" s="389" customFormat="1" ht="12" customHeight="1">
      <c r="A28" s="342" t="s">
        <v>324</v>
      </c>
      <c r="B28" s="390" t="s">
        <v>728</v>
      </c>
      <c r="C28" s="381"/>
      <c r="D28" s="381"/>
      <c r="E28" s="364"/>
    </row>
    <row r="29" spans="1:5" s="389" customFormat="1" ht="12" customHeight="1">
      <c r="A29" s="341" t="s">
        <v>325</v>
      </c>
      <c r="B29" s="391" t="s">
        <v>729</v>
      </c>
      <c r="C29" s="380"/>
      <c r="D29" s="380"/>
      <c r="E29" s="363"/>
    </row>
    <row r="30" spans="1:5" s="389" customFormat="1" ht="12" customHeight="1">
      <c r="A30" s="341" t="s">
        <v>326</v>
      </c>
      <c r="B30" s="391" t="s">
        <v>730</v>
      </c>
      <c r="C30" s="380">
        <v>35000000</v>
      </c>
      <c r="D30" s="380">
        <v>44086230</v>
      </c>
      <c r="E30" s="363">
        <v>44086230</v>
      </c>
    </row>
    <row r="31" spans="1:5" s="389" customFormat="1" ht="12" customHeight="1">
      <c r="A31" s="341" t="s">
        <v>725</v>
      </c>
      <c r="B31" s="391" t="s">
        <v>731</v>
      </c>
      <c r="C31" s="380"/>
      <c r="D31" s="380"/>
      <c r="E31" s="363"/>
    </row>
    <row r="32" spans="1:5" s="389" customFormat="1" ht="12" customHeight="1">
      <c r="A32" s="341" t="s">
        <v>726</v>
      </c>
      <c r="B32" s="391" t="s">
        <v>748</v>
      </c>
      <c r="C32" s="380">
        <v>12000000</v>
      </c>
      <c r="D32" s="380">
        <v>10813451</v>
      </c>
      <c r="E32" s="363">
        <v>10813451</v>
      </c>
    </row>
    <row r="33" spans="1:5" s="389" customFormat="1" ht="12" customHeight="1" thickBot="1">
      <c r="A33" s="343" t="s">
        <v>727</v>
      </c>
      <c r="B33" s="371" t="s">
        <v>328</v>
      </c>
      <c r="C33" s="382">
        <v>1240000</v>
      </c>
      <c r="D33" s="382">
        <v>2132908</v>
      </c>
      <c r="E33" s="365">
        <v>2132908</v>
      </c>
    </row>
    <row r="34" spans="1:5" s="389" customFormat="1" ht="12" customHeight="1" thickBot="1">
      <c r="A34" s="347" t="s">
        <v>11</v>
      </c>
      <c r="B34" s="348" t="s">
        <v>329</v>
      </c>
      <c r="C34" s="379">
        <f>SUM(C35:C44)</f>
        <v>8786866</v>
      </c>
      <c r="D34" s="379">
        <f>SUM(D35:D44)</f>
        <v>12037903</v>
      </c>
      <c r="E34" s="362">
        <f>SUM(E35:E44)</f>
        <v>12037903</v>
      </c>
    </row>
    <row r="35" spans="1:5" s="389" customFormat="1" ht="12" customHeight="1">
      <c r="A35" s="342" t="s">
        <v>62</v>
      </c>
      <c r="B35" s="390" t="s">
        <v>330</v>
      </c>
      <c r="C35" s="380"/>
      <c r="D35" s="380"/>
      <c r="E35" s="363"/>
    </row>
    <row r="36" spans="1:5" s="389" customFormat="1" ht="12" customHeight="1">
      <c r="A36" s="341" t="s">
        <v>63</v>
      </c>
      <c r="B36" s="391" t="s">
        <v>331</v>
      </c>
      <c r="C36" s="380"/>
      <c r="D36" s="380">
        <v>5301067</v>
      </c>
      <c r="E36" s="363">
        <v>5301067</v>
      </c>
    </row>
    <row r="37" spans="1:5" s="389" customFormat="1" ht="12" customHeight="1">
      <c r="A37" s="341" t="s">
        <v>64</v>
      </c>
      <c r="B37" s="391" t="s">
        <v>332</v>
      </c>
      <c r="C37" s="380"/>
      <c r="D37" s="380"/>
      <c r="E37" s="363"/>
    </row>
    <row r="38" spans="1:5" s="389" customFormat="1" ht="12" customHeight="1">
      <c r="A38" s="341" t="s">
        <v>123</v>
      </c>
      <c r="B38" s="391" t="s">
        <v>333</v>
      </c>
      <c r="C38" s="380">
        <v>1659000</v>
      </c>
      <c r="D38" s="380"/>
      <c r="E38" s="363"/>
    </row>
    <row r="39" spans="1:5" s="389" customFormat="1" ht="12" customHeight="1">
      <c r="A39" s="341" t="s">
        <v>124</v>
      </c>
      <c r="B39" s="391" t="s">
        <v>334</v>
      </c>
      <c r="C39" s="380">
        <f>6000000-1921000</f>
        <v>4079000</v>
      </c>
      <c r="D39" s="380">
        <f>5877858-1921000</f>
        <v>3956858</v>
      </c>
      <c r="E39" s="363">
        <f>5877858-1921000</f>
        <v>3956858</v>
      </c>
    </row>
    <row r="40" spans="1:5" s="389" customFormat="1" ht="12" customHeight="1">
      <c r="A40" s="341" t="s">
        <v>125</v>
      </c>
      <c r="B40" s="391" t="s">
        <v>335</v>
      </c>
      <c r="C40" s="380">
        <f>2068000-519000</f>
        <v>1549000</v>
      </c>
      <c r="D40" s="380">
        <f>3018308-519000</f>
        <v>2499308</v>
      </c>
      <c r="E40" s="363">
        <f>3018308-519000</f>
        <v>2499308</v>
      </c>
    </row>
    <row r="41" spans="1:5" s="389" customFormat="1" ht="12" customHeight="1">
      <c r="A41" s="341" t="s">
        <v>126</v>
      </c>
      <c r="B41" s="391" t="s">
        <v>336</v>
      </c>
      <c r="C41" s="380"/>
      <c r="D41" s="380"/>
      <c r="E41" s="363"/>
    </row>
    <row r="42" spans="1:5" s="389" customFormat="1" ht="12" customHeight="1">
      <c r="A42" s="341" t="s">
        <v>127</v>
      </c>
      <c r="B42" s="391" t="s">
        <v>337</v>
      </c>
      <c r="C42" s="380">
        <v>1499866</v>
      </c>
      <c r="D42" s="380">
        <v>280670</v>
      </c>
      <c r="E42" s="363">
        <v>280670</v>
      </c>
    </row>
    <row r="43" spans="1:5" s="389" customFormat="1" ht="12" customHeight="1">
      <c r="A43" s="341" t="s">
        <v>338</v>
      </c>
      <c r="B43" s="391" t="s">
        <v>339</v>
      </c>
      <c r="C43" s="383"/>
      <c r="D43" s="383"/>
      <c r="E43" s="366"/>
    </row>
    <row r="44" spans="1:5" s="389" customFormat="1" ht="12" customHeight="1" thickBot="1">
      <c r="A44" s="343" t="s">
        <v>340</v>
      </c>
      <c r="B44" s="392" t="s">
        <v>341</v>
      </c>
      <c r="C44" s="384"/>
      <c r="D44" s="384"/>
      <c r="E44" s="367"/>
    </row>
    <row r="45" spans="1:5" s="389" customFormat="1" ht="12" customHeight="1" thickBot="1">
      <c r="A45" s="347" t="s">
        <v>12</v>
      </c>
      <c r="B45" s="348" t="s">
        <v>342</v>
      </c>
      <c r="C45" s="379">
        <f>SUM(C46:C50)</f>
        <v>0</v>
      </c>
      <c r="D45" s="379">
        <f>SUM(D46:D50)</f>
        <v>50000</v>
      </c>
      <c r="E45" s="362">
        <f>SUM(E46:E50)</f>
        <v>50000</v>
      </c>
    </row>
    <row r="46" spans="1:5" s="389" customFormat="1" ht="12" customHeight="1">
      <c r="A46" s="342" t="s">
        <v>65</v>
      </c>
      <c r="B46" s="390" t="s">
        <v>343</v>
      </c>
      <c r="C46" s="400"/>
      <c r="D46" s="400"/>
      <c r="E46" s="368"/>
    </row>
    <row r="47" spans="1:5" s="389" customFormat="1" ht="12" customHeight="1">
      <c r="A47" s="341" t="s">
        <v>66</v>
      </c>
      <c r="B47" s="391" t="s">
        <v>344</v>
      </c>
      <c r="C47" s="383"/>
      <c r="D47" s="383"/>
      <c r="E47" s="366"/>
    </row>
    <row r="48" spans="1:5" s="389" customFormat="1" ht="12" customHeight="1">
      <c r="A48" s="341" t="s">
        <v>345</v>
      </c>
      <c r="B48" s="391" t="s">
        <v>346</v>
      </c>
      <c r="C48" s="383"/>
      <c r="D48" s="383">
        <v>50000</v>
      </c>
      <c r="E48" s="366">
        <v>50000</v>
      </c>
    </row>
    <row r="49" spans="1:5" s="389" customFormat="1" ht="12" customHeight="1">
      <c r="A49" s="341" t="s">
        <v>347</v>
      </c>
      <c r="B49" s="391" t="s">
        <v>348</v>
      </c>
      <c r="C49" s="383"/>
      <c r="D49" s="383"/>
      <c r="E49" s="366"/>
    </row>
    <row r="50" spans="1:5" s="389" customFormat="1" ht="12" customHeight="1" thickBot="1">
      <c r="A50" s="343" t="s">
        <v>349</v>
      </c>
      <c r="B50" s="392" t="s">
        <v>350</v>
      </c>
      <c r="C50" s="384"/>
      <c r="D50" s="384"/>
      <c r="E50" s="367"/>
    </row>
    <row r="51" spans="1:5" s="389" customFormat="1" ht="17.25" customHeight="1" thickBot="1">
      <c r="A51" s="347" t="s">
        <v>128</v>
      </c>
      <c r="B51" s="348" t="s">
        <v>351</v>
      </c>
      <c r="C51" s="379">
        <f>SUM(C52:C54)</f>
        <v>0</v>
      </c>
      <c r="D51" s="379">
        <f>SUM(D52:D54)</f>
        <v>841006</v>
      </c>
      <c r="E51" s="362">
        <f>SUM(E52:E54)</f>
        <v>841006</v>
      </c>
    </row>
    <row r="52" spans="1:5" s="389" customFormat="1" ht="12" customHeight="1">
      <c r="A52" s="342" t="s">
        <v>67</v>
      </c>
      <c r="B52" s="390" t="s">
        <v>352</v>
      </c>
      <c r="C52" s="381"/>
      <c r="D52" s="381"/>
      <c r="E52" s="364"/>
    </row>
    <row r="53" spans="1:5" s="389" customFormat="1" ht="12" customHeight="1">
      <c r="A53" s="341" t="s">
        <v>68</v>
      </c>
      <c r="B53" s="391" t="s">
        <v>353</v>
      </c>
      <c r="C53" s="380"/>
      <c r="D53" s="380"/>
      <c r="E53" s="363"/>
    </row>
    <row r="54" spans="1:5" s="389" customFormat="1" ht="12" customHeight="1">
      <c r="A54" s="341" t="s">
        <v>354</v>
      </c>
      <c r="B54" s="391" t="s">
        <v>355</v>
      </c>
      <c r="C54" s="380"/>
      <c r="D54" s="411">
        <v>841006</v>
      </c>
      <c r="E54" s="411">
        <v>841006</v>
      </c>
    </row>
    <row r="55" spans="1:5" s="389" customFormat="1" ht="12" customHeight="1" thickBot="1">
      <c r="A55" s="343" t="s">
        <v>356</v>
      </c>
      <c r="B55" s="392" t="s">
        <v>357</v>
      </c>
      <c r="C55" s="382"/>
      <c r="D55" s="382"/>
      <c r="E55" s="365"/>
    </row>
    <row r="56" spans="1:5" s="389" customFormat="1" ht="12" customHeight="1" thickBot="1">
      <c r="A56" s="347" t="s">
        <v>14</v>
      </c>
      <c r="B56" s="369" t="s">
        <v>358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2" customHeight="1">
      <c r="A57" s="342" t="s">
        <v>129</v>
      </c>
      <c r="B57" s="390" t="s">
        <v>359</v>
      </c>
      <c r="C57" s="383"/>
      <c r="D57" s="383"/>
      <c r="E57" s="366"/>
    </row>
    <row r="58" spans="1:5" s="389" customFormat="1" ht="12" customHeight="1">
      <c r="A58" s="341" t="s">
        <v>130</v>
      </c>
      <c r="B58" s="391" t="s">
        <v>360</v>
      </c>
      <c r="C58" s="383"/>
      <c r="D58" s="383"/>
      <c r="E58" s="366"/>
    </row>
    <row r="59" spans="1:5" s="389" customFormat="1" ht="12" customHeight="1">
      <c r="A59" s="341" t="s">
        <v>154</v>
      </c>
      <c r="B59" s="391" t="s">
        <v>361</v>
      </c>
      <c r="C59" s="383"/>
      <c r="D59" s="383"/>
      <c r="E59" s="366"/>
    </row>
    <row r="60" spans="1:5" s="389" customFormat="1" ht="12" customHeight="1" thickBot="1">
      <c r="A60" s="343" t="s">
        <v>362</v>
      </c>
      <c r="B60" s="392" t="s">
        <v>363</v>
      </c>
      <c r="C60" s="383"/>
      <c r="D60" s="383"/>
      <c r="E60" s="366"/>
    </row>
    <row r="61" spans="1:5" s="389" customFormat="1" ht="12" customHeight="1" thickBot="1">
      <c r="A61" s="347" t="s">
        <v>15</v>
      </c>
      <c r="B61" s="348" t="s">
        <v>364</v>
      </c>
      <c r="C61" s="385">
        <f>+C6+C13+C20+C27+C34+C45+C51+C56</f>
        <v>319475969</v>
      </c>
      <c r="D61" s="385">
        <f>+D6+D13+D20+D27+D34+D45+D51+D56</f>
        <v>580518682</v>
      </c>
      <c r="E61" s="398">
        <f>+E6+E13+E20+E27+E34+E45+E51+E56</f>
        <v>523170225</v>
      </c>
    </row>
    <row r="62" spans="1:5" s="389" customFormat="1" ht="12" customHeight="1" thickBot="1">
      <c r="A62" s="401" t="s">
        <v>365</v>
      </c>
      <c r="B62" s="369" t="s">
        <v>366</v>
      </c>
      <c r="C62" s="379">
        <f>+C63+C64+C65</f>
        <v>9509000</v>
      </c>
      <c r="D62" s="379">
        <f>+D63+D64+D65</f>
        <v>0</v>
      </c>
      <c r="E62" s="362">
        <f>+E63+E64+E65</f>
        <v>0</v>
      </c>
    </row>
    <row r="63" spans="1:5" s="389" customFormat="1" ht="12" customHeight="1">
      <c r="A63" s="342" t="s">
        <v>367</v>
      </c>
      <c r="B63" s="390" t="s">
        <v>368</v>
      </c>
      <c r="C63" s="383"/>
      <c r="D63" s="383"/>
      <c r="E63" s="366"/>
    </row>
    <row r="64" spans="1:5" s="389" customFormat="1" ht="12" customHeight="1">
      <c r="A64" s="341" t="s">
        <v>369</v>
      </c>
      <c r="B64" s="391" t="s">
        <v>370</v>
      </c>
      <c r="C64" s="383">
        <v>9509000</v>
      </c>
      <c r="D64" s="383"/>
      <c r="E64" s="366"/>
    </row>
    <row r="65" spans="1:5" s="389" customFormat="1" ht="12" customHeight="1" thickBot="1">
      <c r="A65" s="343" t="s">
        <v>371</v>
      </c>
      <c r="B65" s="327" t="s">
        <v>416</v>
      </c>
      <c r="C65" s="383"/>
      <c r="D65" s="383"/>
      <c r="E65" s="366"/>
    </row>
    <row r="66" spans="1:5" s="389" customFormat="1" ht="12" customHeight="1" thickBot="1">
      <c r="A66" s="401" t="s">
        <v>373</v>
      </c>
      <c r="B66" s="369" t="s">
        <v>374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3.5" customHeight="1">
      <c r="A67" s="342" t="s">
        <v>106</v>
      </c>
      <c r="B67" s="390" t="s">
        <v>375</v>
      </c>
      <c r="C67" s="383"/>
      <c r="D67" s="383"/>
      <c r="E67" s="366"/>
    </row>
    <row r="68" spans="1:5" s="389" customFormat="1" ht="12" customHeight="1">
      <c r="A68" s="341" t="s">
        <v>107</v>
      </c>
      <c r="B68" s="391" t="s">
        <v>376</v>
      </c>
      <c r="C68" s="383"/>
      <c r="D68" s="383"/>
      <c r="E68" s="366"/>
    </row>
    <row r="69" spans="1:5" s="389" customFormat="1" ht="12" customHeight="1">
      <c r="A69" s="341" t="s">
        <v>377</v>
      </c>
      <c r="B69" s="391" t="s">
        <v>378</v>
      </c>
      <c r="C69" s="383"/>
      <c r="D69" s="383"/>
      <c r="E69" s="366"/>
    </row>
    <row r="70" spans="1:5" s="389" customFormat="1" ht="12" customHeight="1" thickBot="1">
      <c r="A70" s="343" t="s">
        <v>379</v>
      </c>
      <c r="B70" s="392" t="s">
        <v>380</v>
      </c>
      <c r="C70" s="383"/>
      <c r="D70" s="383"/>
      <c r="E70" s="366"/>
    </row>
    <row r="71" spans="1:5" s="389" customFormat="1" ht="12" customHeight="1" thickBot="1">
      <c r="A71" s="401" t="s">
        <v>381</v>
      </c>
      <c r="B71" s="369" t="s">
        <v>382</v>
      </c>
      <c r="C71" s="379">
        <f>+C72+C73</f>
        <v>0</v>
      </c>
      <c r="D71" s="379">
        <f>+D72+D73</f>
        <v>30368659</v>
      </c>
      <c r="E71" s="362">
        <f>+E72+E73</f>
        <v>30368659</v>
      </c>
    </row>
    <row r="72" spans="1:5" s="389" customFormat="1" ht="12" customHeight="1">
      <c r="A72" s="342" t="s">
        <v>383</v>
      </c>
      <c r="B72" s="390" t="s">
        <v>384</v>
      </c>
      <c r="C72" s="383"/>
      <c r="D72" s="408">
        <v>30368659</v>
      </c>
      <c r="E72" s="408">
        <v>30368659</v>
      </c>
    </row>
    <row r="73" spans="1:5" s="389" customFormat="1" ht="12" customHeight="1" thickBot="1">
      <c r="A73" s="343" t="s">
        <v>385</v>
      </c>
      <c r="B73" s="392" t="s">
        <v>386</v>
      </c>
      <c r="C73" s="383"/>
      <c r="D73" s="383"/>
      <c r="E73" s="366"/>
    </row>
    <row r="74" spans="1:5" s="389" customFormat="1" ht="12" customHeight="1" thickBot="1">
      <c r="A74" s="401" t="s">
        <v>387</v>
      </c>
      <c r="B74" s="369" t="s">
        <v>388</v>
      </c>
      <c r="C74" s="379">
        <f>+C75+C76+C77</f>
        <v>58332000</v>
      </c>
      <c r="D74" s="379">
        <f>+D75+D76+D77</f>
        <v>47607903</v>
      </c>
      <c r="E74" s="362">
        <f>+E75+E76+E77</f>
        <v>47607903</v>
      </c>
    </row>
    <row r="75" spans="1:5" s="389" customFormat="1" ht="12" customHeight="1">
      <c r="A75" s="342" t="s">
        <v>389</v>
      </c>
      <c r="B75" s="390" t="s">
        <v>390</v>
      </c>
      <c r="C75" s="383"/>
      <c r="D75" s="383">
        <v>7607903</v>
      </c>
      <c r="E75" s="366">
        <v>7607903</v>
      </c>
    </row>
    <row r="76" spans="1:5" s="389" customFormat="1" ht="12" customHeight="1">
      <c r="A76" s="341" t="s">
        <v>391</v>
      </c>
      <c r="B76" s="391" t="s">
        <v>392</v>
      </c>
      <c r="C76" s="383"/>
      <c r="D76" s="383"/>
      <c r="E76" s="366"/>
    </row>
    <row r="77" spans="1:5" s="389" customFormat="1" ht="12" customHeight="1" thickBot="1">
      <c r="A77" s="343" t="s">
        <v>393</v>
      </c>
      <c r="B77" s="371" t="s">
        <v>394</v>
      </c>
      <c r="C77" s="383">
        <v>58332000</v>
      </c>
      <c r="D77" s="383">
        <v>40000000</v>
      </c>
      <c r="E77" s="366">
        <v>40000000</v>
      </c>
    </row>
    <row r="78" spans="1:5" s="389" customFormat="1" ht="12" customHeight="1" thickBot="1">
      <c r="A78" s="401" t="s">
        <v>395</v>
      </c>
      <c r="B78" s="369" t="s">
        <v>396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>
      <c r="A79" s="393" t="s">
        <v>397</v>
      </c>
      <c r="B79" s="390" t="s">
        <v>398</v>
      </c>
      <c r="C79" s="383"/>
      <c r="D79" s="383"/>
      <c r="E79" s="366"/>
    </row>
    <row r="80" spans="1:5" s="389" customFormat="1" ht="12" customHeight="1">
      <c r="A80" s="394" t="s">
        <v>399</v>
      </c>
      <c r="B80" s="391" t="s">
        <v>400</v>
      </c>
      <c r="C80" s="383"/>
      <c r="D80" s="383"/>
      <c r="E80" s="366"/>
    </row>
    <row r="81" spans="1:5" s="389" customFormat="1" ht="12" customHeight="1">
      <c r="A81" s="394" t="s">
        <v>401</v>
      </c>
      <c r="B81" s="391" t="s">
        <v>402</v>
      </c>
      <c r="C81" s="383"/>
      <c r="D81" s="383"/>
      <c r="E81" s="366"/>
    </row>
    <row r="82" spans="1:5" s="389" customFormat="1" ht="12" customHeight="1" thickBot="1">
      <c r="A82" s="402" t="s">
        <v>403</v>
      </c>
      <c r="B82" s="371" t="s">
        <v>404</v>
      </c>
      <c r="C82" s="383"/>
      <c r="D82" s="383"/>
      <c r="E82" s="366"/>
    </row>
    <row r="83" spans="1:5" s="389" customFormat="1" ht="12" customHeight="1" thickBot="1">
      <c r="A83" s="401" t="s">
        <v>405</v>
      </c>
      <c r="B83" s="369" t="s">
        <v>406</v>
      </c>
      <c r="C83" s="404"/>
      <c r="D83" s="404"/>
      <c r="E83" s="405"/>
    </row>
    <row r="84" spans="1:5" s="389" customFormat="1" ht="12" customHeight="1" thickBot="1">
      <c r="A84" s="401" t="s">
        <v>407</v>
      </c>
      <c r="B84" s="325" t="s">
        <v>408</v>
      </c>
      <c r="C84" s="385">
        <f>+C62+C66+C71+C74+C78+C83</f>
        <v>67841000</v>
      </c>
      <c r="D84" s="385">
        <f>+D62+D66+D71+D74+D78+D83</f>
        <v>77976562</v>
      </c>
      <c r="E84" s="398">
        <f>+E62+E66+E71+E74+E78+E83</f>
        <v>77976562</v>
      </c>
    </row>
    <row r="85" spans="1:5" s="389" customFormat="1" ht="12" customHeight="1" thickBot="1">
      <c r="A85" s="403" t="s">
        <v>409</v>
      </c>
      <c r="B85" s="328" t="s">
        <v>410</v>
      </c>
      <c r="C85" s="385">
        <f>+C61+C84</f>
        <v>387316969</v>
      </c>
      <c r="D85" s="385">
        <f>+D61+D84</f>
        <v>658495244</v>
      </c>
      <c r="E85" s="398">
        <f>+E61+E84</f>
        <v>601146787</v>
      </c>
    </row>
    <row r="86" spans="1:5" s="389" customFormat="1" ht="12" customHeight="1">
      <c r="A86" s="323"/>
      <c r="B86" s="323"/>
      <c r="C86" s="324"/>
      <c r="D86" s="324"/>
      <c r="E86" s="324"/>
    </row>
    <row r="87" spans="1:5" ht="16.5" customHeight="1">
      <c r="A87" s="704" t="s">
        <v>36</v>
      </c>
      <c r="B87" s="704"/>
      <c r="C87" s="704"/>
      <c r="D87" s="704"/>
      <c r="E87" s="704"/>
    </row>
    <row r="88" spans="1:5" s="395" customFormat="1" ht="16.5" customHeight="1" thickBot="1">
      <c r="A88" s="47" t="s">
        <v>110</v>
      </c>
      <c r="B88" s="47"/>
      <c r="C88" s="356"/>
      <c r="D88" s="356"/>
      <c r="E88" s="356" t="str">
        <f>E2</f>
        <v>Forintban!</v>
      </c>
    </row>
    <row r="89" spans="1:5" s="395" customFormat="1" ht="16.5" customHeight="1">
      <c r="A89" s="705" t="s">
        <v>57</v>
      </c>
      <c r="B89" s="707" t="s">
        <v>172</v>
      </c>
      <c r="C89" s="709" t="str">
        <f>+C3</f>
        <v>2016. évi</v>
      </c>
      <c r="D89" s="709"/>
      <c r="E89" s="710"/>
    </row>
    <row r="90" spans="1:5" ht="37.5" customHeight="1" thickBot="1">
      <c r="A90" s="706"/>
      <c r="B90" s="708"/>
      <c r="C90" s="48" t="s">
        <v>173</v>
      </c>
      <c r="D90" s="48" t="s">
        <v>178</v>
      </c>
      <c r="E90" s="49" t="s">
        <v>179</v>
      </c>
    </row>
    <row r="91" spans="1:5" s="388" customFormat="1" ht="12" customHeight="1" thickBot="1">
      <c r="A91" s="352" t="s">
        <v>411</v>
      </c>
      <c r="B91" s="353" t="s">
        <v>412</v>
      </c>
      <c r="C91" s="353" t="s">
        <v>413</v>
      </c>
      <c r="D91" s="353" t="s">
        <v>414</v>
      </c>
      <c r="E91" s="354" t="s">
        <v>415</v>
      </c>
    </row>
    <row r="92" spans="1:5" ht="12" customHeight="1" thickBot="1">
      <c r="A92" s="347" t="s">
        <v>7</v>
      </c>
      <c r="B92" s="350" t="s">
        <v>417</v>
      </c>
      <c r="C92" s="379">
        <f>SUM(C93:C97)</f>
        <v>340384969</v>
      </c>
      <c r="D92" s="379">
        <f>SUM(D93:D97)</f>
        <v>388939661</v>
      </c>
      <c r="E92" s="362">
        <f>SUM(E93:E97)</f>
        <v>362157551</v>
      </c>
    </row>
    <row r="93" spans="1:5" ht="12" customHeight="1">
      <c r="A93" s="342" t="s">
        <v>69</v>
      </c>
      <c r="B93" s="336" t="s">
        <v>37</v>
      </c>
      <c r="C93" s="410">
        <v>142963000</v>
      </c>
      <c r="D93" s="410">
        <f>113141384+1599500+27222510+38819716-7175000</f>
        <v>173608110</v>
      </c>
      <c r="E93" s="416">
        <f>113141384+27222510+1599500+38819716-7175000</f>
        <v>173608110</v>
      </c>
    </row>
    <row r="94" spans="1:5" ht="12" customHeight="1">
      <c r="A94" s="341" t="s">
        <v>70</v>
      </c>
      <c r="B94" s="335" t="s">
        <v>131</v>
      </c>
      <c r="C94" s="411">
        <f>35452000-2001000</f>
        <v>33451000</v>
      </c>
      <c r="D94" s="411">
        <f>10589801+6998515+442463+20868207-2001000</f>
        <v>36897986</v>
      </c>
      <c r="E94" s="417">
        <f>10589801+442463+6998515+20868207-2001000</f>
        <v>36897986</v>
      </c>
    </row>
    <row r="95" spans="1:5" ht="12" customHeight="1">
      <c r="A95" s="341" t="s">
        <v>71</v>
      </c>
      <c r="B95" s="335" t="s">
        <v>98</v>
      </c>
      <c r="C95" s="411">
        <f>127172969-3194000</f>
        <v>123978969</v>
      </c>
      <c r="D95" s="411">
        <f>117250924+1585838+6764937+5712436+16248645-3194000</f>
        <v>144368780</v>
      </c>
      <c r="E95" s="417">
        <f>108414328+6213904+1585838+5586600-3194000</f>
        <v>118606670</v>
      </c>
    </row>
    <row r="96" spans="1:5" ht="12" customHeight="1">
      <c r="A96" s="341" t="s">
        <v>72</v>
      </c>
      <c r="B96" s="338" t="s">
        <v>132</v>
      </c>
      <c r="C96" s="411">
        <v>13134000</v>
      </c>
      <c r="D96" s="411">
        <v>7007232</v>
      </c>
      <c r="E96" s="417">
        <v>7007232</v>
      </c>
    </row>
    <row r="97" spans="1:5" ht="12" customHeight="1">
      <c r="A97" s="341" t="s">
        <v>81</v>
      </c>
      <c r="B97" s="346" t="s">
        <v>133</v>
      </c>
      <c r="C97" s="411">
        <v>26858000</v>
      </c>
      <c r="D97" s="411">
        <f>5333477+21723451+625</f>
        <v>27057553</v>
      </c>
      <c r="E97" s="417">
        <v>26037553</v>
      </c>
    </row>
    <row r="98" spans="1:5" ht="12" customHeight="1">
      <c r="A98" s="341" t="s">
        <v>73</v>
      </c>
      <c r="B98" s="335" t="s">
        <v>418</v>
      </c>
      <c r="C98" s="382"/>
      <c r="D98" s="382"/>
      <c r="E98" s="365"/>
    </row>
    <row r="99" spans="1:5" ht="12" customHeight="1">
      <c r="A99" s="341" t="s">
        <v>74</v>
      </c>
      <c r="B99" s="358" t="s">
        <v>419</v>
      </c>
      <c r="C99" s="382"/>
      <c r="D99" s="382"/>
      <c r="E99" s="365"/>
    </row>
    <row r="100" spans="1:5" ht="12" customHeight="1">
      <c r="A100" s="341" t="s">
        <v>82</v>
      </c>
      <c r="B100" s="359" t="s">
        <v>420</v>
      </c>
      <c r="C100" s="382"/>
      <c r="D100" s="382"/>
      <c r="E100" s="365"/>
    </row>
    <row r="101" spans="1:5" ht="12" customHeight="1">
      <c r="A101" s="341" t="s">
        <v>83</v>
      </c>
      <c r="B101" s="359" t="s">
        <v>421</v>
      </c>
      <c r="C101" s="382"/>
      <c r="D101" s="382"/>
      <c r="E101" s="365"/>
    </row>
    <row r="102" spans="1:5" ht="12" customHeight="1">
      <c r="A102" s="341" t="s">
        <v>84</v>
      </c>
      <c r="B102" s="358" t="s">
        <v>422</v>
      </c>
      <c r="C102" s="382"/>
      <c r="D102" s="382"/>
      <c r="E102" s="365"/>
    </row>
    <row r="103" spans="1:5" ht="12" customHeight="1">
      <c r="A103" s="341" t="s">
        <v>85</v>
      </c>
      <c r="B103" s="358" t="s">
        <v>423</v>
      </c>
      <c r="C103" s="382"/>
      <c r="D103" s="382"/>
      <c r="E103" s="365"/>
    </row>
    <row r="104" spans="1:5" ht="12" customHeight="1">
      <c r="A104" s="341" t="s">
        <v>87</v>
      </c>
      <c r="B104" s="359" t="s">
        <v>424</v>
      </c>
      <c r="C104" s="382"/>
      <c r="D104" s="382"/>
      <c r="E104" s="365"/>
    </row>
    <row r="105" spans="1:5" ht="12" customHeight="1">
      <c r="A105" s="340" t="s">
        <v>134</v>
      </c>
      <c r="B105" s="360" t="s">
        <v>425</v>
      </c>
      <c r="C105" s="382"/>
      <c r="D105" s="382"/>
      <c r="E105" s="365"/>
    </row>
    <row r="106" spans="1:5" ht="12" customHeight="1">
      <c r="A106" s="341" t="s">
        <v>426</v>
      </c>
      <c r="B106" s="360" t="s">
        <v>427</v>
      </c>
      <c r="C106" s="382"/>
      <c r="D106" s="382"/>
      <c r="E106" s="365"/>
    </row>
    <row r="107" spans="1:5" ht="12" customHeight="1" thickBot="1">
      <c r="A107" s="345" t="s">
        <v>428</v>
      </c>
      <c r="B107" s="361" t="s">
        <v>429</v>
      </c>
      <c r="C107" s="79"/>
      <c r="D107" s="79"/>
      <c r="E107" s="326"/>
    </row>
    <row r="108" spans="1:5" ht="12" customHeight="1" thickBot="1">
      <c r="A108" s="347" t="s">
        <v>8</v>
      </c>
      <c r="B108" s="350" t="s">
        <v>430</v>
      </c>
      <c r="C108" s="379">
        <f>+C109+C111+C113</f>
        <v>46932000</v>
      </c>
      <c r="D108" s="379">
        <f>+D109+D111+D113</f>
        <v>75340108</v>
      </c>
      <c r="E108" s="362">
        <f>+E109+E111+E113</f>
        <v>62658466</v>
      </c>
    </row>
    <row r="109" spans="1:5" ht="12" customHeight="1">
      <c r="A109" s="342" t="s">
        <v>75</v>
      </c>
      <c r="B109" s="335" t="s">
        <v>153</v>
      </c>
      <c r="C109" s="410">
        <v>39794000</v>
      </c>
      <c r="D109" s="410">
        <v>65092853</v>
      </c>
      <c r="E109" s="416">
        <v>54583508</v>
      </c>
    </row>
    <row r="110" spans="1:5" ht="12" customHeight="1">
      <c r="A110" s="342" t="s">
        <v>76</v>
      </c>
      <c r="B110" s="339" t="s">
        <v>431</v>
      </c>
      <c r="C110" s="411"/>
      <c r="D110" s="411"/>
      <c r="E110" s="417"/>
    </row>
    <row r="111" spans="1:5" ht="15.75">
      <c r="A111" s="342" t="s">
        <v>77</v>
      </c>
      <c r="B111" s="339" t="s">
        <v>135</v>
      </c>
      <c r="C111" s="411">
        <v>7138000</v>
      </c>
      <c r="D111" s="411">
        <v>10247255</v>
      </c>
      <c r="E111" s="417">
        <v>8074958</v>
      </c>
    </row>
    <row r="112" spans="1:5" ht="12" customHeight="1">
      <c r="A112" s="342" t="s">
        <v>78</v>
      </c>
      <c r="B112" s="339" t="s">
        <v>432</v>
      </c>
      <c r="C112" s="380"/>
      <c r="D112" s="380"/>
      <c r="E112" s="363"/>
    </row>
    <row r="113" spans="1:5" ht="12" customHeight="1">
      <c r="A113" s="342" t="s">
        <v>79</v>
      </c>
      <c r="B113" s="371" t="s">
        <v>155</v>
      </c>
      <c r="C113" s="380"/>
      <c r="D113" s="380"/>
      <c r="E113" s="363"/>
    </row>
    <row r="114" spans="1:5" ht="21.75" customHeight="1">
      <c r="A114" s="342" t="s">
        <v>86</v>
      </c>
      <c r="B114" s="370" t="s">
        <v>433</v>
      </c>
      <c r="C114" s="380"/>
      <c r="D114" s="380"/>
      <c r="E114" s="363"/>
    </row>
    <row r="115" spans="1:5" ht="24" customHeight="1">
      <c r="A115" s="342" t="s">
        <v>88</v>
      </c>
      <c r="B115" s="386" t="s">
        <v>434</v>
      </c>
      <c r="C115" s="380"/>
      <c r="D115" s="380"/>
      <c r="E115" s="363"/>
    </row>
    <row r="116" spans="1:5" ht="12" customHeight="1">
      <c r="A116" s="342" t="s">
        <v>136</v>
      </c>
      <c r="B116" s="359" t="s">
        <v>421</v>
      </c>
      <c r="C116" s="380"/>
      <c r="D116" s="380"/>
      <c r="E116" s="363"/>
    </row>
    <row r="117" spans="1:5" ht="12" customHeight="1">
      <c r="A117" s="342" t="s">
        <v>137</v>
      </c>
      <c r="B117" s="359" t="s">
        <v>435</v>
      </c>
      <c r="C117" s="380"/>
      <c r="D117" s="380"/>
      <c r="E117" s="363"/>
    </row>
    <row r="118" spans="1:5" ht="12" customHeight="1">
      <c r="A118" s="342" t="s">
        <v>138</v>
      </c>
      <c r="B118" s="359" t="s">
        <v>436</v>
      </c>
      <c r="C118" s="380"/>
      <c r="D118" s="380"/>
      <c r="E118" s="363"/>
    </row>
    <row r="119" spans="1:5" s="406" customFormat="1" ht="12" customHeight="1">
      <c r="A119" s="342" t="s">
        <v>437</v>
      </c>
      <c r="B119" s="359" t="s">
        <v>424</v>
      </c>
      <c r="C119" s="380"/>
      <c r="D119" s="380"/>
      <c r="E119" s="363"/>
    </row>
    <row r="120" spans="1:5" ht="12" customHeight="1">
      <c r="A120" s="342" t="s">
        <v>438</v>
      </c>
      <c r="B120" s="359" t="s">
        <v>439</v>
      </c>
      <c r="C120" s="380"/>
      <c r="D120" s="380"/>
      <c r="E120" s="363"/>
    </row>
    <row r="121" spans="1:5" ht="12" customHeight="1" thickBot="1">
      <c r="A121" s="340" t="s">
        <v>440</v>
      </c>
      <c r="B121" s="359" t="s">
        <v>441</v>
      </c>
      <c r="C121" s="382"/>
      <c r="D121" s="382"/>
      <c r="E121" s="365"/>
    </row>
    <row r="122" spans="1:5" ht="12" customHeight="1" thickBot="1">
      <c r="A122" s="347" t="s">
        <v>9</v>
      </c>
      <c r="B122" s="355" t="s">
        <v>442</v>
      </c>
      <c r="C122" s="379">
        <f>+C123+C124</f>
        <v>0</v>
      </c>
      <c r="D122" s="379">
        <f>+D123+D124</f>
        <v>54918000</v>
      </c>
      <c r="E122" s="362">
        <f>+E123+E124</f>
        <v>0</v>
      </c>
    </row>
    <row r="123" spans="1:5" ht="12" customHeight="1">
      <c r="A123" s="342" t="s">
        <v>58</v>
      </c>
      <c r="B123" s="336" t="s">
        <v>45</v>
      </c>
      <c r="C123" s="381"/>
      <c r="D123" s="381">
        <v>54918000</v>
      </c>
      <c r="E123" s="364"/>
    </row>
    <row r="124" spans="1:5" ht="12" customHeight="1" thickBot="1">
      <c r="A124" s="343" t="s">
        <v>59</v>
      </c>
      <c r="B124" s="339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355" t="s">
        <v>443</v>
      </c>
      <c r="C125" s="379">
        <f>+C92+C108+C122</f>
        <v>387316969</v>
      </c>
      <c r="D125" s="379">
        <f>+D92+D108+D122</f>
        <v>519197769</v>
      </c>
      <c r="E125" s="362">
        <f>+E92+E108+E122</f>
        <v>424816017</v>
      </c>
    </row>
    <row r="126" spans="1:5" ht="12" customHeight="1" thickBot="1">
      <c r="A126" s="347" t="s">
        <v>11</v>
      </c>
      <c r="B126" s="355" t="s">
        <v>444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62</v>
      </c>
      <c r="B127" s="336" t="s">
        <v>445</v>
      </c>
      <c r="C127" s="380"/>
      <c r="D127" s="380"/>
      <c r="E127" s="363"/>
    </row>
    <row r="128" spans="1:5" ht="12" customHeight="1">
      <c r="A128" s="342" t="s">
        <v>63</v>
      </c>
      <c r="B128" s="336" t="s">
        <v>446</v>
      </c>
      <c r="C128" s="380"/>
      <c r="D128" s="380"/>
      <c r="E128" s="363"/>
    </row>
    <row r="129" spans="1:5" ht="12" customHeight="1" thickBot="1">
      <c r="A129" s="340" t="s">
        <v>64</v>
      </c>
      <c r="B129" s="334" t="s">
        <v>447</v>
      </c>
      <c r="C129" s="380"/>
      <c r="D129" s="380"/>
      <c r="E129" s="363"/>
    </row>
    <row r="130" spans="1:5" ht="12" customHeight="1" thickBot="1">
      <c r="A130" s="347" t="s">
        <v>12</v>
      </c>
      <c r="B130" s="355" t="s">
        <v>448</v>
      </c>
      <c r="C130" s="379">
        <f>+C131+C132+C134+C133</f>
        <v>0</v>
      </c>
      <c r="D130" s="379">
        <f>+D131+D132+D134+D133</f>
        <v>131990000</v>
      </c>
      <c r="E130" s="362">
        <f>+E131+E132+E134+E133</f>
        <v>131990000</v>
      </c>
    </row>
    <row r="131" spans="1:5" ht="12" customHeight="1">
      <c r="A131" s="342" t="s">
        <v>65</v>
      </c>
      <c r="B131" s="336" t="s">
        <v>449</v>
      </c>
      <c r="C131" s="380"/>
      <c r="D131" s="380"/>
      <c r="E131" s="363"/>
    </row>
    <row r="132" spans="1:5" ht="12" customHeight="1">
      <c r="A132" s="342" t="s">
        <v>66</v>
      </c>
      <c r="B132" s="336" t="s">
        <v>450</v>
      </c>
      <c r="C132" s="380"/>
      <c r="D132" s="380"/>
      <c r="E132" s="363"/>
    </row>
    <row r="133" spans="1:5" ht="12" customHeight="1">
      <c r="A133" s="342" t="s">
        <v>345</v>
      </c>
      <c r="B133" s="336" t="s">
        <v>451</v>
      </c>
      <c r="C133" s="380"/>
      <c r="D133" s="380">
        <v>131990000</v>
      </c>
      <c r="E133" s="363">
        <v>131990000</v>
      </c>
    </row>
    <row r="134" spans="1:5" ht="12" customHeight="1" thickBot="1">
      <c r="A134" s="340" t="s">
        <v>347</v>
      </c>
      <c r="B134" s="334" t="s">
        <v>452</v>
      </c>
      <c r="C134" s="380"/>
      <c r="D134" s="380"/>
      <c r="E134" s="363"/>
    </row>
    <row r="135" spans="1:5" ht="12" customHeight="1" thickBot="1">
      <c r="A135" s="347" t="s">
        <v>13</v>
      </c>
      <c r="B135" s="355" t="s">
        <v>453</v>
      </c>
      <c r="C135" s="385">
        <f>+C136+C137+C138+C139</f>
        <v>0</v>
      </c>
      <c r="D135" s="385">
        <f>+D136+D137+D138+D139</f>
        <v>7307475</v>
      </c>
      <c r="E135" s="398">
        <f>+E136+E137+E138+E139</f>
        <v>7307475</v>
      </c>
    </row>
    <row r="136" spans="1:5" ht="12" customHeight="1">
      <c r="A136" s="342" t="s">
        <v>67</v>
      </c>
      <c r="B136" s="336" t="s">
        <v>454</v>
      </c>
      <c r="C136" s="380"/>
      <c r="D136" s="380"/>
      <c r="E136" s="363"/>
    </row>
    <row r="137" spans="1:5" ht="12" customHeight="1">
      <c r="A137" s="342" t="s">
        <v>68</v>
      </c>
      <c r="B137" s="336" t="s">
        <v>455</v>
      </c>
      <c r="C137" s="380"/>
      <c r="D137" s="380">
        <v>7307475</v>
      </c>
      <c r="E137" s="363">
        <v>7307475</v>
      </c>
    </row>
    <row r="138" spans="1:5" ht="12" customHeight="1">
      <c r="A138" s="342" t="s">
        <v>354</v>
      </c>
      <c r="B138" s="336" t="s">
        <v>456</v>
      </c>
      <c r="C138" s="380"/>
      <c r="D138" s="380"/>
      <c r="E138" s="363"/>
    </row>
    <row r="139" spans="1:5" ht="12" customHeight="1" thickBot="1">
      <c r="A139" s="340" t="s">
        <v>356</v>
      </c>
      <c r="B139" s="334" t="s">
        <v>457</v>
      </c>
      <c r="C139" s="380"/>
      <c r="D139" s="380"/>
      <c r="E139" s="363"/>
    </row>
    <row r="140" spans="1:9" ht="15" customHeight="1" thickBot="1">
      <c r="A140" s="347" t="s">
        <v>14</v>
      </c>
      <c r="B140" s="355" t="s">
        <v>458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  <c r="F140" s="396"/>
      <c r="G140" s="397"/>
      <c r="H140" s="397"/>
      <c r="I140" s="397"/>
    </row>
    <row r="141" spans="1:5" s="389" customFormat="1" ht="12.75" customHeight="1">
      <c r="A141" s="342" t="s">
        <v>129</v>
      </c>
      <c r="B141" s="336" t="s">
        <v>459</v>
      </c>
      <c r="C141" s="380"/>
      <c r="D141" s="380"/>
      <c r="E141" s="363"/>
    </row>
    <row r="142" spans="1:5" ht="12.75" customHeight="1">
      <c r="A142" s="342" t="s">
        <v>130</v>
      </c>
      <c r="B142" s="336" t="s">
        <v>460</v>
      </c>
      <c r="C142" s="380"/>
      <c r="D142" s="380"/>
      <c r="E142" s="363"/>
    </row>
    <row r="143" spans="1:5" ht="12.75" customHeight="1">
      <c r="A143" s="342" t="s">
        <v>154</v>
      </c>
      <c r="B143" s="336" t="s">
        <v>461</v>
      </c>
      <c r="C143" s="380"/>
      <c r="D143" s="380"/>
      <c r="E143" s="363"/>
    </row>
    <row r="144" spans="1:5" ht="12.75" customHeight="1" thickBot="1">
      <c r="A144" s="342" t="s">
        <v>362</v>
      </c>
      <c r="B144" s="336" t="s">
        <v>462</v>
      </c>
      <c r="C144" s="380"/>
      <c r="D144" s="380"/>
      <c r="E144" s="363"/>
    </row>
    <row r="145" spans="1:5" ht="16.5" thickBot="1">
      <c r="A145" s="347" t="s">
        <v>15</v>
      </c>
      <c r="B145" s="355" t="s">
        <v>463</v>
      </c>
      <c r="C145" s="329">
        <f>+C126+C130+C135+C140</f>
        <v>0</v>
      </c>
      <c r="D145" s="329">
        <f>+D126+D130+D135+D140</f>
        <v>139297475</v>
      </c>
      <c r="E145" s="330">
        <f>+E126+E130+E135+E140</f>
        <v>139297475</v>
      </c>
    </row>
    <row r="146" spans="1:5" ht="16.5" thickBot="1">
      <c r="A146" s="372" t="s">
        <v>16</v>
      </c>
      <c r="B146" s="375" t="s">
        <v>464</v>
      </c>
      <c r="C146" s="329">
        <f>+C125+C145</f>
        <v>387316969</v>
      </c>
      <c r="D146" s="329">
        <f>+D125+D145</f>
        <v>658495244</v>
      </c>
      <c r="E146" s="330">
        <f>+E125+E145</f>
        <v>564113492</v>
      </c>
    </row>
    <row r="148" spans="1:5" ht="18.75" customHeight="1">
      <c r="A148" s="703" t="s">
        <v>465</v>
      </c>
      <c r="B148" s="703"/>
      <c r="C148" s="703"/>
      <c r="D148" s="703"/>
      <c r="E148" s="703"/>
    </row>
    <row r="149" spans="1:5" ht="13.5" customHeight="1" thickBot="1">
      <c r="A149" s="357" t="s">
        <v>111</v>
      </c>
      <c r="B149" s="357"/>
      <c r="C149" s="387"/>
      <c r="E149" s="374" t="str">
        <f>E88</f>
        <v>Forintban!</v>
      </c>
    </row>
    <row r="150" spans="1:5" ht="21.75" thickBot="1">
      <c r="A150" s="347">
        <v>1</v>
      </c>
      <c r="B150" s="350" t="s">
        <v>466</v>
      </c>
      <c r="C150" s="373">
        <f>+C61-C125</f>
        <v>-67841000</v>
      </c>
      <c r="D150" s="373">
        <f>+D61-D125</f>
        <v>61320913</v>
      </c>
      <c r="E150" s="373">
        <f>+E61-E125</f>
        <v>98354208</v>
      </c>
    </row>
    <row r="151" spans="1:5" ht="21.75" thickBot="1">
      <c r="A151" s="347" t="s">
        <v>8</v>
      </c>
      <c r="B151" s="350" t="s">
        <v>467</v>
      </c>
      <c r="C151" s="373">
        <f>+C84-C145</f>
        <v>67841000</v>
      </c>
      <c r="D151" s="373">
        <f>+D84-D145</f>
        <v>-61320913</v>
      </c>
      <c r="E151" s="373">
        <f>+E84-E145</f>
        <v>-61320913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6" customFormat="1" ht="12.75" customHeight="1">
      <c r="C161" s="377"/>
      <c r="D161" s="377"/>
      <c r="E161" s="377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Nyírpazony Nagyközség Önkormányzat
2016. ÉVI ZÁRSZÁMADÁS
KÖTELEZŐ FELADATAINAK MÉRLEGE 
&amp;R&amp;"Times New Roman CE,Félkövér dőlt"&amp;11 1.2. melléklet a 7/2017. (IV. 28.)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zoomScaleNormal="130" workbookViewId="0" topLeftCell="A1">
      <selection activeCell="K19" sqref="K1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 t="str">
        <f>'1.tájékoztató'!E2</f>
        <v>Forintban!</v>
      </c>
      <c r="K1" s="719" t="str">
        <f>+CONCATENATE("2. tájékoztató tábla a 7/",LEFT(ÖSSZEFÜGGÉSEK!A4,4)+1,".(IV. 28.) önkormányzati rendelethez")</f>
        <v>2. tájékoztató tábla a 7/2017.(IV. 28.) önkormányzati rendelethez</v>
      </c>
    </row>
    <row r="2" spans="1:11" s="102" customFormat="1" ht="26.25" customHeight="1">
      <c r="A2" s="765" t="s">
        <v>57</v>
      </c>
      <c r="B2" s="767" t="s">
        <v>183</v>
      </c>
      <c r="C2" s="767" t="s">
        <v>184</v>
      </c>
      <c r="D2" s="767" t="s">
        <v>185</v>
      </c>
      <c r="E2" s="767" t="str">
        <f>+CONCATENATE(LEFT(ÖSSZEFÜGGÉSEK!A4,4),". évi teljesítés")</f>
        <v>2016. évi teljesítés</v>
      </c>
      <c r="F2" s="99" t="s">
        <v>186</v>
      </c>
      <c r="G2" s="100"/>
      <c r="H2" s="100"/>
      <c r="I2" s="101"/>
      <c r="J2" s="770" t="s">
        <v>187</v>
      </c>
      <c r="K2" s="719"/>
    </row>
    <row r="3" spans="1:11" s="106" customFormat="1" ht="32.25" customHeight="1" thickBot="1">
      <c r="A3" s="766"/>
      <c r="B3" s="768"/>
      <c r="C3" s="768"/>
      <c r="D3" s="769"/>
      <c r="E3" s="769"/>
      <c r="F3" s="103" t="str">
        <f>+CONCATENATE(LEFT(ÖSSZEFÜGGÉSEK!A4,4)+1,".")</f>
        <v>2017.</v>
      </c>
      <c r="G3" s="104" t="str">
        <f>+CONCATENATE(LEFT(ÖSSZEFÜGGÉSEK!A4,4)+2,".")</f>
        <v>2018.</v>
      </c>
      <c r="H3" s="104" t="str">
        <f>+CONCATENATE(LEFT(ÖSSZEFÜGGÉSEK!A4,4)+3,".")</f>
        <v>2019.</v>
      </c>
      <c r="I3" s="105" t="str">
        <f>+CONCATENATE(LEFT(ÖSSZEFÜGGÉSEK!A4,4)+3,". után")</f>
        <v>2019. után</v>
      </c>
      <c r="J3" s="771"/>
      <c r="K3" s="719"/>
    </row>
    <row r="4" spans="1:11" s="108" customFormat="1" ht="13.5" customHeight="1" thickBot="1">
      <c r="A4" s="568" t="s">
        <v>411</v>
      </c>
      <c r="B4" s="107" t="s">
        <v>583</v>
      </c>
      <c r="C4" s="569" t="s">
        <v>413</v>
      </c>
      <c r="D4" s="569" t="s">
        <v>414</v>
      </c>
      <c r="E4" s="569" t="s">
        <v>415</v>
      </c>
      <c r="F4" s="569" t="s">
        <v>492</v>
      </c>
      <c r="G4" s="569" t="s">
        <v>493</v>
      </c>
      <c r="H4" s="569" t="s">
        <v>494</v>
      </c>
      <c r="I4" s="569" t="s">
        <v>495</v>
      </c>
      <c r="J4" s="570" t="s">
        <v>687</v>
      </c>
      <c r="K4" s="719"/>
    </row>
    <row r="5" spans="1:11" ht="33.75" customHeight="1">
      <c r="A5" s="109" t="s">
        <v>7</v>
      </c>
      <c r="B5" s="110" t="s">
        <v>188</v>
      </c>
      <c r="C5" s="111"/>
      <c r="D5" s="112">
        <f aca="true" t="shared" si="0" ref="D5:I5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aca="true" t="shared" si="1" ref="J5:J17">SUM(F5:I5)</f>
        <v>0</v>
      </c>
      <c r="K5" s="719"/>
    </row>
    <row r="6" spans="1:11" ht="21" customHeight="1">
      <c r="A6" s="115" t="s">
        <v>8</v>
      </c>
      <c r="B6" s="116" t="s">
        <v>189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719"/>
    </row>
    <row r="7" spans="1:11" ht="21" customHeight="1">
      <c r="A7" s="115" t="s">
        <v>9</v>
      </c>
      <c r="B7" s="116" t="s">
        <v>189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719"/>
    </row>
    <row r="8" spans="1:11" ht="36" customHeight="1">
      <c r="A8" s="115" t="s">
        <v>10</v>
      </c>
      <c r="B8" s="119" t="s">
        <v>190</v>
      </c>
      <c r="C8" s="120"/>
      <c r="D8" s="121">
        <f aca="true" t="shared" si="2" ref="D8:I8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719"/>
    </row>
    <row r="9" spans="1:11" ht="21" customHeight="1">
      <c r="A9" s="115" t="s">
        <v>11</v>
      </c>
      <c r="B9" s="116" t="s">
        <v>189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719"/>
    </row>
    <row r="10" spans="1:11" ht="18" customHeight="1">
      <c r="A10" s="115" t="s">
        <v>12</v>
      </c>
      <c r="B10" s="116" t="s">
        <v>189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719"/>
    </row>
    <row r="11" spans="1:11" ht="21" customHeight="1">
      <c r="A11" s="115" t="s">
        <v>13</v>
      </c>
      <c r="B11" s="124" t="s">
        <v>191</v>
      </c>
      <c r="C11" s="120"/>
      <c r="D11" s="121">
        <f aca="true" t="shared" si="3" ref="D11:I11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719"/>
    </row>
    <row r="12" spans="1:11" ht="21" customHeight="1">
      <c r="A12" s="115" t="s">
        <v>14</v>
      </c>
      <c r="B12" s="116" t="s">
        <v>189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719"/>
    </row>
    <row r="13" spans="1:11" ht="21" customHeight="1">
      <c r="A13" s="115" t="s">
        <v>15</v>
      </c>
      <c r="B13" s="124" t="s">
        <v>192</v>
      </c>
      <c r="C13" s="120"/>
      <c r="D13" s="121">
        <f aca="true" t="shared" si="4" ref="D13:I13">SUM(D14:D14)</f>
        <v>231999999</v>
      </c>
      <c r="E13" s="121">
        <f t="shared" si="4"/>
        <v>37315695</v>
      </c>
      <c r="F13" s="121">
        <f t="shared" si="4"/>
        <v>74684305</v>
      </c>
      <c r="G13" s="121">
        <f t="shared" si="4"/>
        <v>40000000</v>
      </c>
      <c r="H13" s="121">
        <f t="shared" si="4"/>
        <v>40000000</v>
      </c>
      <c r="I13" s="122">
        <f t="shared" si="4"/>
        <v>39999999</v>
      </c>
      <c r="J13" s="123">
        <f t="shared" si="1"/>
        <v>194684304</v>
      </c>
      <c r="K13" s="719"/>
    </row>
    <row r="14" spans="1:11" ht="21" customHeight="1">
      <c r="A14" s="115" t="s">
        <v>16</v>
      </c>
      <c r="B14" s="116" t="s">
        <v>795</v>
      </c>
      <c r="C14" s="117">
        <v>2016</v>
      </c>
      <c r="D14" s="2">
        <v>231999999</v>
      </c>
      <c r="E14" s="2">
        <v>37315695</v>
      </c>
      <c r="F14" s="2">
        <v>74684305</v>
      </c>
      <c r="G14" s="2">
        <v>40000000</v>
      </c>
      <c r="H14" s="2">
        <v>40000000</v>
      </c>
      <c r="I14" s="51">
        <v>39999999</v>
      </c>
      <c r="J14" s="118">
        <f t="shared" si="1"/>
        <v>194684304</v>
      </c>
      <c r="K14" s="719"/>
    </row>
    <row r="15" spans="1:11" ht="21" customHeight="1">
      <c r="A15" s="125" t="s">
        <v>17</v>
      </c>
      <c r="B15" s="126" t="s">
        <v>193</v>
      </c>
      <c r="C15" s="127"/>
      <c r="D15" s="128">
        <f aca="true" t="shared" si="5" ref="D15:I1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719"/>
    </row>
    <row r="16" spans="1:11" ht="21" customHeight="1">
      <c r="A16" s="125" t="s">
        <v>18</v>
      </c>
      <c r="B16" s="116" t="s">
        <v>189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719"/>
    </row>
    <row r="17" spans="1:11" ht="21" customHeight="1" thickBot="1">
      <c r="A17" s="125" t="s">
        <v>19</v>
      </c>
      <c r="B17" s="116" t="s">
        <v>189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719"/>
    </row>
    <row r="18" spans="1:11" ht="21" customHeight="1" thickBot="1">
      <c r="A18" s="133" t="s">
        <v>20</v>
      </c>
      <c r="B18" s="134" t="s">
        <v>194</v>
      </c>
      <c r="C18" s="135"/>
      <c r="D18" s="136">
        <f aca="true" t="shared" si="6" ref="D18:J18">D5+D8+D11+D13+D15</f>
        <v>231999999</v>
      </c>
      <c r="E18" s="136">
        <f t="shared" si="6"/>
        <v>37315695</v>
      </c>
      <c r="F18" s="136">
        <f t="shared" si="6"/>
        <v>74684305</v>
      </c>
      <c r="G18" s="136">
        <f t="shared" si="6"/>
        <v>40000000</v>
      </c>
      <c r="H18" s="136">
        <f t="shared" si="6"/>
        <v>40000000</v>
      </c>
      <c r="I18" s="137">
        <f t="shared" si="6"/>
        <v>39999999</v>
      </c>
      <c r="J18" s="138">
        <f t="shared" si="6"/>
        <v>194684304</v>
      </c>
      <c r="K18" s="719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9"/>
  <sheetViews>
    <sheetView zoomScale="130" zoomScaleNormal="130" workbookViewId="0" topLeftCell="A2">
      <selection activeCell="I20" sqref="I20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9"/>
      <c r="H1" s="140" t="str">
        <f>'2. tájékoztató tábla'!J1</f>
        <v>Forintban!</v>
      </c>
      <c r="I1" s="772" t="str">
        <f>+CONCATENATE("3. tájékoztató tábla a 7/",LEFT(ÖSSZEFÜGGÉSEK!A4,4)+1,".(IV. 28.) önkormányzati rendelethez")</f>
        <v>3. tájékoztató tábla a 7/2017.(IV. 28.) önkormányzati rendelethez</v>
      </c>
    </row>
    <row r="2" spans="1:9" s="102" customFormat="1" ht="26.25" customHeight="1">
      <c r="A2" s="740" t="s">
        <v>57</v>
      </c>
      <c r="B2" s="776" t="s">
        <v>195</v>
      </c>
      <c r="C2" s="740" t="s">
        <v>196</v>
      </c>
      <c r="D2" s="740" t="s">
        <v>197</v>
      </c>
      <c r="E2" s="778" t="str">
        <f>+CONCATENATE("Hitel, kölcsön állomány ",LEFT(ÖSSZEFÜGGÉSEK!A4,4),". dec. 31-én")</f>
        <v>Hitel, kölcsön állomány 2016. dec. 31-én</v>
      </c>
      <c r="F2" s="780" t="s">
        <v>198</v>
      </c>
      <c r="G2" s="781"/>
      <c r="H2" s="773" t="str">
        <f>+CONCATENATE(LEFT(ÖSSZEFÜGGÉSEK!A4,4)+2,". után")</f>
        <v>2018. után</v>
      </c>
      <c r="I2" s="772"/>
    </row>
    <row r="3" spans="1:9" s="106" customFormat="1" ht="40.5" customHeight="1" thickBot="1">
      <c r="A3" s="775"/>
      <c r="B3" s="777"/>
      <c r="C3" s="777"/>
      <c r="D3" s="775"/>
      <c r="E3" s="779"/>
      <c r="F3" s="141" t="str">
        <f>+CONCATENATE(LEFT(ÖSSZEFÜGGÉSEK!A4,4)+1,".")</f>
        <v>2017.</v>
      </c>
      <c r="G3" s="142" t="str">
        <f>+CONCATENATE(LEFT(ÖSSZEFÜGGÉSEK!A4,4)+2,".")</f>
        <v>2018.</v>
      </c>
      <c r="H3" s="774"/>
      <c r="I3" s="772"/>
    </row>
    <row r="4" spans="1:9" s="146" customFormat="1" ht="12.75" customHeight="1" thickBot="1">
      <c r="A4" s="143" t="s">
        <v>411</v>
      </c>
      <c r="B4" s="95" t="s">
        <v>412</v>
      </c>
      <c r="C4" s="95" t="s">
        <v>413</v>
      </c>
      <c r="D4" s="144" t="s">
        <v>414</v>
      </c>
      <c r="E4" s="143" t="s">
        <v>415</v>
      </c>
      <c r="F4" s="144" t="s">
        <v>492</v>
      </c>
      <c r="G4" s="144" t="s">
        <v>493</v>
      </c>
      <c r="H4" s="145" t="s">
        <v>494</v>
      </c>
      <c r="I4" s="772"/>
    </row>
    <row r="5" spans="1:9" ht="22.5" customHeight="1" thickBot="1">
      <c r="A5" s="147" t="s">
        <v>7</v>
      </c>
      <c r="B5" s="148" t="s">
        <v>199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72"/>
    </row>
    <row r="6" spans="1:9" ht="22.5" customHeight="1">
      <c r="A6" s="154" t="s">
        <v>8</v>
      </c>
      <c r="B6" s="155" t="s">
        <v>189</v>
      </c>
      <c r="C6" s="156"/>
      <c r="D6" s="157"/>
      <c r="E6" s="158"/>
      <c r="F6" s="2"/>
      <c r="G6" s="2"/>
      <c r="H6" s="159"/>
      <c r="I6" s="772"/>
    </row>
    <row r="7" spans="1:9" ht="22.5" customHeight="1">
      <c r="A7" s="154" t="s">
        <v>9</v>
      </c>
      <c r="B7" s="155" t="s">
        <v>189</v>
      </c>
      <c r="C7" s="156"/>
      <c r="D7" s="157"/>
      <c r="E7" s="158"/>
      <c r="F7" s="2"/>
      <c r="G7" s="2"/>
      <c r="H7" s="159"/>
      <c r="I7" s="772"/>
    </row>
    <row r="8" spans="1:9" ht="22.5" customHeight="1">
      <c r="A8" s="154" t="s">
        <v>10</v>
      </c>
      <c r="B8" s="155" t="s">
        <v>189</v>
      </c>
      <c r="C8" s="156"/>
      <c r="D8" s="157"/>
      <c r="E8" s="158"/>
      <c r="F8" s="2"/>
      <c r="G8" s="2"/>
      <c r="H8" s="159"/>
      <c r="I8" s="772"/>
    </row>
    <row r="9" spans="1:9" ht="22.5" customHeight="1">
      <c r="A9" s="154" t="s">
        <v>11</v>
      </c>
      <c r="B9" s="155" t="s">
        <v>189</v>
      </c>
      <c r="C9" s="156"/>
      <c r="D9" s="157"/>
      <c r="E9" s="158"/>
      <c r="F9" s="2"/>
      <c r="G9" s="2"/>
      <c r="H9" s="159"/>
      <c r="I9" s="772"/>
    </row>
    <row r="10" spans="1:9" ht="22.5" customHeight="1">
      <c r="A10" s="154" t="s">
        <v>12</v>
      </c>
      <c r="B10" s="155" t="s">
        <v>189</v>
      </c>
      <c r="C10" s="156"/>
      <c r="D10" s="157"/>
      <c r="E10" s="158"/>
      <c r="F10" s="2"/>
      <c r="G10" s="2"/>
      <c r="H10" s="159"/>
      <c r="I10" s="772"/>
    </row>
    <row r="11" spans="1:9" ht="22.5" customHeight="1" thickBot="1">
      <c r="A11" s="154" t="s">
        <v>13</v>
      </c>
      <c r="B11" s="155" t="s">
        <v>189</v>
      </c>
      <c r="C11" s="156"/>
      <c r="D11" s="157"/>
      <c r="E11" s="158"/>
      <c r="F11" s="2"/>
      <c r="G11" s="2"/>
      <c r="H11" s="159"/>
      <c r="I11" s="772"/>
    </row>
    <row r="12" spans="1:9" ht="22.5" customHeight="1" thickBot="1">
      <c r="A12" s="147" t="s">
        <v>14</v>
      </c>
      <c r="B12" s="148" t="s">
        <v>200</v>
      </c>
      <c r="C12" s="160"/>
      <c r="D12" s="161"/>
      <c r="E12" s="151">
        <f>SUM(E13:E18)</f>
        <v>0</v>
      </c>
      <c r="F12" s="152">
        <f>SUM(F13:F18)</f>
        <v>0</v>
      </c>
      <c r="G12" s="152">
        <f>SUM(G13:G18)</f>
        <v>0</v>
      </c>
      <c r="H12" s="153">
        <f>SUM(H13:H18)</f>
        <v>0</v>
      </c>
      <c r="I12" s="772"/>
    </row>
    <row r="13" spans="1:9" ht="22.5" customHeight="1">
      <c r="A13" s="154" t="s">
        <v>15</v>
      </c>
      <c r="B13" s="155" t="s">
        <v>189</v>
      </c>
      <c r="C13" s="156"/>
      <c r="D13" s="157"/>
      <c r="E13" s="158"/>
      <c r="F13" s="2"/>
      <c r="G13" s="2"/>
      <c r="H13" s="159"/>
      <c r="I13" s="772"/>
    </row>
    <row r="14" spans="1:9" ht="22.5" customHeight="1">
      <c r="A14" s="154" t="s">
        <v>16</v>
      </c>
      <c r="B14" s="155" t="s">
        <v>189</v>
      </c>
      <c r="C14" s="156"/>
      <c r="D14" s="157"/>
      <c r="E14" s="158"/>
      <c r="F14" s="2"/>
      <c r="G14" s="2"/>
      <c r="H14" s="159"/>
      <c r="I14" s="772"/>
    </row>
    <row r="15" spans="1:9" ht="22.5" customHeight="1">
      <c r="A15" s="154" t="s">
        <v>17</v>
      </c>
      <c r="B15" s="155" t="s">
        <v>189</v>
      </c>
      <c r="C15" s="156"/>
      <c r="D15" s="157"/>
      <c r="E15" s="158"/>
      <c r="F15" s="2"/>
      <c r="G15" s="2"/>
      <c r="H15" s="159"/>
      <c r="I15" s="772"/>
    </row>
    <row r="16" spans="1:9" ht="22.5" customHeight="1">
      <c r="A16" s="154" t="s">
        <v>18</v>
      </c>
      <c r="B16" s="155" t="s">
        <v>189</v>
      </c>
      <c r="C16" s="156"/>
      <c r="D16" s="157"/>
      <c r="E16" s="158"/>
      <c r="F16" s="2"/>
      <c r="G16" s="2"/>
      <c r="H16" s="159"/>
      <c r="I16" s="772"/>
    </row>
    <row r="17" spans="1:9" ht="22.5" customHeight="1">
      <c r="A17" s="154" t="s">
        <v>19</v>
      </c>
      <c r="B17" s="155" t="s">
        <v>189</v>
      </c>
      <c r="C17" s="156"/>
      <c r="D17" s="157"/>
      <c r="E17" s="158"/>
      <c r="F17" s="2"/>
      <c r="G17" s="2"/>
      <c r="H17" s="159"/>
      <c r="I17" s="772"/>
    </row>
    <row r="18" spans="1:9" ht="22.5" customHeight="1" thickBot="1">
      <c r="A18" s="154" t="s">
        <v>20</v>
      </c>
      <c r="B18" s="155" t="s">
        <v>189</v>
      </c>
      <c r="C18" s="156"/>
      <c r="D18" s="157"/>
      <c r="E18" s="158"/>
      <c r="F18" s="2"/>
      <c r="G18" s="2"/>
      <c r="H18" s="159"/>
      <c r="I18" s="772"/>
    </row>
    <row r="19" spans="1:9" ht="22.5" customHeight="1" thickBot="1">
      <c r="A19" s="147" t="s">
        <v>21</v>
      </c>
      <c r="B19" s="148" t="s">
        <v>688</v>
      </c>
      <c r="C19" s="149"/>
      <c r="D19" s="150"/>
      <c r="E19" s="151">
        <f>E5+E12</f>
        <v>0</v>
      </c>
      <c r="F19" s="152">
        <f>F5+F12</f>
        <v>0</v>
      </c>
      <c r="G19" s="152">
        <f>G5+G12</f>
        <v>0</v>
      </c>
      <c r="H19" s="153">
        <f>H5+H12</f>
        <v>0</v>
      </c>
      <c r="I19" s="772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600" verticalDpi="600" orientation="landscape" paperSize="9" scale="9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94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95"/>
      <c r="C1" s="795"/>
      <c r="D1" s="795"/>
      <c r="E1" s="795"/>
      <c r="F1" s="795"/>
      <c r="G1" s="795"/>
      <c r="H1" s="795"/>
      <c r="I1" s="795"/>
      <c r="J1" s="772" t="str">
        <f>+CONCATENATE("4. tájékoztató tábla a 7/",LEFT(ÖSSZEFÜGGÉSEK!A4,4)+1,".(IV. 28.) önkormányzati rendelethez")</f>
        <v>4. tájékoztató tábla a 7/2017.(IV. 28.) önkormányzati rendelethez</v>
      </c>
    </row>
    <row r="2" spans="8:10" ht="14.25" thickBot="1">
      <c r="H2" s="796" t="str">
        <f>'3. tájékoztató tábla'!H1</f>
        <v>Forintban!</v>
      </c>
      <c r="I2" s="796"/>
      <c r="J2" s="772"/>
    </row>
    <row r="3" spans="1:10" ht="13.5" thickBot="1">
      <c r="A3" s="797" t="s">
        <v>5</v>
      </c>
      <c r="B3" s="799" t="s">
        <v>201</v>
      </c>
      <c r="C3" s="801" t="s">
        <v>202</v>
      </c>
      <c r="D3" s="803" t="s">
        <v>203</v>
      </c>
      <c r="E3" s="804"/>
      <c r="F3" s="804"/>
      <c r="G3" s="804"/>
      <c r="H3" s="804"/>
      <c r="I3" s="782" t="s">
        <v>204</v>
      </c>
      <c r="J3" s="772"/>
    </row>
    <row r="4" spans="1:10" s="21" customFormat="1" ht="42" customHeight="1" thickBot="1">
      <c r="A4" s="798"/>
      <c r="B4" s="800"/>
      <c r="C4" s="802"/>
      <c r="D4" s="162" t="s">
        <v>205</v>
      </c>
      <c r="E4" s="162" t="s">
        <v>206</v>
      </c>
      <c r="F4" s="162" t="s">
        <v>207</v>
      </c>
      <c r="G4" s="163" t="s">
        <v>208</v>
      </c>
      <c r="H4" s="163" t="s">
        <v>209</v>
      </c>
      <c r="I4" s="783"/>
      <c r="J4" s="772"/>
    </row>
    <row r="5" spans="1:10" s="21" customFormat="1" ht="12" customHeight="1" thickBot="1">
      <c r="A5" s="564" t="s">
        <v>411</v>
      </c>
      <c r="B5" s="164" t="s">
        <v>412</v>
      </c>
      <c r="C5" s="164" t="s">
        <v>413</v>
      </c>
      <c r="D5" s="164" t="s">
        <v>414</v>
      </c>
      <c r="E5" s="164" t="s">
        <v>415</v>
      </c>
      <c r="F5" s="164" t="s">
        <v>492</v>
      </c>
      <c r="G5" s="164" t="s">
        <v>493</v>
      </c>
      <c r="H5" s="164" t="s">
        <v>584</v>
      </c>
      <c r="I5" s="165" t="s">
        <v>585</v>
      </c>
      <c r="J5" s="772"/>
    </row>
    <row r="6" spans="1:10" s="21" customFormat="1" ht="18" customHeight="1">
      <c r="A6" s="784" t="s">
        <v>210</v>
      </c>
      <c r="B6" s="785"/>
      <c r="C6" s="785"/>
      <c r="D6" s="785"/>
      <c r="E6" s="785"/>
      <c r="F6" s="785"/>
      <c r="G6" s="785"/>
      <c r="H6" s="785"/>
      <c r="I6" s="786"/>
      <c r="J6" s="772"/>
    </row>
    <row r="7" spans="1:10" ht="15.75" customHeight="1">
      <c r="A7" s="34" t="s">
        <v>7</v>
      </c>
      <c r="B7" s="32" t="s">
        <v>211</v>
      </c>
      <c r="C7" s="24"/>
      <c r="D7" s="24"/>
      <c r="E7" s="24"/>
      <c r="F7" s="24"/>
      <c r="G7" s="167"/>
      <c r="H7" s="168">
        <f aca="true" t="shared" si="0" ref="H7:H13">SUM(D7:G7)</f>
        <v>0</v>
      </c>
      <c r="I7" s="35">
        <f aca="true" t="shared" si="1" ref="I7:I13">C7+H7</f>
        <v>0</v>
      </c>
      <c r="J7" s="772"/>
    </row>
    <row r="8" spans="1:10" ht="22.5">
      <c r="A8" s="34" t="s">
        <v>8</v>
      </c>
      <c r="B8" s="32" t="s">
        <v>147</v>
      </c>
      <c r="C8" s="24"/>
      <c r="D8" s="24"/>
      <c r="E8" s="24"/>
      <c r="F8" s="24"/>
      <c r="G8" s="167"/>
      <c r="H8" s="168">
        <f t="shared" si="0"/>
        <v>0</v>
      </c>
      <c r="I8" s="35">
        <f t="shared" si="1"/>
        <v>0</v>
      </c>
      <c r="J8" s="772"/>
    </row>
    <row r="9" spans="1:10" ht="22.5">
      <c r="A9" s="34" t="s">
        <v>9</v>
      </c>
      <c r="B9" s="32" t="s">
        <v>148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72"/>
    </row>
    <row r="10" spans="1:10" ht="15.75" customHeight="1">
      <c r="A10" s="34" t="s">
        <v>10</v>
      </c>
      <c r="B10" s="32" t="s">
        <v>149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72"/>
    </row>
    <row r="11" spans="1:10" ht="22.5">
      <c r="A11" s="34" t="s">
        <v>11</v>
      </c>
      <c r="B11" s="32" t="s">
        <v>150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72"/>
    </row>
    <row r="12" spans="1:10" ht="15.75" customHeight="1">
      <c r="A12" s="36" t="s">
        <v>12</v>
      </c>
      <c r="B12" s="37" t="s">
        <v>212</v>
      </c>
      <c r="C12" s="25">
        <v>12538238</v>
      </c>
      <c r="D12" s="25"/>
      <c r="E12" s="25"/>
      <c r="F12" s="25"/>
      <c r="G12" s="169"/>
      <c r="H12" s="168">
        <f t="shared" si="0"/>
        <v>0</v>
      </c>
      <c r="I12" s="35">
        <f t="shared" si="1"/>
        <v>12538238</v>
      </c>
      <c r="J12" s="772"/>
    </row>
    <row r="13" spans="1:10" ht="15.75" customHeight="1" thickBot="1">
      <c r="A13" s="170" t="s">
        <v>13</v>
      </c>
      <c r="B13" s="171" t="s">
        <v>213</v>
      </c>
      <c r="C13" s="173"/>
      <c r="D13" s="173"/>
      <c r="E13" s="173"/>
      <c r="F13" s="173"/>
      <c r="G13" s="174"/>
      <c r="H13" s="168">
        <f t="shared" si="0"/>
        <v>0</v>
      </c>
      <c r="I13" s="35">
        <f t="shared" si="1"/>
        <v>0</v>
      </c>
      <c r="J13" s="772"/>
    </row>
    <row r="14" spans="1:10" s="26" customFormat="1" ht="18" customHeight="1" thickBot="1">
      <c r="A14" s="787" t="s">
        <v>214</v>
      </c>
      <c r="B14" s="788"/>
      <c r="C14" s="38">
        <f aca="true" t="shared" si="2" ref="C14:I14">SUM(C7:C13)</f>
        <v>12538238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75">
        <f t="shared" si="2"/>
        <v>0</v>
      </c>
      <c r="H14" s="175">
        <f t="shared" si="2"/>
        <v>0</v>
      </c>
      <c r="I14" s="39">
        <f t="shared" si="2"/>
        <v>12538238</v>
      </c>
      <c r="J14" s="772"/>
    </row>
    <row r="15" spans="1:10" s="23" customFormat="1" ht="18" customHeight="1">
      <c r="A15" s="789" t="s">
        <v>215</v>
      </c>
      <c r="B15" s="790"/>
      <c r="C15" s="790"/>
      <c r="D15" s="790"/>
      <c r="E15" s="790"/>
      <c r="F15" s="790"/>
      <c r="G15" s="790"/>
      <c r="H15" s="790"/>
      <c r="I15" s="791"/>
      <c r="J15" s="772"/>
    </row>
    <row r="16" spans="1:10" s="23" customFormat="1" ht="12.75">
      <c r="A16" s="34" t="s">
        <v>7</v>
      </c>
      <c r="B16" s="32" t="s">
        <v>216</v>
      </c>
      <c r="C16" s="24"/>
      <c r="D16" s="24"/>
      <c r="E16" s="24"/>
      <c r="F16" s="24"/>
      <c r="G16" s="167"/>
      <c r="H16" s="168">
        <f>SUM(D16:G16)</f>
        <v>0</v>
      </c>
      <c r="I16" s="35">
        <f>C16+H16</f>
        <v>0</v>
      </c>
      <c r="J16" s="772"/>
    </row>
    <row r="17" spans="1:10" ht="13.5" thickBot="1">
      <c r="A17" s="170" t="s">
        <v>8</v>
      </c>
      <c r="B17" s="171" t="s">
        <v>213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772"/>
    </row>
    <row r="18" spans="1:10" ht="15.75" customHeight="1" thickBot="1">
      <c r="A18" s="787" t="s">
        <v>217</v>
      </c>
      <c r="B18" s="788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75">
        <f t="shared" si="3"/>
        <v>0</v>
      </c>
      <c r="H18" s="175">
        <f t="shared" si="3"/>
        <v>0</v>
      </c>
      <c r="I18" s="39">
        <f t="shared" si="3"/>
        <v>0</v>
      </c>
      <c r="J18" s="772"/>
    </row>
    <row r="19" spans="1:10" ht="18" customHeight="1" thickBot="1">
      <c r="A19" s="792" t="s">
        <v>218</v>
      </c>
      <c r="B19" s="793"/>
      <c r="C19" s="177">
        <f aca="true" t="shared" si="4" ref="C19:I19">C14+C18</f>
        <v>12538238</v>
      </c>
      <c r="D19" s="177">
        <f t="shared" si="4"/>
        <v>0</v>
      </c>
      <c r="E19" s="177">
        <f t="shared" si="4"/>
        <v>0</v>
      </c>
      <c r="F19" s="177">
        <f t="shared" si="4"/>
        <v>0</v>
      </c>
      <c r="G19" s="177">
        <f t="shared" si="4"/>
        <v>0</v>
      </c>
      <c r="H19" s="177">
        <f t="shared" si="4"/>
        <v>0</v>
      </c>
      <c r="I19" s="39">
        <f t="shared" si="4"/>
        <v>12538238</v>
      </c>
      <c r="J19" s="772"/>
    </row>
  </sheetData>
  <sheetProtection/>
  <mergeCells count="13">
    <mergeCell ref="B3:B4"/>
    <mergeCell ref="C3:C4"/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75" workbookViewId="0" topLeftCell="A1">
      <selection activeCell="C2" sqref="C2"/>
    </sheetView>
  </sheetViews>
  <sheetFormatPr defaultColWidth="9.00390625" defaultRowHeight="12.75"/>
  <cols>
    <col min="1" max="1" width="5.875" style="19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9"/>
      <c r="B1" s="139" t="s">
        <v>749</v>
      </c>
      <c r="D1" s="140" t="str">
        <f>'3. tájékoztató tábla'!H1</f>
        <v>Forintban!</v>
      </c>
    </row>
    <row r="2" spans="1:4" s="21" customFormat="1" ht="48" customHeight="1" thickBot="1">
      <c r="A2" s="178" t="s">
        <v>5</v>
      </c>
      <c r="B2" s="162" t="s">
        <v>6</v>
      </c>
      <c r="C2" s="162" t="s">
        <v>219</v>
      </c>
      <c r="D2" s="179" t="s">
        <v>220</v>
      </c>
    </row>
    <row r="3" spans="1:4" s="21" customFormat="1" ht="13.5" customHeight="1" thickBot="1">
      <c r="A3" s="180" t="s">
        <v>411</v>
      </c>
      <c r="B3" s="181" t="s">
        <v>412</v>
      </c>
      <c r="C3" s="181" t="s">
        <v>413</v>
      </c>
      <c r="D3" s="182" t="s">
        <v>414</v>
      </c>
    </row>
    <row r="4" spans="1:4" ht="18" customHeight="1">
      <c r="A4" s="183" t="s">
        <v>7</v>
      </c>
      <c r="B4" s="184" t="s">
        <v>221</v>
      </c>
      <c r="C4" s="669"/>
      <c r="D4" s="670"/>
    </row>
    <row r="5" spans="1:4" ht="18" customHeight="1">
      <c r="A5" s="185" t="s">
        <v>8</v>
      </c>
      <c r="B5" s="186" t="s">
        <v>222</v>
      </c>
      <c r="C5" s="671"/>
      <c r="D5" s="672"/>
    </row>
    <row r="6" spans="1:4" ht="18" customHeight="1">
      <c r="A6" s="185" t="s">
        <v>9</v>
      </c>
      <c r="B6" s="186" t="s">
        <v>223</v>
      </c>
      <c r="C6" s="671"/>
      <c r="D6" s="672"/>
    </row>
    <row r="7" spans="1:4" ht="18" customHeight="1">
      <c r="A7" s="185" t="s">
        <v>10</v>
      </c>
      <c r="B7" s="186" t="s">
        <v>224</v>
      </c>
      <c r="C7" s="671"/>
      <c r="D7" s="672"/>
    </row>
    <row r="8" spans="1:4" ht="18" customHeight="1">
      <c r="A8" s="187" t="s">
        <v>11</v>
      </c>
      <c r="B8" s="186" t="s">
        <v>225</v>
      </c>
      <c r="C8" s="671"/>
      <c r="D8" s="672"/>
    </row>
    <row r="9" spans="1:4" ht="18" customHeight="1">
      <c r="A9" s="185" t="s">
        <v>12</v>
      </c>
      <c r="B9" s="186" t="s">
        <v>226</v>
      </c>
      <c r="C9" s="671"/>
      <c r="D9" s="672"/>
    </row>
    <row r="10" spans="1:4" ht="18" customHeight="1">
      <c r="A10" s="187" t="s">
        <v>13</v>
      </c>
      <c r="B10" s="188" t="s">
        <v>227</v>
      </c>
      <c r="C10" s="671"/>
      <c r="D10" s="672"/>
    </row>
    <row r="11" spans="1:4" ht="18" customHeight="1">
      <c r="A11" s="187" t="s">
        <v>14</v>
      </c>
      <c r="B11" s="188" t="s">
        <v>228</v>
      </c>
      <c r="C11" s="671"/>
      <c r="D11" s="672"/>
    </row>
    <row r="12" spans="1:4" ht="18" customHeight="1">
      <c r="A12" s="185" t="s">
        <v>15</v>
      </c>
      <c r="B12" s="188" t="s">
        <v>229</v>
      </c>
      <c r="C12" s="671"/>
      <c r="D12" s="672"/>
    </row>
    <row r="13" spans="1:4" ht="18" customHeight="1">
      <c r="A13" s="187" t="s">
        <v>16</v>
      </c>
      <c r="B13" s="188" t="s">
        <v>230</v>
      </c>
      <c r="C13" s="671"/>
      <c r="D13" s="672"/>
    </row>
    <row r="14" spans="1:4" ht="22.5">
      <c r="A14" s="185" t="s">
        <v>17</v>
      </c>
      <c r="B14" s="188" t="s">
        <v>231</v>
      </c>
      <c r="C14" s="671"/>
      <c r="D14" s="672"/>
    </row>
    <row r="15" spans="1:4" ht="18" customHeight="1">
      <c r="A15" s="187" t="s">
        <v>18</v>
      </c>
      <c r="B15" s="186" t="s">
        <v>232</v>
      </c>
      <c r="C15" s="671"/>
      <c r="D15" s="672"/>
    </row>
    <row r="16" spans="1:4" ht="18" customHeight="1">
      <c r="A16" s="185" t="s">
        <v>19</v>
      </c>
      <c r="B16" s="186" t="s">
        <v>233</v>
      </c>
      <c r="C16" s="671"/>
      <c r="D16" s="672"/>
    </row>
    <row r="17" spans="1:4" ht="18" customHeight="1">
      <c r="A17" s="187" t="s">
        <v>20</v>
      </c>
      <c r="B17" s="186" t="s">
        <v>234</v>
      </c>
      <c r="C17" s="671"/>
      <c r="D17" s="672"/>
    </row>
    <row r="18" spans="1:4" ht="18" customHeight="1">
      <c r="A18" s="185" t="s">
        <v>21</v>
      </c>
      <c r="B18" s="186" t="s">
        <v>235</v>
      </c>
      <c r="C18" s="671"/>
      <c r="D18" s="672"/>
    </row>
    <row r="19" spans="1:4" ht="18" customHeight="1">
      <c r="A19" s="187" t="s">
        <v>22</v>
      </c>
      <c r="B19" s="186" t="s">
        <v>236</v>
      </c>
      <c r="C19" s="671"/>
      <c r="D19" s="672"/>
    </row>
    <row r="20" spans="1:4" ht="18" customHeight="1">
      <c r="A20" s="185" t="s">
        <v>23</v>
      </c>
      <c r="B20" s="166"/>
      <c r="C20" s="671"/>
      <c r="D20" s="672"/>
    </row>
    <row r="21" spans="1:4" ht="18" customHeight="1">
      <c r="A21" s="187" t="s">
        <v>24</v>
      </c>
      <c r="B21" s="166"/>
      <c r="C21" s="671"/>
      <c r="D21" s="672"/>
    </row>
    <row r="22" spans="1:4" ht="18" customHeight="1">
      <c r="A22" s="185" t="s">
        <v>25</v>
      </c>
      <c r="B22" s="166"/>
      <c r="C22" s="671"/>
      <c r="D22" s="672"/>
    </row>
    <row r="23" spans="1:4" ht="18" customHeight="1">
      <c r="A23" s="187" t="s">
        <v>26</v>
      </c>
      <c r="B23" s="166"/>
      <c r="C23" s="671"/>
      <c r="D23" s="672"/>
    </row>
    <row r="24" spans="1:4" ht="18" customHeight="1">
      <c r="A24" s="185" t="s">
        <v>27</v>
      </c>
      <c r="B24" s="166"/>
      <c r="C24" s="671"/>
      <c r="D24" s="672"/>
    </row>
    <row r="25" spans="1:4" ht="18" customHeight="1">
      <c r="A25" s="187" t="s">
        <v>28</v>
      </c>
      <c r="B25" s="166"/>
      <c r="C25" s="671"/>
      <c r="D25" s="672"/>
    </row>
    <row r="26" spans="1:4" ht="18" customHeight="1">
      <c r="A26" s="185" t="s">
        <v>29</v>
      </c>
      <c r="B26" s="166"/>
      <c r="C26" s="671"/>
      <c r="D26" s="672"/>
    </row>
    <row r="27" spans="1:4" ht="18" customHeight="1">
      <c r="A27" s="187" t="s">
        <v>30</v>
      </c>
      <c r="B27" s="166"/>
      <c r="C27" s="671"/>
      <c r="D27" s="672"/>
    </row>
    <row r="28" spans="1:4" ht="18" customHeight="1" thickBot="1">
      <c r="A28" s="189" t="s">
        <v>31</v>
      </c>
      <c r="B28" s="172"/>
      <c r="C28" s="673"/>
      <c r="D28" s="674"/>
    </row>
    <row r="29" spans="1:4" ht="18" customHeight="1" thickBot="1">
      <c r="A29" s="280" t="s">
        <v>32</v>
      </c>
      <c r="B29" s="281" t="s">
        <v>40</v>
      </c>
      <c r="C29" s="675">
        <f>+C4+C5+C6+C7+C8+C15+C16+C17+C18+C19+C20+C21+C22+C23+C24+C25+C26+C27+C28</f>
        <v>0</v>
      </c>
      <c r="D29" s="676">
        <f>+D4+D5+D6+D7+D8+D15+D16+D17+D18+D19+D20+D21+D22+D23+D24+D25+D26+D27+D28</f>
        <v>0</v>
      </c>
    </row>
    <row r="30" spans="1:4" ht="25.5" customHeight="1">
      <c r="A30" s="190"/>
      <c r="B30" s="805" t="s">
        <v>237</v>
      </c>
      <c r="C30" s="805"/>
      <c r="D30" s="805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7/2017. (IV. 28.)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15" workbookViewId="0" topLeftCell="A1">
      <selection activeCell="E7" sqref="E7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2"/>
      <c r="D1" s="192"/>
      <c r="E1" s="192" t="str">
        <f>'5. tájékoztató tábla'!D1</f>
        <v>Forintban!</v>
      </c>
    </row>
    <row r="2" spans="1:5" ht="42.75" customHeight="1" thickBot="1">
      <c r="A2" s="193" t="s">
        <v>57</v>
      </c>
      <c r="B2" s="194" t="s">
        <v>238</v>
      </c>
      <c r="C2" s="194" t="s">
        <v>239</v>
      </c>
      <c r="D2" s="195" t="s">
        <v>240</v>
      </c>
      <c r="E2" s="196" t="s">
        <v>241</v>
      </c>
    </row>
    <row r="3" spans="1:5" ht="15.75" customHeight="1">
      <c r="A3" s="197" t="s">
        <v>7</v>
      </c>
      <c r="B3" s="699" t="s">
        <v>784</v>
      </c>
      <c r="C3" s="699" t="s">
        <v>789</v>
      </c>
      <c r="D3" s="198">
        <v>200000</v>
      </c>
      <c r="E3" s="199">
        <v>200000</v>
      </c>
    </row>
    <row r="4" spans="1:5" ht="15.75" customHeight="1">
      <c r="A4" s="200" t="s">
        <v>8</v>
      </c>
      <c r="B4" s="201" t="s">
        <v>785</v>
      </c>
      <c r="C4" s="201" t="s">
        <v>790</v>
      </c>
      <c r="D4" s="202">
        <v>1934000</v>
      </c>
      <c r="E4" s="203">
        <v>1934000</v>
      </c>
    </row>
    <row r="5" spans="1:5" ht="15.75" customHeight="1">
      <c r="A5" s="200" t="s">
        <v>9</v>
      </c>
      <c r="B5" s="201" t="s">
        <v>785</v>
      </c>
      <c r="C5" s="201" t="s">
        <v>791</v>
      </c>
      <c r="D5" s="202">
        <v>2800000</v>
      </c>
      <c r="E5" s="203">
        <v>2800000</v>
      </c>
    </row>
    <row r="6" spans="1:5" ht="15.75" customHeight="1">
      <c r="A6" s="200" t="s">
        <v>10</v>
      </c>
      <c r="B6" s="201" t="s">
        <v>786</v>
      </c>
      <c r="C6" s="201" t="s">
        <v>792</v>
      </c>
      <c r="D6" s="202">
        <v>100000</v>
      </c>
      <c r="E6" s="203">
        <v>100000</v>
      </c>
    </row>
    <row r="7" spans="1:5" ht="15.75" customHeight="1">
      <c r="A7" s="701" t="s">
        <v>11</v>
      </c>
      <c r="B7" s="201" t="s">
        <v>787</v>
      </c>
      <c r="C7" s="201" t="s">
        <v>793</v>
      </c>
      <c r="D7" s="202">
        <v>20059000</v>
      </c>
      <c r="E7" s="203">
        <v>16823445</v>
      </c>
    </row>
    <row r="8" spans="1:5" ht="15.75" customHeight="1">
      <c r="A8" s="701" t="s">
        <v>12</v>
      </c>
      <c r="B8" s="698" t="s">
        <v>794</v>
      </c>
      <c r="C8" s="201" t="s">
        <v>789</v>
      </c>
      <c r="D8" s="202">
        <v>100000</v>
      </c>
      <c r="E8" s="203">
        <v>100000</v>
      </c>
    </row>
    <row r="9" spans="1:5" ht="15.75" customHeight="1">
      <c r="A9" s="701" t="s">
        <v>13</v>
      </c>
      <c r="B9" s="700" t="s">
        <v>788</v>
      </c>
      <c r="C9" s="201" t="s">
        <v>792</v>
      </c>
      <c r="D9" s="202">
        <v>200000</v>
      </c>
      <c r="E9" s="203">
        <v>200000</v>
      </c>
    </row>
    <row r="10" spans="1:5" ht="15.75" customHeight="1">
      <c r="A10" s="701" t="s">
        <v>14</v>
      </c>
      <c r="B10" s="201"/>
      <c r="C10" s="201"/>
      <c r="D10" s="202"/>
      <c r="E10" s="203"/>
    </row>
    <row r="11" spans="1:5" ht="15.75" customHeight="1">
      <c r="A11" s="200" t="s">
        <v>15</v>
      </c>
      <c r="B11" s="201"/>
      <c r="C11" s="201"/>
      <c r="D11" s="202"/>
      <c r="E11" s="203"/>
    </row>
    <row r="12" spans="1:5" ht="15.75" customHeight="1">
      <c r="A12" s="200" t="s">
        <v>16</v>
      </c>
      <c r="B12" s="201"/>
      <c r="C12" s="201"/>
      <c r="D12" s="202"/>
      <c r="E12" s="203"/>
    </row>
    <row r="13" spans="1:5" ht="15.75" customHeight="1">
      <c r="A13" s="200" t="s">
        <v>17</v>
      </c>
      <c r="B13" s="201"/>
      <c r="C13" s="201"/>
      <c r="D13" s="202"/>
      <c r="E13" s="203"/>
    </row>
    <row r="14" spans="1:5" ht="15.75" customHeight="1">
      <c r="A14" s="200" t="s">
        <v>18</v>
      </c>
      <c r="B14" s="201"/>
      <c r="C14" s="201"/>
      <c r="D14" s="202"/>
      <c r="E14" s="203"/>
    </row>
    <row r="15" spans="1:5" ht="15.75" customHeight="1">
      <c r="A15" s="200" t="s">
        <v>19</v>
      </c>
      <c r="B15" s="201"/>
      <c r="C15" s="201"/>
      <c r="D15" s="202"/>
      <c r="E15" s="203"/>
    </row>
    <row r="16" spans="1:5" ht="15.75" customHeight="1">
      <c r="A16" s="200" t="s">
        <v>20</v>
      </c>
      <c r="B16" s="201"/>
      <c r="C16" s="201"/>
      <c r="D16" s="202"/>
      <c r="E16" s="203"/>
    </row>
    <row r="17" spans="1:5" ht="15.75" customHeight="1">
      <c r="A17" s="200" t="s">
        <v>21</v>
      </c>
      <c r="B17" s="201"/>
      <c r="C17" s="201"/>
      <c r="D17" s="202"/>
      <c r="E17" s="203"/>
    </row>
    <row r="18" spans="1:5" ht="15.75" customHeight="1">
      <c r="A18" s="200" t="s">
        <v>22</v>
      </c>
      <c r="B18" s="201"/>
      <c r="C18" s="201"/>
      <c r="D18" s="202"/>
      <c r="E18" s="203"/>
    </row>
    <row r="19" spans="1:5" ht="15.75" customHeight="1">
      <c r="A19" s="200" t="s">
        <v>23</v>
      </c>
      <c r="B19" s="201"/>
      <c r="C19" s="201"/>
      <c r="D19" s="202"/>
      <c r="E19" s="203"/>
    </row>
    <row r="20" spans="1:5" ht="15.75" customHeight="1">
      <c r="A20" s="200" t="s">
        <v>24</v>
      </c>
      <c r="B20" s="201"/>
      <c r="C20" s="201"/>
      <c r="D20" s="202"/>
      <c r="E20" s="203"/>
    </row>
    <row r="21" spans="1:5" ht="15.75" customHeight="1">
      <c r="A21" s="200" t="s">
        <v>25</v>
      </c>
      <c r="B21" s="201"/>
      <c r="C21" s="201"/>
      <c r="D21" s="202"/>
      <c r="E21" s="203"/>
    </row>
    <row r="22" spans="1:5" ht="15.75" customHeight="1">
      <c r="A22" s="200" t="s">
        <v>26</v>
      </c>
      <c r="B22" s="201"/>
      <c r="C22" s="201"/>
      <c r="D22" s="202"/>
      <c r="E22" s="203"/>
    </row>
    <row r="23" spans="1:5" ht="15.75" customHeight="1">
      <c r="A23" s="200" t="s">
        <v>27</v>
      </c>
      <c r="B23" s="201"/>
      <c r="C23" s="201"/>
      <c r="D23" s="202"/>
      <c r="E23" s="203"/>
    </row>
    <row r="24" spans="1:5" ht="15.75" customHeight="1">
      <c r="A24" s="200" t="s">
        <v>28</v>
      </c>
      <c r="B24" s="201"/>
      <c r="C24" s="201"/>
      <c r="D24" s="202"/>
      <c r="E24" s="203"/>
    </row>
    <row r="25" spans="1:5" ht="15.75" customHeight="1">
      <c r="A25" s="200" t="s">
        <v>29</v>
      </c>
      <c r="B25" s="201"/>
      <c r="C25" s="201"/>
      <c r="D25" s="202"/>
      <c r="E25" s="203"/>
    </row>
    <row r="26" spans="1:5" ht="15.75" customHeight="1">
      <c r="A26" s="200" t="s">
        <v>30</v>
      </c>
      <c r="B26" s="201"/>
      <c r="C26" s="201"/>
      <c r="D26" s="202"/>
      <c r="E26" s="203"/>
    </row>
    <row r="27" spans="1:5" ht="15.75" customHeight="1">
      <c r="A27" s="200" t="s">
        <v>31</v>
      </c>
      <c r="B27" s="201"/>
      <c r="C27" s="201"/>
      <c r="D27" s="202"/>
      <c r="E27" s="203"/>
    </row>
    <row r="28" spans="1:5" ht="15.75" customHeight="1">
      <c r="A28" s="200" t="s">
        <v>32</v>
      </c>
      <c r="B28" s="201"/>
      <c r="C28" s="201"/>
      <c r="D28" s="202"/>
      <c r="E28" s="203"/>
    </row>
    <row r="29" spans="1:5" ht="15.75" customHeight="1">
      <c r="A29" s="200" t="s">
        <v>33</v>
      </c>
      <c r="B29" s="201"/>
      <c r="C29" s="201"/>
      <c r="D29" s="202"/>
      <c r="E29" s="203"/>
    </row>
    <row r="30" spans="1:5" ht="15.75" customHeight="1">
      <c r="A30" s="200" t="s">
        <v>34</v>
      </c>
      <c r="B30" s="201"/>
      <c r="C30" s="201"/>
      <c r="D30" s="202"/>
      <c r="E30" s="203"/>
    </row>
    <row r="31" spans="1:5" ht="15.75" customHeight="1">
      <c r="A31" s="200" t="s">
        <v>35</v>
      </c>
      <c r="B31" s="201"/>
      <c r="C31" s="201"/>
      <c r="D31" s="202"/>
      <c r="E31" s="203"/>
    </row>
    <row r="32" spans="1:5" ht="15.75" customHeight="1">
      <c r="A32" s="200" t="s">
        <v>89</v>
      </c>
      <c r="B32" s="201"/>
      <c r="C32" s="201"/>
      <c r="D32" s="202"/>
      <c r="E32" s="203"/>
    </row>
    <row r="33" spans="1:5" ht="15.75" customHeight="1">
      <c r="A33" s="200" t="s">
        <v>182</v>
      </c>
      <c r="B33" s="201"/>
      <c r="C33" s="201"/>
      <c r="D33" s="202"/>
      <c r="E33" s="203"/>
    </row>
    <row r="34" spans="1:5" ht="15.75" customHeight="1">
      <c r="A34" s="200" t="s">
        <v>242</v>
      </c>
      <c r="B34" s="201"/>
      <c r="C34" s="201"/>
      <c r="D34" s="202"/>
      <c r="E34" s="203"/>
    </row>
    <row r="35" spans="1:5" ht="15.75" customHeight="1" thickBot="1">
      <c r="A35" s="204" t="s">
        <v>243</v>
      </c>
      <c r="B35" s="205"/>
      <c r="C35" s="205"/>
      <c r="D35" s="206"/>
      <c r="E35" s="207"/>
    </row>
    <row r="36" spans="1:5" ht="15.75" customHeight="1" thickBot="1">
      <c r="A36" s="806" t="s">
        <v>40</v>
      </c>
      <c r="B36" s="807"/>
      <c r="C36" s="208"/>
      <c r="D36" s="209">
        <f>SUM(D3:D35)</f>
        <v>25393000</v>
      </c>
      <c r="E36" s="210">
        <f>SUM(E3:E35)</f>
        <v>22157445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7/2017. (IV. 28.)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30" zoomScaleSheetLayoutView="120" workbookViewId="0" topLeftCell="A28">
      <selection activeCell="D9" sqref="D9"/>
    </sheetView>
  </sheetViews>
  <sheetFormatPr defaultColWidth="12.00390625" defaultRowHeight="12.75"/>
  <cols>
    <col min="1" max="1" width="67.125" style="597" customWidth="1"/>
    <col min="2" max="2" width="6.125" style="598" customWidth="1"/>
    <col min="3" max="4" width="12.125" style="597" customWidth="1"/>
    <col min="5" max="5" width="12.125" style="613" customWidth="1"/>
    <col min="6" max="16384" width="12.00390625" style="597" customWidth="1"/>
  </cols>
  <sheetData>
    <row r="1" spans="1:5" ht="49.5" customHeight="1">
      <c r="A1" s="809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810"/>
      <c r="C1" s="810"/>
      <c r="D1" s="810"/>
      <c r="E1" s="810"/>
    </row>
    <row r="2" spans="3:5" ht="16.5" thickBot="1">
      <c r="C2" s="811" t="str">
        <f>'6. tájékoztató tábla'!E1</f>
        <v>Forintban!</v>
      </c>
      <c r="D2" s="811"/>
      <c r="E2" s="811"/>
    </row>
    <row r="3" spans="1:5" ht="15.75" customHeight="1">
      <c r="A3" s="812" t="s">
        <v>244</v>
      </c>
      <c r="B3" s="815" t="s">
        <v>245</v>
      </c>
      <c r="C3" s="818" t="s">
        <v>246</v>
      </c>
      <c r="D3" s="818" t="s">
        <v>247</v>
      </c>
      <c r="E3" s="820" t="s">
        <v>248</v>
      </c>
    </row>
    <row r="4" spans="1:5" ht="11.25" customHeight="1">
      <c r="A4" s="813"/>
      <c r="B4" s="816"/>
      <c r="C4" s="819"/>
      <c r="D4" s="819"/>
      <c r="E4" s="821"/>
    </row>
    <row r="5" spans="1:5" ht="15.75">
      <c r="A5" s="814"/>
      <c r="B5" s="817"/>
      <c r="C5" s="822" t="s">
        <v>249</v>
      </c>
      <c r="D5" s="822"/>
      <c r="E5" s="823"/>
    </row>
    <row r="6" spans="1:5" s="602" customFormat="1" ht="16.5" thickBot="1">
      <c r="A6" s="599" t="s">
        <v>648</v>
      </c>
      <c r="B6" s="600" t="s">
        <v>412</v>
      </c>
      <c r="C6" s="600" t="s">
        <v>413</v>
      </c>
      <c r="D6" s="600" t="s">
        <v>414</v>
      </c>
      <c r="E6" s="601" t="s">
        <v>415</v>
      </c>
    </row>
    <row r="7" spans="1:5" s="605" customFormat="1" ht="15.75">
      <c r="A7" s="603" t="s">
        <v>586</v>
      </c>
      <c r="B7" s="604" t="s">
        <v>250</v>
      </c>
      <c r="C7" s="677">
        <v>796580</v>
      </c>
      <c r="D7" s="677">
        <v>133330</v>
      </c>
      <c r="E7" s="678"/>
    </row>
    <row r="8" spans="1:5" s="605" customFormat="1" ht="15.75">
      <c r="A8" s="606" t="s">
        <v>587</v>
      </c>
      <c r="B8" s="223" t="s">
        <v>251</v>
      </c>
      <c r="C8" s="679">
        <f>+C9+C14+C19+C24+C29</f>
        <v>2159021269</v>
      </c>
      <c r="D8" s="679">
        <f>+D9+D14+D19+D24+D29</f>
        <v>1500932705</v>
      </c>
      <c r="E8" s="680">
        <f>+E9+E14+E19+E24+E29</f>
        <v>0</v>
      </c>
    </row>
    <row r="9" spans="1:5" s="605" customFormat="1" ht="15.75">
      <c r="A9" s="606" t="s">
        <v>588</v>
      </c>
      <c r="B9" s="223" t="s">
        <v>252</v>
      </c>
      <c r="C9" s="679">
        <f>+C10+C11+C12+C13</f>
        <v>2003571344</v>
      </c>
      <c r="D9" s="679">
        <f>+D10+D11+D12+D13</f>
        <v>1396703536</v>
      </c>
      <c r="E9" s="680">
        <f>+E10+E11+E12+E13</f>
        <v>0</v>
      </c>
    </row>
    <row r="10" spans="1:5" s="605" customFormat="1" ht="15.75">
      <c r="A10" s="607" t="s">
        <v>589</v>
      </c>
      <c r="B10" s="223" t="s">
        <v>253</v>
      </c>
      <c r="C10" s="681">
        <v>735406476</v>
      </c>
      <c r="D10" s="681">
        <v>537069646</v>
      </c>
      <c r="E10" s="682"/>
    </row>
    <row r="11" spans="1:5" s="605" customFormat="1" ht="26.25" customHeight="1">
      <c r="A11" s="607" t="s">
        <v>590</v>
      </c>
      <c r="B11" s="223" t="s">
        <v>254</v>
      </c>
      <c r="C11" s="683"/>
      <c r="D11" s="683"/>
      <c r="E11" s="684"/>
    </row>
    <row r="12" spans="1:5" s="605" customFormat="1" ht="22.5">
      <c r="A12" s="607" t="s">
        <v>591</v>
      </c>
      <c r="B12" s="223" t="s">
        <v>255</v>
      </c>
      <c r="C12" s="683">
        <v>1237265967</v>
      </c>
      <c r="D12" s="683">
        <v>832141072</v>
      </c>
      <c r="E12" s="684"/>
    </row>
    <row r="13" spans="1:5" s="605" customFormat="1" ht="15.75">
      <c r="A13" s="607" t="s">
        <v>592</v>
      </c>
      <c r="B13" s="223" t="s">
        <v>256</v>
      </c>
      <c r="C13" s="683">
        <v>30898901</v>
      </c>
      <c r="D13" s="683">
        <v>27492818</v>
      </c>
      <c r="E13" s="684"/>
    </row>
    <row r="14" spans="1:5" s="605" customFormat="1" ht="15.75">
      <c r="A14" s="606" t="s">
        <v>593</v>
      </c>
      <c r="B14" s="223" t="s">
        <v>257</v>
      </c>
      <c r="C14" s="685">
        <f>+C15+C16+C17+C18</f>
        <v>80004080</v>
      </c>
      <c r="D14" s="685">
        <f>+D15+D16+D17+D18</f>
        <v>28783324</v>
      </c>
      <c r="E14" s="686">
        <f>+E15+E16+E17+E18</f>
        <v>0</v>
      </c>
    </row>
    <row r="15" spans="1:5" s="605" customFormat="1" ht="15.75">
      <c r="A15" s="607" t="s">
        <v>594</v>
      </c>
      <c r="B15" s="223" t="s">
        <v>258</v>
      </c>
      <c r="C15" s="683"/>
      <c r="D15" s="683"/>
      <c r="E15" s="684"/>
    </row>
    <row r="16" spans="1:5" s="605" customFormat="1" ht="22.5">
      <c r="A16" s="607" t="s">
        <v>595</v>
      </c>
      <c r="B16" s="223" t="s">
        <v>16</v>
      </c>
      <c r="C16" s="683"/>
      <c r="D16" s="683"/>
      <c r="E16" s="684"/>
    </row>
    <row r="17" spans="1:5" s="605" customFormat="1" ht="15.75">
      <c r="A17" s="607" t="s">
        <v>596</v>
      </c>
      <c r="B17" s="223" t="s">
        <v>17</v>
      </c>
      <c r="C17" s="683"/>
      <c r="D17" s="683"/>
      <c r="E17" s="684"/>
    </row>
    <row r="18" spans="1:5" s="605" customFormat="1" ht="15.75">
      <c r="A18" s="607" t="s">
        <v>597</v>
      </c>
      <c r="B18" s="223" t="s">
        <v>18</v>
      </c>
      <c r="C18" s="683">
        <v>80004080</v>
      </c>
      <c r="D18" s="683">
        <v>28783324</v>
      </c>
      <c r="E18" s="684"/>
    </row>
    <row r="19" spans="1:5" s="605" customFormat="1" ht="15.75">
      <c r="A19" s="606" t="s">
        <v>598</v>
      </c>
      <c r="B19" s="223" t="s">
        <v>19</v>
      </c>
      <c r="C19" s="685">
        <f>+C20+C21+C22+C23</f>
        <v>0</v>
      </c>
      <c r="D19" s="685">
        <f>+D20+D21+D22+D23</f>
        <v>0</v>
      </c>
      <c r="E19" s="686">
        <f>+E20+E21+E22+E23</f>
        <v>0</v>
      </c>
    </row>
    <row r="20" spans="1:5" s="605" customFormat="1" ht="15.75">
      <c r="A20" s="607" t="s">
        <v>599</v>
      </c>
      <c r="B20" s="223" t="s">
        <v>20</v>
      </c>
      <c r="C20" s="683"/>
      <c r="D20" s="683"/>
      <c r="E20" s="684"/>
    </row>
    <row r="21" spans="1:5" s="605" customFormat="1" ht="15.75">
      <c r="A21" s="607" t="s">
        <v>600</v>
      </c>
      <c r="B21" s="223" t="s">
        <v>21</v>
      </c>
      <c r="C21" s="683"/>
      <c r="D21" s="683"/>
      <c r="E21" s="684"/>
    </row>
    <row r="22" spans="1:5" s="605" customFormat="1" ht="15.75">
      <c r="A22" s="607" t="s">
        <v>601</v>
      </c>
      <c r="B22" s="223" t="s">
        <v>22</v>
      </c>
      <c r="C22" s="683"/>
      <c r="D22" s="683"/>
      <c r="E22" s="684"/>
    </row>
    <row r="23" spans="1:5" s="605" customFormat="1" ht="15.75">
      <c r="A23" s="607" t="s">
        <v>602</v>
      </c>
      <c r="B23" s="223" t="s">
        <v>23</v>
      </c>
      <c r="C23" s="683"/>
      <c r="D23" s="683"/>
      <c r="E23" s="684"/>
    </row>
    <row r="24" spans="1:5" s="605" customFormat="1" ht="15.75">
      <c r="A24" s="606" t="s">
        <v>603</v>
      </c>
      <c r="B24" s="223" t="s">
        <v>24</v>
      </c>
      <c r="C24" s="685">
        <f>+C25+C26+C27+C28</f>
        <v>75445845</v>
      </c>
      <c r="D24" s="685">
        <f>+D25+D26+D27+D28</f>
        <v>75445845</v>
      </c>
      <c r="E24" s="686">
        <f>+E25+E26+E27+E28</f>
        <v>0</v>
      </c>
    </row>
    <row r="25" spans="1:5" s="605" customFormat="1" ht="15.75">
      <c r="A25" s="607" t="s">
        <v>604</v>
      </c>
      <c r="B25" s="223" t="s">
        <v>25</v>
      </c>
      <c r="C25" s="683"/>
      <c r="D25" s="683"/>
      <c r="E25" s="684"/>
    </row>
    <row r="26" spans="1:5" s="605" customFormat="1" ht="15.75">
      <c r="A26" s="607" t="s">
        <v>605</v>
      </c>
      <c r="B26" s="223" t="s">
        <v>26</v>
      </c>
      <c r="C26" s="683"/>
      <c r="D26" s="683"/>
      <c r="E26" s="684"/>
    </row>
    <row r="27" spans="1:5" s="605" customFormat="1" ht="15.75">
      <c r="A27" s="607" t="s">
        <v>606</v>
      </c>
      <c r="B27" s="223" t="s">
        <v>27</v>
      </c>
      <c r="C27" s="683">
        <v>75445845</v>
      </c>
      <c r="D27" s="683">
        <v>75445845</v>
      </c>
      <c r="E27" s="684"/>
    </row>
    <row r="28" spans="1:5" s="605" customFormat="1" ht="15.75">
      <c r="A28" s="607" t="s">
        <v>607</v>
      </c>
      <c r="B28" s="223" t="s">
        <v>28</v>
      </c>
      <c r="C28" s="683"/>
      <c r="D28" s="683"/>
      <c r="E28" s="684"/>
    </row>
    <row r="29" spans="1:5" s="605" customFormat="1" ht="15.75">
      <c r="A29" s="606" t="s">
        <v>608</v>
      </c>
      <c r="B29" s="223" t="s">
        <v>29</v>
      </c>
      <c r="C29" s="685">
        <f>+C30+C31+C32+C33</f>
        <v>0</v>
      </c>
      <c r="D29" s="685">
        <f>+D30+D31+D32+D33</f>
        <v>0</v>
      </c>
      <c r="E29" s="686">
        <f>+E30+E31+E32+E33</f>
        <v>0</v>
      </c>
    </row>
    <row r="30" spans="1:5" s="605" customFormat="1" ht="15.75">
      <c r="A30" s="607" t="s">
        <v>609</v>
      </c>
      <c r="B30" s="223" t="s">
        <v>30</v>
      </c>
      <c r="C30" s="683"/>
      <c r="D30" s="683"/>
      <c r="E30" s="684"/>
    </row>
    <row r="31" spans="1:5" s="605" customFormat="1" ht="22.5">
      <c r="A31" s="607" t="s">
        <v>610</v>
      </c>
      <c r="B31" s="223" t="s">
        <v>31</v>
      </c>
      <c r="C31" s="683"/>
      <c r="D31" s="683"/>
      <c r="E31" s="684"/>
    </row>
    <row r="32" spans="1:5" s="605" customFormat="1" ht="15.75">
      <c r="A32" s="607" t="s">
        <v>611</v>
      </c>
      <c r="B32" s="223" t="s">
        <v>32</v>
      </c>
      <c r="C32" s="683"/>
      <c r="D32" s="683"/>
      <c r="E32" s="684"/>
    </row>
    <row r="33" spans="1:5" s="605" customFormat="1" ht="15.75">
      <c r="A33" s="607" t="s">
        <v>612</v>
      </c>
      <c r="B33" s="223" t="s">
        <v>33</v>
      </c>
      <c r="C33" s="683"/>
      <c r="D33" s="683"/>
      <c r="E33" s="684"/>
    </row>
    <row r="34" spans="1:5" s="605" customFormat="1" ht="15.75">
      <c r="A34" s="606" t="s">
        <v>613</v>
      </c>
      <c r="B34" s="223" t="s">
        <v>34</v>
      </c>
      <c r="C34" s="685">
        <f>+C35+C40+C45</f>
        <v>147990000</v>
      </c>
      <c r="D34" s="685">
        <f>+D35+D40+D45</f>
        <v>147990000</v>
      </c>
      <c r="E34" s="686">
        <f>+E35+E40+E45</f>
        <v>0</v>
      </c>
    </row>
    <row r="35" spans="1:5" s="605" customFormat="1" ht="15.75">
      <c r="A35" s="606" t="s">
        <v>614</v>
      </c>
      <c r="B35" s="223" t="s">
        <v>35</v>
      </c>
      <c r="C35" s="685">
        <f>+C36+C37+C38+C39</f>
        <v>16000000</v>
      </c>
      <c r="D35" s="685">
        <f>+D36+D37+D38+D39</f>
        <v>16000000</v>
      </c>
      <c r="E35" s="686">
        <f>+E36+E37+E38+E39</f>
        <v>0</v>
      </c>
    </row>
    <row r="36" spans="1:5" s="605" customFormat="1" ht="15.75">
      <c r="A36" s="607" t="s">
        <v>615</v>
      </c>
      <c r="B36" s="223" t="s">
        <v>89</v>
      </c>
      <c r="C36" s="683"/>
      <c r="D36" s="683"/>
      <c r="E36" s="684"/>
    </row>
    <row r="37" spans="1:5" s="605" customFormat="1" ht="15.75">
      <c r="A37" s="607" t="s">
        <v>616</v>
      </c>
      <c r="B37" s="223" t="s">
        <v>182</v>
      </c>
      <c r="C37" s="683"/>
      <c r="D37" s="683"/>
      <c r="E37" s="684"/>
    </row>
    <row r="38" spans="1:5" s="605" customFormat="1" ht="15.75">
      <c r="A38" s="607" t="s">
        <v>617</v>
      </c>
      <c r="B38" s="223" t="s">
        <v>242</v>
      </c>
      <c r="C38" s="683">
        <v>16000000</v>
      </c>
      <c r="D38" s="683">
        <v>16000000</v>
      </c>
      <c r="E38" s="684"/>
    </row>
    <row r="39" spans="1:5" s="605" customFormat="1" ht="15.75">
      <c r="A39" s="607" t="s">
        <v>618</v>
      </c>
      <c r="B39" s="223" t="s">
        <v>243</v>
      </c>
      <c r="C39" s="683"/>
      <c r="D39" s="683"/>
      <c r="E39" s="684"/>
    </row>
    <row r="40" spans="1:5" s="605" customFormat="1" ht="15.75">
      <c r="A40" s="606" t="s">
        <v>619</v>
      </c>
      <c r="B40" s="223" t="s">
        <v>259</v>
      </c>
      <c r="C40" s="685">
        <f>+C41+C42+C43+C44</f>
        <v>131990000</v>
      </c>
      <c r="D40" s="685">
        <f>+D41+D42+D43+D44</f>
        <v>131990000</v>
      </c>
      <c r="E40" s="686">
        <f>+E41+E42+E43+E44</f>
        <v>0</v>
      </c>
    </row>
    <row r="41" spans="1:5" s="605" customFormat="1" ht="15.75">
      <c r="A41" s="607" t="s">
        <v>620</v>
      </c>
      <c r="B41" s="223" t="s">
        <v>260</v>
      </c>
      <c r="C41" s="683"/>
      <c r="D41" s="683"/>
      <c r="E41" s="684"/>
    </row>
    <row r="42" spans="1:5" s="605" customFormat="1" ht="22.5">
      <c r="A42" s="607" t="s">
        <v>621</v>
      </c>
      <c r="B42" s="223" t="s">
        <v>261</v>
      </c>
      <c r="C42" s="683"/>
      <c r="D42" s="683"/>
      <c r="E42" s="684"/>
    </row>
    <row r="43" spans="1:5" s="605" customFormat="1" ht="15.75">
      <c r="A43" s="607" t="s">
        <v>622</v>
      </c>
      <c r="B43" s="223" t="s">
        <v>262</v>
      </c>
      <c r="C43" s="683"/>
      <c r="D43" s="683"/>
      <c r="E43" s="684"/>
    </row>
    <row r="44" spans="1:5" s="605" customFormat="1" ht="15.75">
      <c r="A44" s="607" t="s">
        <v>623</v>
      </c>
      <c r="B44" s="223" t="s">
        <v>263</v>
      </c>
      <c r="C44" s="683">
        <v>131990000</v>
      </c>
      <c r="D44" s="683">
        <v>131990000</v>
      </c>
      <c r="E44" s="684"/>
    </row>
    <row r="45" spans="1:5" s="605" customFormat="1" ht="15.75">
      <c r="A45" s="606" t="s">
        <v>624</v>
      </c>
      <c r="B45" s="223" t="s">
        <v>264</v>
      </c>
      <c r="C45" s="685">
        <f>+C46+C47+C48+C49</f>
        <v>0</v>
      </c>
      <c r="D45" s="685">
        <f>+D46+D47+D48+D49</f>
        <v>0</v>
      </c>
      <c r="E45" s="686">
        <f>+E46+E47+E48+E49</f>
        <v>0</v>
      </c>
    </row>
    <row r="46" spans="1:5" s="605" customFormat="1" ht="15.75">
      <c r="A46" s="607" t="s">
        <v>625</v>
      </c>
      <c r="B46" s="223" t="s">
        <v>265</v>
      </c>
      <c r="C46" s="683"/>
      <c r="D46" s="683"/>
      <c r="E46" s="684"/>
    </row>
    <row r="47" spans="1:5" s="605" customFormat="1" ht="22.5">
      <c r="A47" s="607" t="s">
        <v>626</v>
      </c>
      <c r="B47" s="223" t="s">
        <v>266</v>
      </c>
      <c r="C47" s="683"/>
      <c r="D47" s="683"/>
      <c r="E47" s="684"/>
    </row>
    <row r="48" spans="1:5" s="605" customFormat="1" ht="15.75">
      <c r="A48" s="607" t="s">
        <v>627</v>
      </c>
      <c r="B48" s="223" t="s">
        <v>267</v>
      </c>
      <c r="C48" s="683"/>
      <c r="D48" s="683"/>
      <c r="E48" s="684"/>
    </row>
    <row r="49" spans="1:5" s="605" customFormat="1" ht="15.75">
      <c r="A49" s="607" t="s">
        <v>628</v>
      </c>
      <c r="B49" s="223" t="s">
        <v>268</v>
      </c>
      <c r="C49" s="683"/>
      <c r="D49" s="683"/>
      <c r="E49" s="684"/>
    </row>
    <row r="50" spans="1:5" s="605" customFormat="1" ht="15.75">
      <c r="A50" s="606" t="s">
        <v>629</v>
      </c>
      <c r="B50" s="223" t="s">
        <v>269</v>
      </c>
      <c r="C50" s="683"/>
      <c r="D50" s="683"/>
      <c r="E50" s="684"/>
    </row>
    <row r="51" spans="1:5" s="605" customFormat="1" ht="21">
      <c r="A51" s="606" t="s">
        <v>630</v>
      </c>
      <c r="B51" s="223" t="s">
        <v>270</v>
      </c>
      <c r="C51" s="685">
        <f>+C7+C8+C34+C50</f>
        <v>2307807849</v>
      </c>
      <c r="D51" s="685">
        <f>+D7+D8+D34+D50</f>
        <v>1649056035</v>
      </c>
      <c r="E51" s="686">
        <f>+E7+E8+E34+E50</f>
        <v>0</v>
      </c>
    </row>
    <row r="52" spans="1:5" s="605" customFormat="1" ht="15.75">
      <c r="A52" s="606" t="s">
        <v>631</v>
      </c>
      <c r="B52" s="223" t="s">
        <v>271</v>
      </c>
      <c r="C52" s="683">
        <v>413709</v>
      </c>
      <c r="D52" s="683">
        <v>413709</v>
      </c>
      <c r="E52" s="684"/>
    </row>
    <row r="53" spans="1:5" s="605" customFormat="1" ht="15.75">
      <c r="A53" s="606" t="s">
        <v>632</v>
      </c>
      <c r="B53" s="223" t="s">
        <v>272</v>
      </c>
      <c r="C53" s="683">
        <v>40994534</v>
      </c>
      <c r="D53" s="683">
        <v>40994534</v>
      </c>
      <c r="E53" s="684"/>
    </row>
    <row r="54" spans="1:5" s="605" customFormat="1" ht="15.75">
      <c r="A54" s="606" t="s">
        <v>633</v>
      </c>
      <c r="B54" s="223" t="s">
        <v>273</v>
      </c>
      <c r="C54" s="685">
        <f>+C52+C53</f>
        <v>41408243</v>
      </c>
      <c r="D54" s="685">
        <f>+D52+D53</f>
        <v>41408243</v>
      </c>
      <c r="E54" s="686">
        <f>+E52+E53</f>
        <v>0</v>
      </c>
    </row>
    <row r="55" spans="1:5" s="605" customFormat="1" ht="15.75">
      <c r="A55" s="606" t="s">
        <v>634</v>
      </c>
      <c r="B55" s="223" t="s">
        <v>274</v>
      </c>
      <c r="C55" s="683"/>
      <c r="D55" s="683"/>
      <c r="E55" s="684"/>
    </row>
    <row r="56" spans="1:5" s="605" customFormat="1" ht="15.75">
      <c r="A56" s="606" t="s">
        <v>635</v>
      </c>
      <c r="B56" s="223" t="s">
        <v>275</v>
      </c>
      <c r="C56" s="683">
        <v>91320</v>
      </c>
      <c r="D56" s="683">
        <v>91320</v>
      </c>
      <c r="E56" s="684"/>
    </row>
    <row r="57" spans="1:5" s="605" customFormat="1" ht="15.75">
      <c r="A57" s="606" t="s">
        <v>636</v>
      </c>
      <c r="B57" s="223" t="s">
        <v>276</v>
      </c>
      <c r="C57" s="683">
        <v>48390889</v>
      </c>
      <c r="D57" s="683">
        <v>48390889</v>
      </c>
      <c r="E57" s="684"/>
    </row>
    <row r="58" spans="1:5" s="605" customFormat="1" ht="15.75">
      <c r="A58" s="606" t="s">
        <v>637</v>
      </c>
      <c r="B58" s="223" t="s">
        <v>277</v>
      </c>
      <c r="C58" s="683"/>
      <c r="D58" s="683"/>
      <c r="E58" s="684"/>
    </row>
    <row r="59" spans="1:5" s="605" customFormat="1" ht="15.75">
      <c r="A59" s="606" t="s">
        <v>638</v>
      </c>
      <c r="B59" s="223" t="s">
        <v>278</v>
      </c>
      <c r="C59" s="685">
        <f>+C55+C56+C57+C58</f>
        <v>48482209</v>
      </c>
      <c r="D59" s="685">
        <f>+D55+D56+D57+D58</f>
        <v>48482209</v>
      </c>
      <c r="E59" s="686">
        <f>+E55+E56+E57+E58</f>
        <v>0</v>
      </c>
    </row>
    <row r="60" spans="1:5" s="605" customFormat="1" ht="15.75">
      <c r="A60" s="606" t="s">
        <v>639</v>
      </c>
      <c r="B60" s="223" t="s">
        <v>279</v>
      </c>
      <c r="C60" s="683"/>
      <c r="D60" s="683"/>
      <c r="E60" s="684"/>
    </row>
    <row r="61" spans="1:5" s="605" customFormat="1" ht="15.75">
      <c r="A61" s="606" t="s">
        <v>640</v>
      </c>
      <c r="B61" s="223" t="s">
        <v>280</v>
      </c>
      <c r="C61" s="683">
        <v>8351269</v>
      </c>
      <c r="D61" s="683">
        <v>8351269</v>
      </c>
      <c r="E61" s="684"/>
    </row>
    <row r="62" spans="1:5" s="605" customFormat="1" ht="15.75">
      <c r="A62" s="606" t="s">
        <v>641</v>
      </c>
      <c r="B62" s="223" t="s">
        <v>281</v>
      </c>
      <c r="C62" s="683">
        <v>32872851</v>
      </c>
      <c r="D62" s="683">
        <v>32872851</v>
      </c>
      <c r="E62" s="684"/>
    </row>
    <row r="63" spans="1:5" s="605" customFormat="1" ht="15.75">
      <c r="A63" s="606" t="s">
        <v>642</v>
      </c>
      <c r="B63" s="223" t="s">
        <v>282</v>
      </c>
      <c r="C63" s="685">
        <f>+C60+C61+C62</f>
        <v>41224120</v>
      </c>
      <c r="D63" s="685">
        <f>+D60+D61+D62</f>
        <v>41224120</v>
      </c>
      <c r="E63" s="686">
        <f>+E60+E61+E62</f>
        <v>0</v>
      </c>
    </row>
    <row r="64" spans="1:5" s="605" customFormat="1" ht="15.75">
      <c r="A64" s="606" t="s">
        <v>643</v>
      </c>
      <c r="B64" s="223" t="s">
        <v>283</v>
      </c>
      <c r="C64" s="683"/>
      <c r="D64" s="683"/>
      <c r="E64" s="684"/>
    </row>
    <row r="65" spans="1:5" s="605" customFormat="1" ht="21">
      <c r="A65" s="606" t="s">
        <v>644</v>
      </c>
      <c r="B65" s="223" t="s">
        <v>284</v>
      </c>
      <c r="C65" s="683">
        <v>-293397</v>
      </c>
      <c r="D65" s="683">
        <v>-293397</v>
      </c>
      <c r="E65" s="684"/>
    </row>
    <row r="66" spans="1:5" s="605" customFormat="1" ht="15.75">
      <c r="A66" s="606" t="s">
        <v>645</v>
      </c>
      <c r="B66" s="223" t="s">
        <v>285</v>
      </c>
      <c r="C66" s="685">
        <f>+C64+C65</f>
        <v>-293397</v>
      </c>
      <c r="D66" s="685">
        <f>+D64+D65</f>
        <v>-293397</v>
      </c>
      <c r="E66" s="686">
        <f>+E64+E65</f>
        <v>0</v>
      </c>
    </row>
    <row r="67" spans="1:5" s="605" customFormat="1" ht="15.75">
      <c r="A67" s="606" t="s">
        <v>646</v>
      </c>
      <c r="B67" s="223" t="s">
        <v>286</v>
      </c>
      <c r="C67" s="683"/>
      <c r="D67" s="683"/>
      <c r="E67" s="684"/>
    </row>
    <row r="68" spans="1:5" s="605" customFormat="1" ht="16.5" thickBot="1">
      <c r="A68" s="608" t="s">
        <v>647</v>
      </c>
      <c r="B68" s="227" t="s">
        <v>287</v>
      </c>
      <c r="C68" s="687">
        <f>+C51+C54+C59+C63+C66+C67</f>
        <v>2438629024</v>
      </c>
      <c r="D68" s="687">
        <f>+D51+D54+D59+D63+D66+D67</f>
        <v>1779877210</v>
      </c>
      <c r="E68" s="688">
        <f>+E51+E54+E59+E63+E66+E67</f>
        <v>0</v>
      </c>
    </row>
    <row r="69" spans="1:5" ht="15.75">
      <c r="A69" s="609"/>
      <c r="C69" s="610"/>
      <c r="D69" s="610"/>
      <c r="E69" s="611"/>
    </row>
    <row r="70" spans="1:5" ht="15.75">
      <c r="A70" s="609"/>
      <c r="C70" s="610"/>
      <c r="D70" s="610"/>
      <c r="E70" s="611"/>
    </row>
    <row r="71" spans="1:5" ht="15.75">
      <c r="A71" s="612"/>
      <c r="C71" s="610"/>
      <c r="D71" s="610"/>
      <c r="E71" s="611"/>
    </row>
    <row r="72" spans="1:5" ht="15.75">
      <c r="A72" s="808"/>
      <c r="B72" s="808"/>
      <c r="C72" s="808"/>
      <c r="D72" s="808"/>
      <c r="E72" s="808"/>
    </row>
    <row r="73" spans="1:5" ht="15.75">
      <c r="A73" s="808"/>
      <c r="B73" s="808"/>
      <c r="C73" s="808"/>
      <c r="D73" s="808"/>
      <c r="E73" s="808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dőlt"Nyírpazony Nagyközség Önkormányzat&amp;R&amp;"Times New Roman,Félkövér dőlt"7.1. tájékoztató tábla a 7/2017. (IV. 28.) önkormányzati rendelethez</oddHeader>
    <oddFooter>&amp;C&amp;P</oddFooter>
  </headerFooter>
  <rowBreaks count="1" manualBreakCount="1">
    <brk id="4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B4" sqref="B4:C4"/>
    </sheetView>
  </sheetViews>
  <sheetFormatPr defaultColWidth="9.00390625" defaultRowHeight="12.75"/>
  <cols>
    <col min="1" max="1" width="71.125" style="215" customWidth="1"/>
    <col min="2" max="2" width="6.125" style="230" customWidth="1"/>
    <col min="3" max="3" width="18.00390625" style="614" customWidth="1"/>
    <col min="4" max="16384" width="9.375" style="614" customWidth="1"/>
  </cols>
  <sheetData>
    <row r="1" spans="1:3" ht="32.25" customHeight="1">
      <c r="A1" s="825" t="s">
        <v>288</v>
      </c>
      <c r="B1" s="825"/>
      <c r="C1" s="825"/>
    </row>
    <row r="2" spans="1:3" ht="15.75">
      <c r="A2" s="826" t="str">
        <f>+CONCATENATE(LEFT(ÖSSZEFÜGGÉSEK!A4,4),". év")</f>
        <v>2016. év</v>
      </c>
      <c r="B2" s="826"/>
      <c r="C2" s="826"/>
    </row>
    <row r="4" spans="2:3" ht="13.5" thickBot="1">
      <c r="B4" s="827" t="str">
        <f>'6. tájékoztató tábla'!E1</f>
        <v>Forintban!</v>
      </c>
      <c r="C4" s="827"/>
    </row>
    <row r="5" spans="1:3" s="216" customFormat="1" ht="31.5" customHeight="1">
      <c r="A5" s="828" t="s">
        <v>289</v>
      </c>
      <c r="B5" s="830" t="s">
        <v>245</v>
      </c>
      <c r="C5" s="832" t="s">
        <v>290</v>
      </c>
    </row>
    <row r="6" spans="1:3" s="216" customFormat="1" ht="12.75">
      <c r="A6" s="829"/>
      <c r="B6" s="831"/>
      <c r="C6" s="833"/>
    </row>
    <row r="7" spans="1:3" s="220" customFormat="1" ht="13.5" thickBot="1">
      <c r="A7" s="217" t="s">
        <v>411</v>
      </c>
      <c r="B7" s="218" t="s">
        <v>412</v>
      </c>
      <c r="C7" s="219" t="s">
        <v>413</v>
      </c>
    </row>
    <row r="8" spans="1:3" ht="15.75" customHeight="1">
      <c r="A8" s="606" t="s">
        <v>649</v>
      </c>
      <c r="B8" s="221" t="s">
        <v>250</v>
      </c>
      <c r="C8" s="222">
        <v>2038648148</v>
      </c>
    </row>
    <row r="9" spans="1:3" ht="15.75" customHeight="1">
      <c r="A9" s="606" t="s">
        <v>650</v>
      </c>
      <c r="B9" s="223" t="s">
        <v>251</v>
      </c>
      <c r="C9" s="222">
        <v>16902718</v>
      </c>
    </row>
    <row r="10" spans="1:3" ht="15.75" customHeight="1">
      <c r="A10" s="606" t="s">
        <v>651</v>
      </c>
      <c r="B10" s="223" t="s">
        <v>252</v>
      </c>
      <c r="C10" s="222"/>
    </row>
    <row r="11" spans="1:3" ht="15.75" customHeight="1">
      <c r="A11" s="606" t="s">
        <v>652</v>
      </c>
      <c r="B11" s="223" t="s">
        <v>253</v>
      </c>
      <c r="C11" s="224">
        <v>-554393705</v>
      </c>
    </row>
    <row r="12" spans="1:3" ht="15.75" customHeight="1">
      <c r="A12" s="606" t="s">
        <v>653</v>
      </c>
      <c r="B12" s="223" t="s">
        <v>254</v>
      </c>
      <c r="C12" s="224"/>
    </row>
    <row r="13" spans="1:3" ht="15.75" customHeight="1">
      <c r="A13" s="606" t="s">
        <v>654</v>
      </c>
      <c r="B13" s="223" t="s">
        <v>255</v>
      </c>
      <c r="C13" s="224">
        <v>103974461</v>
      </c>
    </row>
    <row r="14" spans="1:3" ht="15.75" customHeight="1">
      <c r="A14" s="606" t="s">
        <v>655</v>
      </c>
      <c r="B14" s="223" t="s">
        <v>256</v>
      </c>
      <c r="C14" s="225">
        <f>+C8+C9+C10+C11+C12+C13</f>
        <v>1605131622</v>
      </c>
    </row>
    <row r="15" spans="1:3" ht="15.75" customHeight="1">
      <c r="A15" s="606" t="s">
        <v>721</v>
      </c>
      <c r="B15" s="223" t="s">
        <v>257</v>
      </c>
      <c r="C15" s="615">
        <v>12538238</v>
      </c>
    </row>
    <row r="16" spans="1:3" ht="15.75" customHeight="1">
      <c r="A16" s="606" t="s">
        <v>656</v>
      </c>
      <c r="B16" s="223" t="s">
        <v>258</v>
      </c>
      <c r="C16" s="224">
        <v>7607903</v>
      </c>
    </row>
    <row r="17" spans="1:3" ht="15.75" customHeight="1">
      <c r="A17" s="606" t="s">
        <v>657</v>
      </c>
      <c r="B17" s="223" t="s">
        <v>16</v>
      </c>
      <c r="C17" s="224">
        <v>7202</v>
      </c>
    </row>
    <row r="18" spans="1:3" ht="15.75" customHeight="1">
      <c r="A18" s="606" t="s">
        <v>658</v>
      </c>
      <c r="B18" s="223" t="s">
        <v>17</v>
      </c>
      <c r="C18" s="225">
        <f>+C15+C16+C17</f>
        <v>20153343</v>
      </c>
    </row>
    <row r="19" spans="1:3" s="616" customFormat="1" ht="15.75" customHeight="1">
      <c r="A19" s="606" t="s">
        <v>659</v>
      </c>
      <c r="B19" s="223" t="s">
        <v>18</v>
      </c>
      <c r="C19" s="224"/>
    </row>
    <row r="20" spans="1:3" ht="15.75" customHeight="1">
      <c r="A20" s="606" t="s">
        <v>660</v>
      </c>
      <c r="B20" s="223" t="s">
        <v>19</v>
      </c>
      <c r="C20" s="224">
        <v>154592245</v>
      </c>
    </row>
    <row r="21" spans="1:3" ht="15.75" customHeight="1" thickBot="1">
      <c r="A21" s="226" t="s">
        <v>661</v>
      </c>
      <c r="B21" s="227" t="s">
        <v>20</v>
      </c>
      <c r="C21" s="228">
        <f>+C14+C18+C19+C20</f>
        <v>1779877210</v>
      </c>
    </row>
    <row r="22" spans="1:5" ht="15.75">
      <c r="A22" s="609"/>
      <c r="B22" s="612"/>
      <c r="C22" s="610"/>
      <c r="D22" s="610"/>
      <c r="E22" s="610"/>
    </row>
    <row r="23" spans="1:5" ht="15.75">
      <c r="A23" s="609"/>
      <c r="B23" s="612"/>
      <c r="C23" s="610"/>
      <c r="D23" s="610"/>
      <c r="E23" s="610"/>
    </row>
    <row r="24" spans="1:5" ht="15.75">
      <c r="A24" s="612"/>
      <c r="B24" s="612"/>
      <c r="C24" s="610"/>
      <c r="D24" s="610"/>
      <c r="E24" s="610"/>
    </row>
    <row r="25" spans="1:5" ht="15.75">
      <c r="A25" s="824"/>
      <c r="B25" s="824"/>
      <c r="C25" s="824"/>
      <c r="D25" s="617"/>
      <c r="E25" s="617"/>
    </row>
    <row r="26" spans="1:5" ht="15.75">
      <c r="A26" s="824"/>
      <c r="B26" s="824"/>
      <c r="C26" s="824"/>
      <c r="D26" s="617"/>
      <c r="E26" s="617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dőlt"Nyírpazony Nagyközség Önkormányzat&amp;R&amp;"Times New Roman CE,Félkövér dőlt"7.2. tájékoztató tábla a 7/2017. (IV. 28.)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D3" sqref="D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4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35"/>
      <c r="C1" s="835"/>
      <c r="D1" s="835"/>
    </row>
    <row r="2" ht="16.5" thickBot="1"/>
    <row r="3" spans="1:4" ht="43.5" customHeight="1" thickBot="1">
      <c r="A3" s="621" t="s">
        <v>50</v>
      </c>
      <c r="B3" s="322" t="s">
        <v>245</v>
      </c>
      <c r="C3" s="622" t="s">
        <v>291</v>
      </c>
      <c r="D3" s="623" t="s">
        <v>737</v>
      </c>
    </row>
    <row r="4" spans="1:4" ht="16.5" thickBot="1">
      <c r="A4" s="231" t="s">
        <v>411</v>
      </c>
      <c r="B4" s="232" t="s">
        <v>412</v>
      </c>
      <c r="C4" s="232" t="s">
        <v>413</v>
      </c>
      <c r="D4" s="233" t="s">
        <v>414</v>
      </c>
    </row>
    <row r="5" spans="1:4" ht="15.75" customHeight="1">
      <c r="A5" s="242" t="s">
        <v>689</v>
      </c>
      <c r="B5" s="235" t="s">
        <v>7</v>
      </c>
      <c r="C5" s="236"/>
      <c r="D5" s="237"/>
    </row>
    <row r="6" spans="1:4" ht="15.75" customHeight="1">
      <c r="A6" s="242" t="s">
        <v>690</v>
      </c>
      <c r="B6" s="239" t="s">
        <v>8</v>
      </c>
      <c r="C6" s="240"/>
      <c r="D6" s="241"/>
    </row>
    <row r="7" spans="1:4" ht="15.75" customHeight="1">
      <c r="A7" s="242" t="s">
        <v>691</v>
      </c>
      <c r="B7" s="239" t="s">
        <v>9</v>
      </c>
      <c r="C7" s="240"/>
      <c r="D7" s="241"/>
    </row>
    <row r="8" spans="1:4" ht="15.75" customHeight="1" thickBot="1">
      <c r="A8" s="243" t="s">
        <v>692</v>
      </c>
      <c r="B8" s="244" t="s">
        <v>10</v>
      </c>
      <c r="C8" s="245"/>
      <c r="D8" s="246"/>
    </row>
    <row r="9" spans="1:4" ht="15.75" customHeight="1" thickBot="1">
      <c r="A9" s="625" t="s">
        <v>693</v>
      </c>
      <c r="B9" s="626" t="s">
        <v>11</v>
      </c>
      <c r="C9" s="627"/>
      <c r="D9" s="628">
        <f>+D10+D11+D12+D13</f>
        <v>0</v>
      </c>
    </row>
    <row r="10" spans="1:4" ht="15.75" customHeight="1">
      <c r="A10" s="624" t="s">
        <v>694</v>
      </c>
      <c r="B10" s="235" t="s">
        <v>12</v>
      </c>
      <c r="C10" s="236"/>
      <c r="D10" s="237"/>
    </row>
    <row r="11" spans="1:4" ht="15.75" customHeight="1">
      <c r="A11" s="242" t="s">
        <v>695</v>
      </c>
      <c r="B11" s="239" t="s">
        <v>13</v>
      </c>
      <c r="C11" s="240"/>
      <c r="D11" s="241"/>
    </row>
    <row r="12" spans="1:4" ht="15.75" customHeight="1">
      <c r="A12" s="242" t="s">
        <v>696</v>
      </c>
      <c r="B12" s="239" t="s">
        <v>14</v>
      </c>
      <c r="C12" s="240"/>
      <c r="D12" s="241"/>
    </row>
    <row r="13" spans="1:4" ht="15.75" customHeight="1" thickBot="1">
      <c r="A13" s="243" t="s">
        <v>697</v>
      </c>
      <c r="B13" s="244" t="s">
        <v>15</v>
      </c>
      <c r="C13" s="245"/>
      <c r="D13" s="246"/>
    </row>
    <row r="14" spans="1:4" ht="15.75" customHeight="1" thickBot="1">
      <c r="A14" s="625" t="s">
        <v>698</v>
      </c>
      <c r="B14" s="626" t="s">
        <v>16</v>
      </c>
      <c r="C14" s="627"/>
      <c r="D14" s="628">
        <f>+D15+D16+D17</f>
        <v>0</v>
      </c>
    </row>
    <row r="15" spans="1:4" ht="15.75" customHeight="1">
      <c r="A15" s="624" t="s">
        <v>699</v>
      </c>
      <c r="B15" s="235" t="s">
        <v>17</v>
      </c>
      <c r="C15" s="236"/>
      <c r="D15" s="237"/>
    </row>
    <row r="16" spans="1:4" ht="15.75" customHeight="1">
      <c r="A16" s="242" t="s">
        <v>700</v>
      </c>
      <c r="B16" s="239" t="s">
        <v>18</v>
      </c>
      <c r="C16" s="240"/>
      <c r="D16" s="241"/>
    </row>
    <row r="17" spans="1:4" ht="15.75" customHeight="1" thickBot="1">
      <c r="A17" s="243" t="s">
        <v>701</v>
      </c>
      <c r="B17" s="244" t="s">
        <v>19</v>
      </c>
      <c r="C17" s="245"/>
      <c r="D17" s="246"/>
    </row>
    <row r="18" spans="1:4" ht="15.75" customHeight="1" thickBot="1">
      <c r="A18" s="625" t="s">
        <v>707</v>
      </c>
      <c r="B18" s="626" t="s">
        <v>20</v>
      </c>
      <c r="C18" s="627"/>
      <c r="D18" s="628">
        <f>+D19+D20+D21</f>
        <v>0</v>
      </c>
    </row>
    <row r="19" spans="1:4" ht="15.75" customHeight="1">
      <c r="A19" s="624" t="s">
        <v>702</v>
      </c>
      <c r="B19" s="235" t="s">
        <v>21</v>
      </c>
      <c r="C19" s="236"/>
      <c r="D19" s="237"/>
    </row>
    <row r="20" spans="1:4" ht="15.75" customHeight="1">
      <c r="A20" s="242" t="s">
        <v>703</v>
      </c>
      <c r="B20" s="239" t="s">
        <v>22</v>
      </c>
      <c r="C20" s="240"/>
      <c r="D20" s="241"/>
    </row>
    <row r="21" spans="1:4" ht="15.75" customHeight="1">
      <c r="A21" s="242" t="s">
        <v>704</v>
      </c>
      <c r="B21" s="239" t="s">
        <v>23</v>
      </c>
      <c r="C21" s="240"/>
      <c r="D21" s="241"/>
    </row>
    <row r="22" spans="1:4" ht="15.75" customHeight="1">
      <c r="A22" s="242" t="s">
        <v>705</v>
      </c>
      <c r="B22" s="239" t="s">
        <v>24</v>
      </c>
      <c r="C22" s="240"/>
      <c r="D22" s="241"/>
    </row>
    <row r="23" spans="1:4" ht="15.75" customHeight="1">
      <c r="A23" s="242"/>
      <c r="B23" s="239" t="s">
        <v>25</v>
      </c>
      <c r="C23" s="240"/>
      <c r="D23" s="241"/>
    </row>
    <row r="24" spans="1:4" ht="15.75" customHeight="1">
      <c r="A24" s="242"/>
      <c r="B24" s="239" t="s">
        <v>26</v>
      </c>
      <c r="C24" s="240"/>
      <c r="D24" s="241"/>
    </row>
    <row r="25" spans="1:4" ht="15.75" customHeight="1">
      <c r="A25" s="242"/>
      <c r="B25" s="239" t="s">
        <v>27</v>
      </c>
      <c r="C25" s="240"/>
      <c r="D25" s="241"/>
    </row>
    <row r="26" spans="1:4" ht="15.75" customHeight="1">
      <c r="A26" s="242"/>
      <c r="B26" s="239" t="s">
        <v>28</v>
      </c>
      <c r="C26" s="240"/>
      <c r="D26" s="241"/>
    </row>
    <row r="27" spans="1:4" ht="15.75" customHeight="1">
      <c r="A27" s="242"/>
      <c r="B27" s="239" t="s">
        <v>29</v>
      </c>
      <c r="C27" s="240"/>
      <c r="D27" s="241"/>
    </row>
    <row r="28" spans="1:4" ht="15.75" customHeight="1">
      <c r="A28" s="242"/>
      <c r="B28" s="239" t="s">
        <v>30</v>
      </c>
      <c r="C28" s="240"/>
      <c r="D28" s="241"/>
    </row>
    <row r="29" spans="1:4" ht="15.75" customHeight="1">
      <c r="A29" s="242"/>
      <c r="B29" s="239" t="s">
        <v>31</v>
      </c>
      <c r="C29" s="240"/>
      <c r="D29" s="241"/>
    </row>
    <row r="30" spans="1:4" ht="15.75" customHeight="1">
      <c r="A30" s="242"/>
      <c r="B30" s="239" t="s">
        <v>32</v>
      </c>
      <c r="C30" s="240"/>
      <c r="D30" s="241"/>
    </row>
    <row r="31" spans="1:4" ht="15.75" customHeight="1">
      <c r="A31" s="242"/>
      <c r="B31" s="239" t="s">
        <v>33</v>
      </c>
      <c r="C31" s="240"/>
      <c r="D31" s="241"/>
    </row>
    <row r="32" spans="1:4" ht="15.75" customHeight="1">
      <c r="A32" s="242"/>
      <c r="B32" s="239" t="s">
        <v>34</v>
      </c>
      <c r="C32" s="240"/>
      <c r="D32" s="241"/>
    </row>
    <row r="33" spans="1:4" ht="15.75" customHeight="1">
      <c r="A33" s="242"/>
      <c r="B33" s="239" t="s">
        <v>35</v>
      </c>
      <c r="C33" s="240"/>
      <c r="D33" s="241"/>
    </row>
    <row r="34" spans="1:4" ht="15.75" customHeight="1">
      <c r="A34" s="242"/>
      <c r="B34" s="239" t="s">
        <v>89</v>
      </c>
      <c r="C34" s="240"/>
      <c r="D34" s="241"/>
    </row>
    <row r="35" spans="1:4" ht="15.75" customHeight="1">
      <c r="A35" s="242"/>
      <c r="B35" s="239" t="s">
        <v>182</v>
      </c>
      <c r="C35" s="240"/>
      <c r="D35" s="241"/>
    </row>
    <row r="36" spans="1:4" ht="15.75" customHeight="1">
      <c r="A36" s="242"/>
      <c r="B36" s="239" t="s">
        <v>242</v>
      </c>
      <c r="C36" s="240"/>
      <c r="D36" s="241"/>
    </row>
    <row r="37" spans="1:4" ht="15.75" customHeight="1" thickBot="1">
      <c r="A37" s="243"/>
      <c r="B37" s="244" t="s">
        <v>243</v>
      </c>
      <c r="C37" s="245"/>
      <c r="D37" s="246"/>
    </row>
    <row r="38" spans="1:6" ht="15.75" customHeight="1" thickBot="1">
      <c r="A38" s="836" t="s">
        <v>706</v>
      </c>
      <c r="B38" s="837"/>
      <c r="C38" s="247"/>
      <c r="D38" s="628">
        <f>+D5+D6+D7+D8+D9+D14+D18+D22+D23+D24+D25+D26+D27+D28+D29+D30+D31+D32+D33+D34+D35+D36+D37</f>
        <v>0</v>
      </c>
      <c r="F38" s="248"/>
    </row>
    <row r="39" ht="15.75">
      <c r="A39" s="629" t="s">
        <v>708</v>
      </c>
    </row>
    <row r="40" spans="1:4" ht="15.75">
      <c r="A40" s="212"/>
      <c r="B40" s="213"/>
      <c r="C40" s="838"/>
      <c r="D40" s="838"/>
    </row>
    <row r="41" spans="1:4" ht="15.75">
      <c r="A41" s="212"/>
      <c r="B41" s="213"/>
      <c r="C41" s="214"/>
      <c r="D41" s="214"/>
    </row>
    <row r="42" spans="1:4" ht="15.75">
      <c r="A42" s="213"/>
      <c r="B42" s="213"/>
      <c r="C42" s="838"/>
      <c r="D42" s="838"/>
    </row>
    <row r="43" spans="1:2" ht="15.75">
      <c r="A43" s="229"/>
      <c r="B43" s="229"/>
    </row>
    <row r="44" spans="1:3" ht="15.75">
      <c r="A44" s="229"/>
      <c r="B44" s="229"/>
      <c r="C44" s="229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dőlt"Nyírpazony Nagyközség Önkormányzat&amp;R&amp;"Times New Roman,Félkövér dőlt"7.3. tájékoztató tábla a 7/2017. (IV. 28.) 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1">
      <selection activeCell="H27" sqref="H27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39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40"/>
      <c r="C1" s="840"/>
      <c r="D1" s="840"/>
    </row>
    <row r="2" ht="16.5" thickBot="1"/>
    <row r="3" spans="1:4" ht="64.5" thickBot="1">
      <c r="A3" s="630" t="s">
        <v>50</v>
      </c>
      <c r="B3" s="322" t="s">
        <v>245</v>
      </c>
      <c r="C3" s="631" t="s">
        <v>709</v>
      </c>
      <c r="D3" s="632" t="s">
        <v>737</v>
      </c>
    </row>
    <row r="4" spans="1:4" ht="16.5" thickBot="1">
      <c r="A4" s="249" t="s">
        <v>411</v>
      </c>
      <c r="B4" s="250" t="s">
        <v>412</v>
      </c>
      <c r="C4" s="250" t="s">
        <v>413</v>
      </c>
      <c r="D4" s="251" t="s">
        <v>414</v>
      </c>
    </row>
    <row r="5" spans="1:4" ht="15.75" customHeight="1">
      <c r="A5" s="238" t="s">
        <v>710</v>
      </c>
      <c r="B5" s="235" t="s">
        <v>7</v>
      </c>
      <c r="C5" s="236"/>
      <c r="D5" s="237"/>
    </row>
    <row r="6" spans="1:4" ht="15.75" customHeight="1">
      <c r="A6" s="238" t="s">
        <v>711</v>
      </c>
      <c r="B6" s="239" t="s">
        <v>8</v>
      </c>
      <c r="C6" s="240"/>
      <c r="D6" s="241"/>
    </row>
    <row r="7" spans="1:4" ht="15.75" customHeight="1" thickBot="1">
      <c r="A7" s="633" t="s">
        <v>712</v>
      </c>
      <c r="B7" s="244" t="s">
        <v>9</v>
      </c>
      <c r="C7" s="245"/>
      <c r="D7" s="246"/>
    </row>
    <row r="8" spans="1:4" ht="15.75" customHeight="1" thickBot="1">
      <c r="A8" s="625" t="s">
        <v>713</v>
      </c>
      <c r="B8" s="626" t="s">
        <v>10</v>
      </c>
      <c r="C8" s="627"/>
      <c r="D8" s="628">
        <f>+D5+D6+D7</f>
        <v>0</v>
      </c>
    </row>
    <row r="9" spans="1:4" ht="15.75" customHeight="1">
      <c r="A9" s="234" t="s">
        <v>714</v>
      </c>
      <c r="B9" s="235" t="s">
        <v>11</v>
      </c>
      <c r="C9" s="236"/>
      <c r="D9" s="237"/>
    </row>
    <row r="10" spans="1:4" ht="15.75" customHeight="1">
      <c r="A10" s="238" t="s">
        <v>715</v>
      </c>
      <c r="B10" s="239" t="s">
        <v>12</v>
      </c>
      <c r="C10" s="240"/>
      <c r="D10" s="241"/>
    </row>
    <row r="11" spans="1:4" ht="15.75" customHeight="1">
      <c r="A11" s="238" t="s">
        <v>716</v>
      </c>
      <c r="B11" s="239" t="s">
        <v>13</v>
      </c>
      <c r="C11" s="240"/>
      <c r="D11" s="241"/>
    </row>
    <row r="12" spans="1:4" ht="15.75" customHeight="1">
      <c r="A12" s="238" t="s">
        <v>717</v>
      </c>
      <c r="B12" s="239" t="s">
        <v>14</v>
      </c>
      <c r="C12" s="240"/>
      <c r="D12" s="241"/>
    </row>
    <row r="13" spans="1:4" ht="15.75" customHeight="1" thickBot="1">
      <c r="A13" s="633" t="s">
        <v>718</v>
      </c>
      <c r="B13" s="244" t="s">
        <v>15</v>
      </c>
      <c r="C13" s="245"/>
      <c r="D13" s="246"/>
    </row>
    <row r="14" spans="1:4" ht="15.75" customHeight="1" thickBot="1">
      <c r="A14" s="625" t="s">
        <v>719</v>
      </c>
      <c r="B14" s="626" t="s">
        <v>16</v>
      </c>
      <c r="C14" s="634"/>
      <c r="D14" s="628">
        <f>+D9+D10+D11+D12+D13</f>
        <v>0</v>
      </c>
    </row>
    <row r="15" spans="1:4" ht="15.75" customHeight="1">
      <c r="A15" s="234"/>
      <c r="B15" s="235" t="s">
        <v>17</v>
      </c>
      <c r="C15" s="236"/>
      <c r="D15" s="237"/>
    </row>
    <row r="16" spans="1:4" ht="15.75" customHeight="1">
      <c r="A16" s="238"/>
      <c r="B16" s="239" t="s">
        <v>18</v>
      </c>
      <c r="C16" s="240"/>
      <c r="D16" s="241"/>
    </row>
    <row r="17" spans="1:4" ht="15.75" customHeight="1">
      <c r="A17" s="238"/>
      <c r="B17" s="239" t="s">
        <v>19</v>
      </c>
      <c r="C17" s="240"/>
      <c r="D17" s="241"/>
    </row>
    <row r="18" spans="1:4" ht="15.75" customHeight="1">
      <c r="A18" s="238"/>
      <c r="B18" s="239" t="s">
        <v>20</v>
      </c>
      <c r="C18" s="240"/>
      <c r="D18" s="241"/>
    </row>
    <row r="19" spans="1:4" ht="15.75" customHeight="1">
      <c r="A19" s="238"/>
      <c r="B19" s="239" t="s">
        <v>21</v>
      </c>
      <c r="C19" s="240"/>
      <c r="D19" s="241"/>
    </row>
    <row r="20" spans="1:4" ht="15.75" customHeight="1">
      <c r="A20" s="238"/>
      <c r="B20" s="239" t="s">
        <v>22</v>
      </c>
      <c r="C20" s="240"/>
      <c r="D20" s="241"/>
    </row>
    <row r="21" spans="1:4" ht="15.75" customHeight="1">
      <c r="A21" s="238"/>
      <c r="B21" s="239" t="s">
        <v>23</v>
      </c>
      <c r="C21" s="240"/>
      <c r="D21" s="241"/>
    </row>
    <row r="22" spans="1:4" ht="15.75" customHeight="1">
      <c r="A22" s="238"/>
      <c r="B22" s="239" t="s">
        <v>24</v>
      </c>
      <c r="C22" s="240"/>
      <c r="D22" s="241"/>
    </row>
    <row r="23" spans="1:4" ht="15.75" customHeight="1">
      <c r="A23" s="238"/>
      <c r="B23" s="239" t="s">
        <v>25</v>
      </c>
      <c r="C23" s="240"/>
      <c r="D23" s="241"/>
    </row>
    <row r="24" spans="1:4" ht="15.75" customHeight="1">
      <c r="A24" s="238"/>
      <c r="B24" s="239" t="s">
        <v>26</v>
      </c>
      <c r="C24" s="240"/>
      <c r="D24" s="241"/>
    </row>
    <row r="25" spans="1:4" ht="15.75" customHeight="1">
      <c r="A25" s="238"/>
      <c r="B25" s="239" t="s">
        <v>27</v>
      </c>
      <c r="C25" s="240"/>
      <c r="D25" s="241"/>
    </row>
    <row r="26" spans="1:4" ht="15.75" customHeight="1">
      <c r="A26" s="238"/>
      <c r="B26" s="239" t="s">
        <v>28</v>
      </c>
      <c r="C26" s="240"/>
      <c r="D26" s="241"/>
    </row>
    <row r="27" spans="1:4" ht="15.75" customHeight="1">
      <c r="A27" s="238"/>
      <c r="B27" s="239" t="s">
        <v>29</v>
      </c>
      <c r="C27" s="240"/>
      <c r="D27" s="241"/>
    </row>
    <row r="28" spans="1:4" ht="15.75" customHeight="1">
      <c r="A28" s="238"/>
      <c r="B28" s="239" t="s">
        <v>30</v>
      </c>
      <c r="C28" s="240"/>
      <c r="D28" s="241"/>
    </row>
    <row r="29" spans="1:4" ht="15.75" customHeight="1">
      <c r="A29" s="238"/>
      <c r="B29" s="239" t="s">
        <v>31</v>
      </c>
      <c r="C29" s="240"/>
      <c r="D29" s="241"/>
    </row>
    <row r="30" spans="1:4" ht="15.75" customHeight="1">
      <c r="A30" s="238"/>
      <c r="B30" s="239" t="s">
        <v>32</v>
      </c>
      <c r="C30" s="240"/>
      <c r="D30" s="241"/>
    </row>
    <row r="31" spans="1:4" ht="15.75" customHeight="1">
      <c r="A31" s="238"/>
      <c r="B31" s="239" t="s">
        <v>33</v>
      </c>
      <c r="C31" s="240"/>
      <c r="D31" s="241"/>
    </row>
    <row r="32" spans="1:4" ht="15.75" customHeight="1">
      <c r="A32" s="238"/>
      <c r="B32" s="239" t="s">
        <v>34</v>
      </c>
      <c r="C32" s="240"/>
      <c r="D32" s="241"/>
    </row>
    <row r="33" spans="1:4" ht="15.75" customHeight="1">
      <c r="A33" s="238"/>
      <c r="B33" s="239" t="s">
        <v>35</v>
      </c>
      <c r="C33" s="240"/>
      <c r="D33" s="241"/>
    </row>
    <row r="34" spans="1:4" ht="15.75" customHeight="1">
      <c r="A34" s="238"/>
      <c r="B34" s="239" t="s">
        <v>89</v>
      </c>
      <c r="C34" s="240"/>
      <c r="D34" s="241"/>
    </row>
    <row r="35" spans="1:4" ht="15.75" customHeight="1">
      <c r="A35" s="238"/>
      <c r="B35" s="239" t="s">
        <v>182</v>
      </c>
      <c r="C35" s="240"/>
      <c r="D35" s="241"/>
    </row>
    <row r="36" spans="1:4" ht="15.75" customHeight="1">
      <c r="A36" s="238"/>
      <c r="B36" s="239" t="s">
        <v>242</v>
      </c>
      <c r="C36" s="240"/>
      <c r="D36" s="241"/>
    </row>
    <row r="37" spans="1:4" ht="15.75" customHeight="1" thickBot="1">
      <c r="A37" s="252"/>
      <c r="B37" s="253" t="s">
        <v>243</v>
      </c>
      <c r="C37" s="254"/>
      <c r="D37" s="255"/>
    </row>
    <row r="38" spans="1:6" ht="15.75" customHeight="1" thickBot="1">
      <c r="A38" s="841" t="s">
        <v>720</v>
      </c>
      <c r="B38" s="842"/>
      <c r="C38" s="247"/>
      <c r="D38" s="628">
        <f>+D8+D14+SUM(D15:D37)</f>
        <v>0</v>
      </c>
      <c r="F38" s="256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dőlt"Nyírpazony Nagyközség Önkormányzat&amp;R&amp;"Times New Roman,Félkövér dőlt"7.4. tájékoztató tábla a 7/2017. (IV. 28.)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375" style="282" customWidth="1"/>
    <col min="2" max="2" width="58.375" style="282" customWidth="1"/>
    <col min="3" max="5" width="25.00390625" style="282" customWidth="1"/>
    <col min="6" max="6" width="5.50390625" style="282" customWidth="1"/>
    <col min="7" max="16384" width="9.375" style="282" customWidth="1"/>
  </cols>
  <sheetData>
    <row r="1" spans="1:6" ht="12.75">
      <c r="A1" s="283"/>
      <c r="F1" s="846" t="str">
        <f>+CONCATENATE("8. tájékoztató tábla a 7/",LEFT(ÖSSZEFÜGGÉSEK!A4,4)+1,".(IV. 28.) önkormányzati rendelethez")</f>
        <v>8. tájékoztató tábla a 7/2017.(IV. 28.) önkormányzati rendelethez</v>
      </c>
    </row>
    <row r="2" spans="1:6" ht="33" customHeight="1">
      <c r="A2" s="843" t="str">
        <f>+CONCATENATE("A Nyírpazony Nagyközség Önkormányzat tulajdonában álló gazdálkodó szervezetek működéséből származó",CHAR(10),"kötelezettségek és részesedések alakulása a ",LEFT(ÖSSZEFÜGGÉSEK!A4,4),". évben")</f>
        <v>A Nyírpazony Nagyközség Önkormányzat tulajdonában álló gazdálkodó szervezetek működéséből származó
kötelezettségek és részesedések alakulása a 2016. évben</v>
      </c>
      <c r="B2" s="843"/>
      <c r="C2" s="843"/>
      <c r="D2" s="843"/>
      <c r="E2" s="843"/>
      <c r="F2" s="846"/>
    </row>
    <row r="3" spans="1:6" ht="16.5" thickBot="1">
      <c r="A3" s="284"/>
      <c r="F3" s="846"/>
    </row>
    <row r="4" spans="1:6" ht="79.5" thickBot="1">
      <c r="A4" s="285" t="s">
        <v>245</v>
      </c>
      <c r="B4" s="286" t="s">
        <v>292</v>
      </c>
      <c r="C4" s="286" t="s">
        <v>293</v>
      </c>
      <c r="D4" s="286" t="s">
        <v>294</v>
      </c>
      <c r="E4" s="287" t="s">
        <v>295</v>
      </c>
      <c r="F4" s="846"/>
    </row>
    <row r="5" spans="1:6" ht="15.75">
      <c r="A5" s="288" t="s">
        <v>7</v>
      </c>
      <c r="B5" s="292"/>
      <c r="C5" s="295"/>
      <c r="D5" s="298"/>
      <c r="E5" s="302"/>
      <c r="F5" s="846"/>
    </row>
    <row r="6" spans="1:6" ht="15.75">
      <c r="A6" s="289" t="s">
        <v>8</v>
      </c>
      <c r="B6" s="293"/>
      <c r="C6" s="296"/>
      <c r="D6" s="299"/>
      <c r="E6" s="303"/>
      <c r="F6" s="846"/>
    </row>
    <row r="7" spans="1:6" ht="15.75">
      <c r="A7" s="289" t="s">
        <v>9</v>
      </c>
      <c r="B7" s="293"/>
      <c r="C7" s="296"/>
      <c r="D7" s="299"/>
      <c r="E7" s="303"/>
      <c r="F7" s="846"/>
    </row>
    <row r="8" spans="1:6" ht="15.75">
      <c r="A8" s="289" t="s">
        <v>10</v>
      </c>
      <c r="B8" s="293"/>
      <c r="C8" s="296"/>
      <c r="D8" s="299"/>
      <c r="E8" s="303"/>
      <c r="F8" s="846"/>
    </row>
    <row r="9" spans="1:6" ht="15.75">
      <c r="A9" s="289" t="s">
        <v>11</v>
      </c>
      <c r="B9" s="293"/>
      <c r="C9" s="296"/>
      <c r="D9" s="299"/>
      <c r="E9" s="303"/>
      <c r="F9" s="846"/>
    </row>
    <row r="10" spans="1:6" ht="15.75">
      <c r="A10" s="289" t="s">
        <v>12</v>
      </c>
      <c r="B10" s="293"/>
      <c r="C10" s="296"/>
      <c r="D10" s="299"/>
      <c r="E10" s="303"/>
      <c r="F10" s="846"/>
    </row>
    <row r="11" spans="1:6" ht="15.75">
      <c r="A11" s="289" t="s">
        <v>13</v>
      </c>
      <c r="B11" s="293"/>
      <c r="C11" s="296"/>
      <c r="D11" s="299"/>
      <c r="E11" s="303"/>
      <c r="F11" s="846"/>
    </row>
    <row r="12" spans="1:6" ht="15.75">
      <c r="A12" s="289" t="s">
        <v>14</v>
      </c>
      <c r="B12" s="293"/>
      <c r="C12" s="296"/>
      <c r="D12" s="299"/>
      <c r="E12" s="303"/>
      <c r="F12" s="846"/>
    </row>
    <row r="13" spans="1:6" ht="15.75">
      <c r="A13" s="289" t="s">
        <v>15</v>
      </c>
      <c r="B13" s="293"/>
      <c r="C13" s="296"/>
      <c r="D13" s="299"/>
      <c r="E13" s="303"/>
      <c r="F13" s="846"/>
    </row>
    <row r="14" spans="1:6" ht="15.75">
      <c r="A14" s="289" t="s">
        <v>16</v>
      </c>
      <c r="B14" s="293"/>
      <c r="C14" s="296"/>
      <c r="D14" s="299"/>
      <c r="E14" s="303"/>
      <c r="F14" s="846"/>
    </row>
    <row r="15" spans="1:6" ht="15.75">
      <c r="A15" s="289" t="s">
        <v>17</v>
      </c>
      <c r="B15" s="293"/>
      <c r="C15" s="296"/>
      <c r="D15" s="299"/>
      <c r="E15" s="303"/>
      <c r="F15" s="846"/>
    </row>
    <row r="16" spans="1:6" ht="15.75">
      <c r="A16" s="289" t="s">
        <v>18</v>
      </c>
      <c r="B16" s="293"/>
      <c r="C16" s="296"/>
      <c r="D16" s="299"/>
      <c r="E16" s="303"/>
      <c r="F16" s="846"/>
    </row>
    <row r="17" spans="1:6" ht="15.75">
      <c r="A17" s="289" t="s">
        <v>19</v>
      </c>
      <c r="B17" s="293"/>
      <c r="C17" s="296"/>
      <c r="D17" s="299"/>
      <c r="E17" s="303"/>
      <c r="F17" s="846"/>
    </row>
    <row r="18" spans="1:6" ht="15.75">
      <c r="A18" s="289" t="s">
        <v>20</v>
      </c>
      <c r="B18" s="293"/>
      <c r="C18" s="296"/>
      <c r="D18" s="299"/>
      <c r="E18" s="303"/>
      <c r="F18" s="846"/>
    </row>
    <row r="19" spans="1:6" ht="15.75">
      <c r="A19" s="289" t="s">
        <v>21</v>
      </c>
      <c r="B19" s="293"/>
      <c r="C19" s="296"/>
      <c r="D19" s="299"/>
      <c r="E19" s="303"/>
      <c r="F19" s="846"/>
    </row>
    <row r="20" spans="1:6" ht="15.75">
      <c r="A20" s="289" t="s">
        <v>22</v>
      </c>
      <c r="B20" s="293"/>
      <c r="C20" s="296"/>
      <c r="D20" s="299"/>
      <c r="E20" s="303"/>
      <c r="F20" s="846"/>
    </row>
    <row r="21" spans="1:6" ht="16.5" thickBot="1">
      <c r="A21" s="290" t="s">
        <v>23</v>
      </c>
      <c r="B21" s="294"/>
      <c r="C21" s="297"/>
      <c r="D21" s="300"/>
      <c r="E21" s="304"/>
      <c r="F21" s="846"/>
    </row>
    <row r="22" spans="1:6" ht="16.5" thickBot="1">
      <c r="A22" s="844" t="s">
        <v>296</v>
      </c>
      <c r="B22" s="845"/>
      <c r="C22" s="291"/>
      <c r="D22" s="301">
        <f>IF(SUM(D5:D21)=0,"",SUM(D5:D21))</f>
      </c>
      <c r="E22" s="305">
        <f>IF(SUM(E5:E21)=0,"",SUM(E5:E21))</f>
      </c>
      <c r="F22" s="846"/>
    </row>
    <row r="23" ht="15.75">
      <c r="A23" s="284"/>
    </row>
  </sheetData>
  <sheetProtection/>
  <mergeCells count="3">
    <mergeCell ref="A2:E2"/>
    <mergeCell ref="A22:B22"/>
    <mergeCell ref="F1:F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10" sqref="E10"/>
    </sheetView>
  </sheetViews>
  <sheetFormatPr defaultColWidth="9.00390625" defaultRowHeight="12.75"/>
  <cols>
    <col min="1" max="1" width="9.50390625" style="376" customWidth="1"/>
    <col min="2" max="2" width="60.875" style="376" customWidth="1"/>
    <col min="3" max="5" width="15.875" style="377" customWidth="1"/>
    <col min="6" max="16384" width="9.375" style="387" customWidth="1"/>
  </cols>
  <sheetData>
    <row r="1" spans="1:5" ht="15.75" customHeight="1">
      <c r="A1" s="704" t="s">
        <v>4</v>
      </c>
      <c r="B1" s="704"/>
      <c r="C1" s="704"/>
      <c r="D1" s="704"/>
      <c r="E1" s="704"/>
    </row>
    <row r="2" spans="1:5" ht="15.75" customHeight="1" thickBot="1">
      <c r="A2" s="46" t="s">
        <v>109</v>
      </c>
      <c r="B2" s="46"/>
      <c r="C2" s="374"/>
      <c r="D2" s="374"/>
      <c r="E2" s="374" t="str">
        <f>'1.2.sz.mell.'!E2</f>
        <v>Forintban!</v>
      </c>
    </row>
    <row r="3" spans="1:5" ht="15.75" customHeight="1">
      <c r="A3" s="705" t="s">
        <v>57</v>
      </c>
      <c r="B3" s="707" t="s">
        <v>6</v>
      </c>
      <c r="C3" s="709" t="str">
        <f>+'1.1.sz.mell.'!C3:E3</f>
        <v>2016. évi</v>
      </c>
      <c r="D3" s="709"/>
      <c r="E3" s="710"/>
    </row>
    <row r="4" spans="1:5" ht="37.5" customHeight="1" thickBot="1">
      <c r="A4" s="706"/>
      <c r="B4" s="708"/>
      <c r="C4" s="48" t="s">
        <v>173</v>
      </c>
      <c r="D4" s="48" t="s">
        <v>178</v>
      </c>
      <c r="E4" s="49" t="s">
        <v>179</v>
      </c>
    </row>
    <row r="5" spans="1:5" s="388" customFormat="1" ht="12" customHeight="1" thickBot="1">
      <c r="A5" s="352" t="s">
        <v>411</v>
      </c>
      <c r="B5" s="353" t="s">
        <v>412</v>
      </c>
      <c r="C5" s="353" t="s">
        <v>413</v>
      </c>
      <c r="D5" s="353" t="s">
        <v>414</v>
      </c>
      <c r="E5" s="399" t="s">
        <v>415</v>
      </c>
    </row>
    <row r="6" spans="1:5" s="389" customFormat="1" ht="12" customHeight="1" thickBot="1">
      <c r="A6" s="347" t="s">
        <v>7</v>
      </c>
      <c r="B6" s="348" t="s">
        <v>303</v>
      </c>
      <c r="C6" s="379">
        <f>SUM(C7:C12)</f>
        <v>10250000</v>
      </c>
      <c r="D6" s="379">
        <f>SUM(D7:D12)</f>
        <v>10250000</v>
      </c>
      <c r="E6" s="362">
        <f>SUM(E7:E12)</f>
        <v>10250000</v>
      </c>
    </row>
    <row r="7" spans="1:5" s="389" customFormat="1" ht="12" customHeight="1">
      <c r="A7" s="342" t="s">
        <v>69</v>
      </c>
      <c r="B7" s="390" t="s">
        <v>304</v>
      </c>
      <c r="C7" s="381"/>
      <c r="D7" s="381"/>
      <c r="E7" s="364"/>
    </row>
    <row r="8" spans="1:5" s="389" customFormat="1" ht="12" customHeight="1">
      <c r="A8" s="341" t="s">
        <v>70</v>
      </c>
      <c r="B8" s="391" t="s">
        <v>305</v>
      </c>
      <c r="C8" s="380"/>
      <c r="D8" s="380"/>
      <c r="E8" s="363"/>
    </row>
    <row r="9" spans="1:5" s="389" customFormat="1" ht="12" customHeight="1">
      <c r="A9" s="341" t="s">
        <v>71</v>
      </c>
      <c r="B9" s="391" t="s">
        <v>306</v>
      </c>
      <c r="C9" s="380">
        <v>10250000</v>
      </c>
      <c r="D9" s="380">
        <v>10250000</v>
      </c>
      <c r="E9" s="363">
        <v>10250000</v>
      </c>
    </row>
    <row r="10" spans="1:5" s="389" customFormat="1" ht="12" customHeight="1">
      <c r="A10" s="341" t="s">
        <v>72</v>
      </c>
      <c r="B10" s="391" t="s">
        <v>307</v>
      </c>
      <c r="C10" s="380"/>
      <c r="D10" s="380"/>
      <c r="E10" s="363"/>
    </row>
    <row r="11" spans="1:5" s="389" customFormat="1" ht="12" customHeight="1">
      <c r="A11" s="341" t="s">
        <v>105</v>
      </c>
      <c r="B11" s="391" t="s">
        <v>308</v>
      </c>
      <c r="C11" s="380"/>
      <c r="D11" s="380"/>
      <c r="E11" s="363"/>
    </row>
    <row r="12" spans="1:5" s="389" customFormat="1" ht="12" customHeight="1" thickBot="1">
      <c r="A12" s="343" t="s">
        <v>73</v>
      </c>
      <c r="B12" s="392" t="s">
        <v>309</v>
      </c>
      <c r="C12" s="382"/>
      <c r="D12" s="382"/>
      <c r="E12" s="365"/>
    </row>
    <row r="13" spans="1:5" s="389" customFormat="1" ht="12" customHeight="1" thickBot="1">
      <c r="A13" s="347" t="s">
        <v>8</v>
      </c>
      <c r="B13" s="369" t="s">
        <v>310</v>
      </c>
      <c r="C13" s="379">
        <f>SUM(C14:C18)</f>
        <v>1080000</v>
      </c>
      <c r="D13" s="379">
        <f>SUM(D14:D18)</f>
        <v>1080000</v>
      </c>
      <c r="E13" s="362">
        <f>SUM(E14:E18)</f>
        <v>1080000</v>
      </c>
    </row>
    <row r="14" spans="1:5" s="389" customFormat="1" ht="12" customHeight="1">
      <c r="A14" s="342" t="s">
        <v>75</v>
      </c>
      <c r="B14" s="390" t="s">
        <v>311</v>
      </c>
      <c r="C14" s="381"/>
      <c r="D14" s="381"/>
      <c r="E14" s="364"/>
    </row>
    <row r="15" spans="1:5" s="389" customFormat="1" ht="12" customHeight="1">
      <c r="A15" s="341" t="s">
        <v>76</v>
      </c>
      <c r="B15" s="391" t="s">
        <v>312</v>
      </c>
      <c r="C15" s="380"/>
      <c r="D15" s="380"/>
      <c r="E15" s="363"/>
    </row>
    <row r="16" spans="1:5" s="389" customFormat="1" ht="12" customHeight="1">
      <c r="A16" s="341" t="s">
        <v>77</v>
      </c>
      <c r="B16" s="391" t="s">
        <v>313</v>
      </c>
      <c r="C16" s="380"/>
      <c r="D16" s="380"/>
      <c r="E16" s="363"/>
    </row>
    <row r="17" spans="1:5" s="389" customFormat="1" ht="12" customHeight="1">
      <c r="A17" s="341" t="s">
        <v>78</v>
      </c>
      <c r="B17" s="391" t="s">
        <v>314</v>
      </c>
      <c r="C17" s="380"/>
      <c r="D17" s="380"/>
      <c r="E17" s="363"/>
    </row>
    <row r="18" spans="1:5" s="389" customFormat="1" ht="12" customHeight="1">
      <c r="A18" s="341" t="s">
        <v>79</v>
      </c>
      <c r="B18" s="391" t="s">
        <v>315</v>
      </c>
      <c r="C18" s="380">
        <v>1080000</v>
      </c>
      <c r="D18" s="380">
        <v>1080000</v>
      </c>
      <c r="E18" s="363">
        <v>1080000</v>
      </c>
    </row>
    <row r="19" spans="1:5" s="389" customFormat="1" ht="12" customHeight="1" thickBot="1">
      <c r="A19" s="343" t="s">
        <v>86</v>
      </c>
      <c r="B19" s="392" t="s">
        <v>316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348" t="s">
        <v>317</v>
      </c>
      <c r="C20" s="379">
        <f>SUM(C21:C25)</f>
        <v>0</v>
      </c>
      <c r="D20" s="379">
        <f>SUM(D21:D25)</f>
        <v>0</v>
      </c>
      <c r="E20" s="362">
        <f>SUM(E21:E25)</f>
        <v>0</v>
      </c>
    </row>
    <row r="21" spans="1:5" s="389" customFormat="1" ht="12" customHeight="1">
      <c r="A21" s="342" t="s">
        <v>58</v>
      </c>
      <c r="B21" s="390" t="s">
        <v>318</v>
      </c>
      <c r="C21" s="381"/>
      <c r="D21" s="381"/>
      <c r="E21" s="364"/>
    </row>
    <row r="22" spans="1:5" s="389" customFormat="1" ht="12" customHeight="1">
      <c r="A22" s="341" t="s">
        <v>59</v>
      </c>
      <c r="B22" s="391" t="s">
        <v>319</v>
      </c>
      <c r="C22" s="380"/>
      <c r="D22" s="380"/>
      <c r="E22" s="363"/>
    </row>
    <row r="23" spans="1:5" s="389" customFormat="1" ht="12" customHeight="1">
      <c r="A23" s="341" t="s">
        <v>60</v>
      </c>
      <c r="B23" s="391" t="s">
        <v>320</v>
      </c>
      <c r="C23" s="380"/>
      <c r="D23" s="380"/>
      <c r="E23" s="363"/>
    </row>
    <row r="24" spans="1:5" s="389" customFormat="1" ht="12" customHeight="1">
      <c r="A24" s="341" t="s">
        <v>61</v>
      </c>
      <c r="B24" s="391" t="s">
        <v>321</v>
      </c>
      <c r="C24" s="380"/>
      <c r="D24" s="380"/>
      <c r="E24" s="363"/>
    </row>
    <row r="25" spans="1:5" s="389" customFormat="1" ht="12" customHeight="1">
      <c r="A25" s="341" t="s">
        <v>119</v>
      </c>
      <c r="B25" s="391" t="s">
        <v>322</v>
      </c>
      <c r="C25" s="380"/>
      <c r="D25" s="380"/>
      <c r="E25" s="363"/>
    </row>
    <row r="26" spans="1:5" s="389" customFormat="1" ht="12" customHeight="1" thickBot="1">
      <c r="A26" s="343" t="s">
        <v>120</v>
      </c>
      <c r="B26" s="392" t="s">
        <v>323</v>
      </c>
      <c r="C26" s="382"/>
      <c r="D26" s="382"/>
      <c r="E26" s="365"/>
    </row>
    <row r="27" spans="1:5" s="389" customFormat="1" ht="12" customHeight="1" thickBot="1">
      <c r="A27" s="347" t="s">
        <v>121</v>
      </c>
      <c r="B27" s="348" t="s">
        <v>724</v>
      </c>
      <c r="C27" s="385">
        <f>SUM(C28:C33)</f>
        <v>0</v>
      </c>
      <c r="D27" s="385">
        <f>SUM(D28:D33)</f>
        <v>0</v>
      </c>
      <c r="E27" s="398">
        <f>SUM(E28:E33)</f>
        <v>0</v>
      </c>
    </row>
    <row r="28" spans="1:5" s="389" customFormat="1" ht="12" customHeight="1">
      <c r="A28" s="342" t="s">
        <v>324</v>
      </c>
      <c r="B28" s="390" t="s">
        <v>728</v>
      </c>
      <c r="C28" s="381"/>
      <c r="D28" s="381">
        <f>+D29+D30</f>
        <v>0</v>
      </c>
      <c r="E28" s="364">
        <f>+E29+E30</f>
        <v>0</v>
      </c>
    </row>
    <row r="29" spans="1:5" s="389" customFormat="1" ht="12" customHeight="1">
      <c r="A29" s="341" t="s">
        <v>325</v>
      </c>
      <c r="B29" s="391" t="s">
        <v>729</v>
      </c>
      <c r="C29" s="380"/>
      <c r="D29" s="380"/>
      <c r="E29" s="363"/>
    </row>
    <row r="30" spans="1:5" s="389" customFormat="1" ht="12" customHeight="1">
      <c r="A30" s="341" t="s">
        <v>326</v>
      </c>
      <c r="B30" s="391" t="s">
        <v>730</v>
      </c>
      <c r="C30" s="380"/>
      <c r="D30" s="380"/>
      <c r="E30" s="363"/>
    </row>
    <row r="31" spans="1:5" s="389" customFormat="1" ht="12" customHeight="1">
      <c r="A31" s="341" t="s">
        <v>725</v>
      </c>
      <c r="B31" s="391" t="s">
        <v>731</v>
      </c>
      <c r="C31" s="380"/>
      <c r="D31" s="380"/>
      <c r="E31" s="363"/>
    </row>
    <row r="32" spans="1:5" s="389" customFormat="1" ht="12" customHeight="1">
      <c r="A32" s="341" t="s">
        <v>726</v>
      </c>
      <c r="B32" s="391" t="s">
        <v>327</v>
      </c>
      <c r="C32" s="380"/>
      <c r="D32" s="380"/>
      <c r="E32" s="363"/>
    </row>
    <row r="33" spans="1:5" s="389" customFormat="1" ht="12" customHeight="1" thickBot="1">
      <c r="A33" s="343" t="s">
        <v>727</v>
      </c>
      <c r="B33" s="371" t="s">
        <v>328</v>
      </c>
      <c r="C33" s="382"/>
      <c r="D33" s="382"/>
      <c r="E33" s="365"/>
    </row>
    <row r="34" spans="1:5" s="389" customFormat="1" ht="12" customHeight="1" thickBot="1">
      <c r="A34" s="347" t="s">
        <v>11</v>
      </c>
      <c r="B34" s="348" t="s">
        <v>329</v>
      </c>
      <c r="C34" s="379">
        <f>SUM(C35:C44)</f>
        <v>2440000</v>
      </c>
      <c r="D34" s="379">
        <f>SUM(D35:D44)</f>
        <v>2440000</v>
      </c>
      <c r="E34" s="362">
        <f>SUM(E35:E44)</f>
        <v>2440000</v>
      </c>
    </row>
    <row r="35" spans="1:5" s="389" customFormat="1" ht="12" customHeight="1">
      <c r="A35" s="342" t="s">
        <v>62</v>
      </c>
      <c r="B35" s="390" t="s">
        <v>330</v>
      </c>
      <c r="C35" s="381"/>
      <c r="D35" s="381"/>
      <c r="E35" s="364"/>
    </row>
    <row r="36" spans="1:5" s="389" customFormat="1" ht="12" customHeight="1">
      <c r="A36" s="341" t="s">
        <v>63</v>
      </c>
      <c r="B36" s="391" t="s">
        <v>331</v>
      </c>
      <c r="C36" s="380"/>
      <c r="D36" s="380"/>
      <c r="E36" s="363"/>
    </row>
    <row r="37" spans="1:5" s="389" customFormat="1" ht="12" customHeight="1">
      <c r="A37" s="341" t="s">
        <v>64</v>
      </c>
      <c r="B37" s="391" t="s">
        <v>332</v>
      </c>
      <c r="C37" s="380"/>
      <c r="D37" s="380"/>
      <c r="E37" s="363"/>
    </row>
    <row r="38" spans="1:5" s="389" customFormat="1" ht="12" customHeight="1">
      <c r="A38" s="341" t="s">
        <v>123</v>
      </c>
      <c r="B38" s="391" t="s">
        <v>333</v>
      </c>
      <c r="C38" s="380"/>
      <c r="D38" s="380"/>
      <c r="E38" s="363"/>
    </row>
    <row r="39" spans="1:5" s="389" customFormat="1" ht="12" customHeight="1">
      <c r="A39" s="341" t="s">
        <v>124</v>
      </c>
      <c r="B39" s="391" t="s">
        <v>334</v>
      </c>
      <c r="C39" s="380">
        <v>1921000</v>
      </c>
      <c r="D39" s="380">
        <v>1921000</v>
      </c>
      <c r="E39" s="363">
        <v>1921000</v>
      </c>
    </row>
    <row r="40" spans="1:5" s="389" customFormat="1" ht="12" customHeight="1">
      <c r="A40" s="341" t="s">
        <v>125</v>
      </c>
      <c r="B40" s="391" t="s">
        <v>335</v>
      </c>
      <c r="C40" s="380">
        <v>519000</v>
      </c>
      <c r="D40" s="380">
        <v>519000</v>
      </c>
      <c r="E40" s="363">
        <v>519000</v>
      </c>
    </row>
    <row r="41" spans="1:5" s="389" customFormat="1" ht="12" customHeight="1">
      <c r="A41" s="341" t="s">
        <v>126</v>
      </c>
      <c r="B41" s="391" t="s">
        <v>336</v>
      </c>
      <c r="C41" s="380"/>
      <c r="D41" s="380"/>
      <c r="E41" s="363"/>
    </row>
    <row r="42" spans="1:5" s="389" customFormat="1" ht="12" customHeight="1">
      <c r="A42" s="341" t="s">
        <v>127</v>
      </c>
      <c r="B42" s="391" t="s">
        <v>337</v>
      </c>
      <c r="C42" s="380"/>
      <c r="D42" s="380"/>
      <c r="E42" s="363"/>
    </row>
    <row r="43" spans="1:5" s="389" customFormat="1" ht="12" customHeight="1">
      <c r="A43" s="341" t="s">
        <v>338</v>
      </c>
      <c r="B43" s="391" t="s">
        <v>339</v>
      </c>
      <c r="C43" s="383"/>
      <c r="D43" s="383"/>
      <c r="E43" s="366"/>
    </row>
    <row r="44" spans="1:5" s="389" customFormat="1" ht="12" customHeight="1" thickBot="1">
      <c r="A44" s="343" t="s">
        <v>340</v>
      </c>
      <c r="B44" s="392" t="s">
        <v>341</v>
      </c>
      <c r="C44" s="384"/>
      <c r="D44" s="384"/>
      <c r="E44" s="367"/>
    </row>
    <row r="45" spans="1:5" s="389" customFormat="1" ht="12" customHeight="1" thickBot="1">
      <c r="A45" s="347" t="s">
        <v>12</v>
      </c>
      <c r="B45" s="348" t="s">
        <v>342</v>
      </c>
      <c r="C45" s="379">
        <f>SUM(C46:C50)</f>
        <v>0</v>
      </c>
      <c r="D45" s="379">
        <f>SUM(D46:D50)</f>
        <v>0</v>
      </c>
      <c r="E45" s="362">
        <f>SUM(E46:E50)</f>
        <v>0</v>
      </c>
    </row>
    <row r="46" spans="1:5" s="389" customFormat="1" ht="12" customHeight="1">
      <c r="A46" s="342" t="s">
        <v>65</v>
      </c>
      <c r="B46" s="390" t="s">
        <v>343</v>
      </c>
      <c r="C46" s="400"/>
      <c r="D46" s="400"/>
      <c r="E46" s="368"/>
    </row>
    <row r="47" spans="1:5" s="389" customFormat="1" ht="12" customHeight="1">
      <c r="A47" s="341" t="s">
        <v>66</v>
      </c>
      <c r="B47" s="391" t="s">
        <v>344</v>
      </c>
      <c r="C47" s="383"/>
      <c r="D47" s="383"/>
      <c r="E47" s="366"/>
    </row>
    <row r="48" spans="1:5" s="389" customFormat="1" ht="12" customHeight="1">
      <c r="A48" s="341" t="s">
        <v>345</v>
      </c>
      <c r="B48" s="391" t="s">
        <v>346</v>
      </c>
      <c r="C48" s="383"/>
      <c r="D48" s="383"/>
      <c r="E48" s="366"/>
    </row>
    <row r="49" spans="1:5" s="389" customFormat="1" ht="12" customHeight="1">
      <c r="A49" s="341" t="s">
        <v>347</v>
      </c>
      <c r="B49" s="391" t="s">
        <v>348</v>
      </c>
      <c r="C49" s="383"/>
      <c r="D49" s="383"/>
      <c r="E49" s="366"/>
    </row>
    <row r="50" spans="1:5" s="389" customFormat="1" ht="12" customHeight="1" thickBot="1">
      <c r="A50" s="343" t="s">
        <v>349</v>
      </c>
      <c r="B50" s="392" t="s">
        <v>350</v>
      </c>
      <c r="C50" s="384"/>
      <c r="D50" s="384"/>
      <c r="E50" s="367"/>
    </row>
    <row r="51" spans="1:5" s="389" customFormat="1" ht="17.25" customHeight="1" thickBot="1">
      <c r="A51" s="347" t="s">
        <v>128</v>
      </c>
      <c r="B51" s="348" t="s">
        <v>351</v>
      </c>
      <c r="C51" s="379">
        <f>SUM(C52:C54)</f>
        <v>0</v>
      </c>
      <c r="D51" s="379">
        <f>SUM(D52:D54)</f>
        <v>0</v>
      </c>
      <c r="E51" s="362">
        <f>SUM(E52:E54)</f>
        <v>0</v>
      </c>
    </row>
    <row r="52" spans="1:5" s="389" customFormat="1" ht="12" customHeight="1">
      <c r="A52" s="342" t="s">
        <v>67</v>
      </c>
      <c r="B52" s="390" t="s">
        <v>352</v>
      </c>
      <c r="C52" s="381"/>
      <c r="D52" s="381"/>
      <c r="E52" s="364"/>
    </row>
    <row r="53" spans="1:5" s="389" customFormat="1" ht="12" customHeight="1">
      <c r="A53" s="341" t="s">
        <v>68</v>
      </c>
      <c r="B53" s="391" t="s">
        <v>353</v>
      </c>
      <c r="C53" s="380"/>
      <c r="D53" s="380"/>
      <c r="E53" s="363"/>
    </row>
    <row r="54" spans="1:5" s="389" customFormat="1" ht="12" customHeight="1">
      <c r="A54" s="341" t="s">
        <v>354</v>
      </c>
      <c r="B54" s="391" t="s">
        <v>355</v>
      </c>
      <c r="C54" s="380"/>
      <c r="D54" s="380"/>
      <c r="E54" s="363"/>
    </row>
    <row r="55" spans="1:5" s="389" customFormat="1" ht="12" customHeight="1" thickBot="1">
      <c r="A55" s="343" t="s">
        <v>356</v>
      </c>
      <c r="B55" s="392" t="s">
        <v>357</v>
      </c>
      <c r="C55" s="382"/>
      <c r="D55" s="382"/>
      <c r="E55" s="365"/>
    </row>
    <row r="56" spans="1:5" s="389" customFormat="1" ht="12" customHeight="1" thickBot="1">
      <c r="A56" s="347" t="s">
        <v>14</v>
      </c>
      <c r="B56" s="369" t="s">
        <v>358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2" customHeight="1">
      <c r="A57" s="342" t="s">
        <v>129</v>
      </c>
      <c r="B57" s="390" t="s">
        <v>359</v>
      </c>
      <c r="C57" s="383"/>
      <c r="D57" s="383"/>
      <c r="E57" s="366"/>
    </row>
    <row r="58" spans="1:5" s="389" customFormat="1" ht="12" customHeight="1">
      <c r="A58" s="341" t="s">
        <v>130</v>
      </c>
      <c r="B58" s="391" t="s">
        <v>360</v>
      </c>
      <c r="C58" s="383"/>
      <c r="D58" s="383"/>
      <c r="E58" s="366"/>
    </row>
    <row r="59" spans="1:5" s="389" customFormat="1" ht="12" customHeight="1">
      <c r="A59" s="341" t="s">
        <v>154</v>
      </c>
      <c r="B59" s="391" t="s">
        <v>361</v>
      </c>
      <c r="C59" s="383"/>
      <c r="D59" s="383"/>
      <c r="E59" s="366"/>
    </row>
    <row r="60" spans="1:5" s="389" customFormat="1" ht="12" customHeight="1" thickBot="1">
      <c r="A60" s="343" t="s">
        <v>362</v>
      </c>
      <c r="B60" s="392" t="s">
        <v>363</v>
      </c>
      <c r="C60" s="383"/>
      <c r="D60" s="383"/>
      <c r="E60" s="366"/>
    </row>
    <row r="61" spans="1:5" s="389" customFormat="1" ht="12" customHeight="1" thickBot="1">
      <c r="A61" s="347" t="s">
        <v>15</v>
      </c>
      <c r="B61" s="348" t="s">
        <v>364</v>
      </c>
      <c r="C61" s="385">
        <f>+C6+C13+C20+C27+C34+C45+C51+C56</f>
        <v>13770000</v>
      </c>
      <c r="D61" s="385">
        <f>+D6+D13+D20+D27+D34+D45+D51+D56</f>
        <v>13770000</v>
      </c>
      <c r="E61" s="398">
        <f>+E6+E13+E20+E27+E34+E45+E51+E56</f>
        <v>13770000</v>
      </c>
    </row>
    <row r="62" spans="1:5" s="389" customFormat="1" ht="12" customHeight="1" thickBot="1">
      <c r="A62" s="401" t="s">
        <v>365</v>
      </c>
      <c r="B62" s="369" t="s">
        <v>366</v>
      </c>
      <c r="C62" s="379">
        <f>+C63+C64+C65</f>
        <v>0</v>
      </c>
      <c r="D62" s="379">
        <f>+D63+D64+D65</f>
        <v>0</v>
      </c>
      <c r="E62" s="362">
        <f>+E63+E64+E65</f>
        <v>0</v>
      </c>
    </row>
    <row r="63" spans="1:5" s="389" customFormat="1" ht="12" customHeight="1">
      <c r="A63" s="342" t="s">
        <v>367</v>
      </c>
      <c r="B63" s="390" t="s">
        <v>368</v>
      </c>
      <c r="C63" s="383"/>
      <c r="D63" s="383"/>
      <c r="E63" s="366"/>
    </row>
    <row r="64" spans="1:5" s="389" customFormat="1" ht="12" customHeight="1">
      <c r="A64" s="341" t="s">
        <v>369</v>
      </c>
      <c r="B64" s="391" t="s">
        <v>370</v>
      </c>
      <c r="C64" s="383"/>
      <c r="D64" s="383"/>
      <c r="E64" s="366"/>
    </row>
    <row r="65" spans="1:5" s="389" customFormat="1" ht="12" customHeight="1" thickBot="1">
      <c r="A65" s="343" t="s">
        <v>371</v>
      </c>
      <c r="B65" s="327" t="s">
        <v>416</v>
      </c>
      <c r="C65" s="383"/>
      <c r="D65" s="383"/>
      <c r="E65" s="366"/>
    </row>
    <row r="66" spans="1:5" s="389" customFormat="1" ht="12" customHeight="1" thickBot="1">
      <c r="A66" s="401" t="s">
        <v>373</v>
      </c>
      <c r="B66" s="369" t="s">
        <v>374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3.5" customHeight="1">
      <c r="A67" s="342" t="s">
        <v>106</v>
      </c>
      <c r="B67" s="390" t="s">
        <v>375</v>
      </c>
      <c r="C67" s="383"/>
      <c r="D67" s="383"/>
      <c r="E67" s="366"/>
    </row>
    <row r="68" spans="1:5" s="389" customFormat="1" ht="12" customHeight="1">
      <c r="A68" s="341" t="s">
        <v>107</v>
      </c>
      <c r="B68" s="391" t="s">
        <v>376</v>
      </c>
      <c r="C68" s="383"/>
      <c r="D68" s="383"/>
      <c r="E68" s="366"/>
    </row>
    <row r="69" spans="1:5" s="389" customFormat="1" ht="12" customHeight="1">
      <c r="A69" s="341" t="s">
        <v>377</v>
      </c>
      <c r="B69" s="391" t="s">
        <v>378</v>
      </c>
      <c r="C69" s="383"/>
      <c r="D69" s="383"/>
      <c r="E69" s="366"/>
    </row>
    <row r="70" spans="1:5" s="389" customFormat="1" ht="12" customHeight="1" thickBot="1">
      <c r="A70" s="343" t="s">
        <v>379</v>
      </c>
      <c r="B70" s="392" t="s">
        <v>380</v>
      </c>
      <c r="C70" s="383"/>
      <c r="D70" s="383"/>
      <c r="E70" s="366"/>
    </row>
    <row r="71" spans="1:5" s="389" customFormat="1" ht="12" customHeight="1" thickBot="1">
      <c r="A71" s="401" t="s">
        <v>381</v>
      </c>
      <c r="B71" s="369" t="s">
        <v>382</v>
      </c>
      <c r="C71" s="379">
        <f>+C72+C73</f>
        <v>0</v>
      </c>
      <c r="D71" s="379">
        <f>+D72+D73</f>
        <v>0</v>
      </c>
      <c r="E71" s="362">
        <f>+E72+E73</f>
        <v>0</v>
      </c>
    </row>
    <row r="72" spans="1:5" s="389" customFormat="1" ht="12" customHeight="1">
      <c r="A72" s="342" t="s">
        <v>383</v>
      </c>
      <c r="B72" s="390" t="s">
        <v>384</v>
      </c>
      <c r="C72" s="383"/>
      <c r="D72" s="383"/>
      <c r="E72" s="366"/>
    </row>
    <row r="73" spans="1:5" s="389" customFormat="1" ht="12" customHeight="1" thickBot="1">
      <c r="A73" s="343" t="s">
        <v>385</v>
      </c>
      <c r="B73" s="392" t="s">
        <v>386</v>
      </c>
      <c r="C73" s="383"/>
      <c r="D73" s="383"/>
      <c r="E73" s="366"/>
    </row>
    <row r="74" spans="1:5" s="389" customFormat="1" ht="12" customHeight="1" thickBot="1">
      <c r="A74" s="401" t="s">
        <v>387</v>
      </c>
      <c r="B74" s="369" t="s">
        <v>388</v>
      </c>
      <c r="C74" s="379">
        <f>+C75+C76+C77</f>
        <v>0</v>
      </c>
      <c r="D74" s="379">
        <f>+D75+D76+D77</f>
        <v>0</v>
      </c>
      <c r="E74" s="362">
        <f>+E75+E76+E77</f>
        <v>0</v>
      </c>
    </row>
    <row r="75" spans="1:5" s="389" customFormat="1" ht="12" customHeight="1">
      <c r="A75" s="342" t="s">
        <v>389</v>
      </c>
      <c r="B75" s="390" t="s">
        <v>390</v>
      </c>
      <c r="C75" s="383"/>
      <c r="D75" s="383"/>
      <c r="E75" s="366"/>
    </row>
    <row r="76" spans="1:5" s="389" customFormat="1" ht="12" customHeight="1">
      <c r="A76" s="341" t="s">
        <v>391</v>
      </c>
      <c r="B76" s="391" t="s">
        <v>392</v>
      </c>
      <c r="C76" s="383"/>
      <c r="D76" s="383"/>
      <c r="E76" s="366"/>
    </row>
    <row r="77" spans="1:5" s="389" customFormat="1" ht="12" customHeight="1" thickBot="1">
      <c r="A77" s="343" t="s">
        <v>393</v>
      </c>
      <c r="B77" s="371" t="s">
        <v>394</v>
      </c>
      <c r="C77" s="383"/>
      <c r="D77" s="383"/>
      <c r="E77" s="366"/>
    </row>
    <row r="78" spans="1:5" s="389" customFormat="1" ht="12" customHeight="1" thickBot="1">
      <c r="A78" s="401" t="s">
        <v>395</v>
      </c>
      <c r="B78" s="369" t="s">
        <v>396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>
      <c r="A79" s="393" t="s">
        <v>397</v>
      </c>
      <c r="B79" s="390" t="s">
        <v>398</v>
      </c>
      <c r="C79" s="383"/>
      <c r="D79" s="383"/>
      <c r="E79" s="366"/>
    </row>
    <row r="80" spans="1:5" s="389" customFormat="1" ht="12" customHeight="1">
      <c r="A80" s="394" t="s">
        <v>399</v>
      </c>
      <c r="B80" s="391" t="s">
        <v>400</v>
      </c>
      <c r="C80" s="383"/>
      <c r="D80" s="383"/>
      <c r="E80" s="366"/>
    </row>
    <row r="81" spans="1:5" s="389" customFormat="1" ht="12" customHeight="1">
      <c r="A81" s="394" t="s">
        <v>401</v>
      </c>
      <c r="B81" s="391" t="s">
        <v>402</v>
      </c>
      <c r="C81" s="383"/>
      <c r="D81" s="383"/>
      <c r="E81" s="366"/>
    </row>
    <row r="82" spans="1:5" s="389" customFormat="1" ht="12" customHeight="1" thickBot="1">
      <c r="A82" s="402" t="s">
        <v>403</v>
      </c>
      <c r="B82" s="371" t="s">
        <v>404</v>
      </c>
      <c r="C82" s="383"/>
      <c r="D82" s="383"/>
      <c r="E82" s="366"/>
    </row>
    <row r="83" spans="1:5" s="389" customFormat="1" ht="12" customHeight="1" thickBot="1">
      <c r="A83" s="401" t="s">
        <v>405</v>
      </c>
      <c r="B83" s="369" t="s">
        <v>406</v>
      </c>
      <c r="C83" s="404"/>
      <c r="D83" s="404"/>
      <c r="E83" s="405"/>
    </row>
    <row r="84" spans="1:5" s="389" customFormat="1" ht="12" customHeight="1" thickBot="1">
      <c r="A84" s="401" t="s">
        <v>407</v>
      </c>
      <c r="B84" s="325" t="s">
        <v>408</v>
      </c>
      <c r="C84" s="385">
        <f>+C62+C66+C71+C74+C78+C83</f>
        <v>0</v>
      </c>
      <c r="D84" s="385">
        <f>+D62+D66+D71+D74+D78+D83</f>
        <v>0</v>
      </c>
      <c r="E84" s="398">
        <f>+E62+E66+E71+E74+E78+E83</f>
        <v>0</v>
      </c>
    </row>
    <row r="85" spans="1:5" s="389" customFormat="1" ht="12" customHeight="1" thickBot="1">
      <c r="A85" s="403" t="s">
        <v>409</v>
      </c>
      <c r="B85" s="328" t="s">
        <v>410</v>
      </c>
      <c r="C85" s="385">
        <f>+C61+C84</f>
        <v>13770000</v>
      </c>
      <c r="D85" s="385">
        <f>+D61+D84</f>
        <v>13770000</v>
      </c>
      <c r="E85" s="398">
        <f>+E61+E84</f>
        <v>13770000</v>
      </c>
    </row>
    <row r="86" spans="1:5" s="389" customFormat="1" ht="12" customHeight="1">
      <c r="A86" s="323"/>
      <c r="B86" s="323"/>
      <c r="C86" s="324"/>
      <c r="D86" s="324"/>
      <c r="E86" s="324"/>
    </row>
    <row r="87" spans="1:5" ht="16.5" customHeight="1">
      <c r="A87" s="704" t="s">
        <v>36</v>
      </c>
      <c r="B87" s="704"/>
      <c r="C87" s="704"/>
      <c r="D87" s="704"/>
      <c r="E87" s="704"/>
    </row>
    <row r="88" spans="1:5" s="395" customFormat="1" ht="16.5" customHeight="1" thickBot="1">
      <c r="A88" s="47" t="s">
        <v>110</v>
      </c>
      <c r="B88" s="47"/>
      <c r="C88" s="356"/>
      <c r="D88" s="356"/>
      <c r="E88" s="356" t="str">
        <f>E2</f>
        <v>Forintban!</v>
      </c>
    </row>
    <row r="89" spans="1:5" s="395" customFormat="1" ht="16.5" customHeight="1">
      <c r="A89" s="705" t="s">
        <v>57</v>
      </c>
      <c r="B89" s="707" t="s">
        <v>172</v>
      </c>
      <c r="C89" s="709" t="str">
        <f>+C3</f>
        <v>2016. évi</v>
      </c>
      <c r="D89" s="709"/>
      <c r="E89" s="710"/>
    </row>
    <row r="90" spans="1:5" ht="37.5" customHeight="1" thickBot="1">
      <c r="A90" s="706"/>
      <c r="B90" s="708"/>
      <c r="C90" s="48" t="s">
        <v>173</v>
      </c>
      <c r="D90" s="48" t="s">
        <v>178</v>
      </c>
      <c r="E90" s="49" t="s">
        <v>179</v>
      </c>
    </row>
    <row r="91" spans="1:5" s="388" customFormat="1" ht="12" customHeight="1" thickBot="1">
      <c r="A91" s="352" t="s">
        <v>411</v>
      </c>
      <c r="B91" s="353" t="s">
        <v>412</v>
      </c>
      <c r="C91" s="353" t="s">
        <v>413</v>
      </c>
      <c r="D91" s="353" t="s">
        <v>414</v>
      </c>
      <c r="E91" s="354" t="s">
        <v>415</v>
      </c>
    </row>
    <row r="92" spans="1:5" ht="12" customHeight="1" thickBot="1">
      <c r="A92" s="347" t="s">
        <v>7</v>
      </c>
      <c r="B92" s="350" t="s">
        <v>417</v>
      </c>
      <c r="C92" s="379">
        <f>SUM(C93:C97)</f>
        <v>12370000</v>
      </c>
      <c r="D92" s="379">
        <f>SUM(D93:D97)</f>
        <v>12370000</v>
      </c>
      <c r="E92" s="362">
        <f>SUM(E93:E97)</f>
        <v>12370000</v>
      </c>
    </row>
    <row r="93" spans="1:5" ht="12" customHeight="1">
      <c r="A93" s="344" t="s">
        <v>69</v>
      </c>
      <c r="B93" s="337" t="s">
        <v>37</v>
      </c>
      <c r="C93" s="78">
        <v>7175000</v>
      </c>
      <c r="D93" s="78">
        <v>7175000</v>
      </c>
      <c r="E93" s="498">
        <v>7175000</v>
      </c>
    </row>
    <row r="94" spans="1:5" ht="12" customHeight="1">
      <c r="A94" s="341" t="s">
        <v>70</v>
      </c>
      <c r="B94" s="335" t="s">
        <v>131</v>
      </c>
      <c r="C94" s="380">
        <v>2001000</v>
      </c>
      <c r="D94" s="380">
        <v>2001000</v>
      </c>
      <c r="E94" s="499">
        <v>2001000</v>
      </c>
    </row>
    <row r="95" spans="1:5" ht="12" customHeight="1">
      <c r="A95" s="341" t="s">
        <v>71</v>
      </c>
      <c r="B95" s="335" t="s">
        <v>98</v>
      </c>
      <c r="C95" s="380">
        <v>3194000</v>
      </c>
      <c r="D95" s="380">
        <v>3194000</v>
      </c>
      <c r="E95" s="499">
        <v>3194000</v>
      </c>
    </row>
    <row r="96" spans="1:5" ht="12" customHeight="1">
      <c r="A96" s="341" t="s">
        <v>72</v>
      </c>
      <c r="B96" s="338" t="s">
        <v>132</v>
      </c>
      <c r="C96" s="380"/>
      <c r="D96" s="380"/>
      <c r="E96" s="499"/>
    </row>
    <row r="97" spans="1:5" ht="12" customHeight="1">
      <c r="A97" s="341" t="s">
        <v>81</v>
      </c>
      <c r="B97" s="346" t="s">
        <v>133</v>
      </c>
      <c r="C97" s="382"/>
      <c r="D97" s="382"/>
      <c r="E97" s="365"/>
    </row>
    <row r="98" spans="1:5" ht="12" customHeight="1">
      <c r="A98" s="341" t="s">
        <v>73</v>
      </c>
      <c r="B98" s="335" t="s">
        <v>418</v>
      </c>
      <c r="C98" s="382"/>
      <c r="D98" s="382"/>
      <c r="E98" s="365"/>
    </row>
    <row r="99" spans="1:5" ht="12" customHeight="1">
      <c r="A99" s="341" t="s">
        <v>74</v>
      </c>
      <c r="B99" s="358" t="s">
        <v>419</v>
      </c>
      <c r="C99" s="382"/>
      <c r="D99" s="382"/>
      <c r="E99" s="365"/>
    </row>
    <row r="100" spans="1:5" ht="12" customHeight="1">
      <c r="A100" s="341" t="s">
        <v>82</v>
      </c>
      <c r="B100" s="359" t="s">
        <v>420</v>
      </c>
      <c r="C100" s="382"/>
      <c r="D100" s="382"/>
      <c r="E100" s="365"/>
    </row>
    <row r="101" spans="1:5" ht="12" customHeight="1">
      <c r="A101" s="341" t="s">
        <v>83</v>
      </c>
      <c r="B101" s="359" t="s">
        <v>421</v>
      </c>
      <c r="C101" s="382"/>
      <c r="D101" s="382"/>
      <c r="E101" s="365"/>
    </row>
    <row r="102" spans="1:5" ht="12" customHeight="1">
      <c r="A102" s="341" t="s">
        <v>84</v>
      </c>
      <c r="B102" s="358" t="s">
        <v>422</v>
      </c>
      <c r="C102" s="382"/>
      <c r="D102" s="382"/>
      <c r="E102" s="365"/>
    </row>
    <row r="103" spans="1:5" ht="12" customHeight="1">
      <c r="A103" s="341" t="s">
        <v>85</v>
      </c>
      <c r="B103" s="358" t="s">
        <v>423</v>
      </c>
      <c r="C103" s="382"/>
      <c r="D103" s="382"/>
      <c r="E103" s="365"/>
    </row>
    <row r="104" spans="1:5" ht="12" customHeight="1">
      <c r="A104" s="341" t="s">
        <v>87</v>
      </c>
      <c r="B104" s="359" t="s">
        <v>424</v>
      </c>
      <c r="C104" s="382"/>
      <c r="D104" s="382"/>
      <c r="E104" s="365"/>
    </row>
    <row r="105" spans="1:5" ht="12" customHeight="1">
      <c r="A105" s="340" t="s">
        <v>134</v>
      </c>
      <c r="B105" s="360" t="s">
        <v>425</v>
      </c>
      <c r="C105" s="382"/>
      <c r="D105" s="382"/>
      <c r="E105" s="365"/>
    </row>
    <row r="106" spans="1:5" ht="12" customHeight="1">
      <c r="A106" s="341" t="s">
        <v>426</v>
      </c>
      <c r="B106" s="360" t="s">
        <v>427</v>
      </c>
      <c r="C106" s="382"/>
      <c r="D106" s="382"/>
      <c r="E106" s="365"/>
    </row>
    <row r="107" spans="1:5" ht="12" customHeight="1" thickBot="1">
      <c r="A107" s="345" t="s">
        <v>428</v>
      </c>
      <c r="B107" s="361" t="s">
        <v>429</v>
      </c>
      <c r="C107" s="79"/>
      <c r="D107" s="79"/>
      <c r="E107" s="326"/>
    </row>
    <row r="108" spans="1:5" ht="12" customHeight="1" thickBot="1">
      <c r="A108" s="347" t="s">
        <v>8</v>
      </c>
      <c r="B108" s="350" t="s">
        <v>430</v>
      </c>
      <c r="C108" s="379">
        <f>+C109+C111+C113</f>
        <v>1400000</v>
      </c>
      <c r="D108" s="379">
        <f>+D109+D111+D113</f>
        <v>1400000</v>
      </c>
      <c r="E108" s="362">
        <f>+E109+E111+E113</f>
        <v>1400000</v>
      </c>
    </row>
    <row r="109" spans="1:5" ht="12" customHeight="1">
      <c r="A109" s="342" t="s">
        <v>75</v>
      </c>
      <c r="B109" s="335" t="s">
        <v>153</v>
      </c>
      <c r="C109" s="500">
        <v>1400000</v>
      </c>
      <c r="D109" s="500">
        <v>1400000</v>
      </c>
      <c r="E109" s="500">
        <v>1400000</v>
      </c>
    </row>
    <row r="110" spans="1:5" ht="12" customHeight="1">
      <c r="A110" s="342" t="s">
        <v>76</v>
      </c>
      <c r="B110" s="339" t="s">
        <v>431</v>
      </c>
      <c r="C110" s="381"/>
      <c r="D110" s="381"/>
      <c r="E110" s="364"/>
    </row>
    <row r="111" spans="1:5" ht="15.75">
      <c r="A111" s="342" t="s">
        <v>77</v>
      </c>
      <c r="B111" s="339" t="s">
        <v>135</v>
      </c>
      <c r="C111" s="380"/>
      <c r="D111" s="380"/>
      <c r="E111" s="363"/>
    </row>
    <row r="112" spans="1:5" ht="12" customHeight="1">
      <c r="A112" s="342" t="s">
        <v>78</v>
      </c>
      <c r="B112" s="339" t="s">
        <v>432</v>
      </c>
      <c r="C112" s="380"/>
      <c r="D112" s="380"/>
      <c r="E112" s="363"/>
    </row>
    <row r="113" spans="1:5" ht="12" customHeight="1">
      <c r="A113" s="342" t="s">
        <v>79</v>
      </c>
      <c r="B113" s="371" t="s">
        <v>155</v>
      </c>
      <c r="C113" s="380"/>
      <c r="D113" s="380"/>
      <c r="E113" s="363"/>
    </row>
    <row r="114" spans="1:5" ht="21.75" customHeight="1">
      <c r="A114" s="342" t="s">
        <v>86</v>
      </c>
      <c r="B114" s="370" t="s">
        <v>433</v>
      </c>
      <c r="C114" s="380"/>
      <c r="D114" s="380"/>
      <c r="E114" s="363"/>
    </row>
    <row r="115" spans="1:5" ht="24" customHeight="1">
      <c r="A115" s="342" t="s">
        <v>88</v>
      </c>
      <c r="B115" s="386" t="s">
        <v>434</v>
      </c>
      <c r="C115" s="380"/>
      <c r="D115" s="380"/>
      <c r="E115" s="363"/>
    </row>
    <row r="116" spans="1:5" ht="12" customHeight="1">
      <c r="A116" s="342" t="s">
        <v>136</v>
      </c>
      <c r="B116" s="359" t="s">
        <v>421</v>
      </c>
      <c r="C116" s="380"/>
      <c r="D116" s="380"/>
      <c r="E116" s="363"/>
    </row>
    <row r="117" spans="1:5" ht="12" customHeight="1">
      <c r="A117" s="342" t="s">
        <v>137</v>
      </c>
      <c r="B117" s="359" t="s">
        <v>435</v>
      </c>
      <c r="C117" s="380"/>
      <c r="D117" s="380"/>
      <c r="E117" s="363"/>
    </row>
    <row r="118" spans="1:5" ht="12" customHeight="1">
      <c r="A118" s="342" t="s">
        <v>138</v>
      </c>
      <c r="B118" s="359" t="s">
        <v>436</v>
      </c>
      <c r="C118" s="380"/>
      <c r="D118" s="380"/>
      <c r="E118" s="363"/>
    </row>
    <row r="119" spans="1:5" s="406" customFormat="1" ht="12" customHeight="1">
      <c r="A119" s="342" t="s">
        <v>437</v>
      </c>
      <c r="B119" s="359" t="s">
        <v>424</v>
      </c>
      <c r="C119" s="380"/>
      <c r="D119" s="380"/>
      <c r="E119" s="363"/>
    </row>
    <row r="120" spans="1:5" ht="12" customHeight="1">
      <c r="A120" s="342" t="s">
        <v>438</v>
      </c>
      <c r="B120" s="359" t="s">
        <v>439</v>
      </c>
      <c r="C120" s="380"/>
      <c r="D120" s="380"/>
      <c r="E120" s="363"/>
    </row>
    <row r="121" spans="1:5" ht="12" customHeight="1" thickBot="1">
      <c r="A121" s="340" t="s">
        <v>440</v>
      </c>
      <c r="B121" s="359" t="s">
        <v>441</v>
      </c>
      <c r="C121" s="382"/>
      <c r="D121" s="382"/>
      <c r="E121" s="365"/>
    </row>
    <row r="122" spans="1:5" ht="12" customHeight="1" thickBot="1">
      <c r="A122" s="347" t="s">
        <v>9</v>
      </c>
      <c r="B122" s="355" t="s">
        <v>442</v>
      </c>
      <c r="C122" s="379">
        <f>+C123+C124</f>
        <v>0</v>
      </c>
      <c r="D122" s="379">
        <f>+D123+D124</f>
        <v>0</v>
      </c>
      <c r="E122" s="362">
        <f>+E123+E124</f>
        <v>0</v>
      </c>
    </row>
    <row r="123" spans="1:5" ht="12" customHeight="1">
      <c r="A123" s="342" t="s">
        <v>58</v>
      </c>
      <c r="B123" s="336" t="s">
        <v>45</v>
      </c>
      <c r="C123" s="381"/>
      <c r="D123" s="381"/>
      <c r="E123" s="364"/>
    </row>
    <row r="124" spans="1:5" ht="12" customHeight="1" thickBot="1">
      <c r="A124" s="343" t="s">
        <v>59</v>
      </c>
      <c r="B124" s="339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355" t="s">
        <v>443</v>
      </c>
      <c r="C125" s="379">
        <f>+C92+C108+C122</f>
        <v>13770000</v>
      </c>
      <c r="D125" s="379">
        <f>+D92+D108+D122</f>
        <v>13770000</v>
      </c>
      <c r="E125" s="362">
        <f>+E92+E108+E122</f>
        <v>13770000</v>
      </c>
    </row>
    <row r="126" spans="1:5" ht="12" customHeight="1" thickBot="1">
      <c r="A126" s="347" t="s">
        <v>11</v>
      </c>
      <c r="B126" s="355" t="s">
        <v>444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62</v>
      </c>
      <c r="B127" s="336" t="s">
        <v>445</v>
      </c>
      <c r="C127" s="380"/>
      <c r="D127" s="380"/>
      <c r="E127" s="363"/>
    </row>
    <row r="128" spans="1:5" ht="12" customHeight="1">
      <c r="A128" s="342" t="s">
        <v>63</v>
      </c>
      <c r="B128" s="336" t="s">
        <v>446</v>
      </c>
      <c r="C128" s="380"/>
      <c r="D128" s="380"/>
      <c r="E128" s="363"/>
    </row>
    <row r="129" spans="1:5" ht="12" customHeight="1" thickBot="1">
      <c r="A129" s="340" t="s">
        <v>64</v>
      </c>
      <c r="B129" s="334" t="s">
        <v>447</v>
      </c>
      <c r="C129" s="380"/>
      <c r="D129" s="380"/>
      <c r="E129" s="363"/>
    </row>
    <row r="130" spans="1:5" ht="12" customHeight="1" thickBot="1">
      <c r="A130" s="347" t="s">
        <v>12</v>
      </c>
      <c r="B130" s="355" t="s">
        <v>448</v>
      </c>
      <c r="C130" s="379">
        <f>+C131+C132+C134+C133</f>
        <v>0</v>
      </c>
      <c r="D130" s="379">
        <f>+D131+D132+D134+D133</f>
        <v>0</v>
      </c>
      <c r="E130" s="362">
        <f>+E131+E132+E134+E133</f>
        <v>0</v>
      </c>
    </row>
    <row r="131" spans="1:5" ht="12" customHeight="1">
      <c r="A131" s="342" t="s">
        <v>65</v>
      </c>
      <c r="B131" s="336" t="s">
        <v>449</v>
      </c>
      <c r="C131" s="380"/>
      <c r="D131" s="380"/>
      <c r="E131" s="363"/>
    </row>
    <row r="132" spans="1:5" ht="12" customHeight="1">
      <c r="A132" s="342" t="s">
        <v>66</v>
      </c>
      <c r="B132" s="336" t="s">
        <v>450</v>
      </c>
      <c r="C132" s="380"/>
      <c r="D132" s="380"/>
      <c r="E132" s="363"/>
    </row>
    <row r="133" spans="1:5" ht="12" customHeight="1">
      <c r="A133" s="342" t="s">
        <v>345</v>
      </c>
      <c r="B133" s="336" t="s">
        <v>451</v>
      </c>
      <c r="C133" s="380"/>
      <c r="D133" s="380"/>
      <c r="E133" s="363"/>
    </row>
    <row r="134" spans="1:5" ht="12" customHeight="1" thickBot="1">
      <c r="A134" s="340" t="s">
        <v>347</v>
      </c>
      <c r="B134" s="334" t="s">
        <v>452</v>
      </c>
      <c r="C134" s="380"/>
      <c r="D134" s="380"/>
      <c r="E134" s="363"/>
    </row>
    <row r="135" spans="1:5" ht="12" customHeight="1" thickBot="1">
      <c r="A135" s="347" t="s">
        <v>13</v>
      </c>
      <c r="B135" s="355" t="s">
        <v>453</v>
      </c>
      <c r="C135" s="385">
        <f>+C136+C137+C138+C139</f>
        <v>0</v>
      </c>
      <c r="D135" s="385">
        <f>+D136+D137+D138+D139</f>
        <v>0</v>
      </c>
      <c r="E135" s="398">
        <f>+E136+E137+E138+E139</f>
        <v>0</v>
      </c>
    </row>
    <row r="136" spans="1:5" ht="12" customHeight="1">
      <c r="A136" s="342" t="s">
        <v>67</v>
      </c>
      <c r="B136" s="336" t="s">
        <v>454</v>
      </c>
      <c r="C136" s="380"/>
      <c r="D136" s="380"/>
      <c r="E136" s="363"/>
    </row>
    <row r="137" spans="1:5" ht="12" customHeight="1">
      <c r="A137" s="342" t="s">
        <v>68</v>
      </c>
      <c r="B137" s="336" t="s">
        <v>455</v>
      </c>
      <c r="C137" s="380"/>
      <c r="D137" s="380"/>
      <c r="E137" s="363"/>
    </row>
    <row r="138" spans="1:5" ht="12" customHeight="1">
      <c r="A138" s="342" t="s">
        <v>354</v>
      </c>
      <c r="B138" s="336" t="s">
        <v>456</v>
      </c>
      <c r="C138" s="380"/>
      <c r="D138" s="380"/>
      <c r="E138" s="363"/>
    </row>
    <row r="139" spans="1:5" ht="12" customHeight="1" thickBot="1">
      <c r="A139" s="340" t="s">
        <v>356</v>
      </c>
      <c r="B139" s="334" t="s">
        <v>457</v>
      </c>
      <c r="C139" s="380"/>
      <c r="D139" s="380"/>
      <c r="E139" s="363"/>
    </row>
    <row r="140" spans="1:9" ht="15" customHeight="1" thickBot="1">
      <c r="A140" s="347" t="s">
        <v>14</v>
      </c>
      <c r="B140" s="355" t="s">
        <v>458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  <c r="F140" s="396"/>
      <c r="G140" s="397"/>
      <c r="H140" s="397"/>
      <c r="I140" s="397"/>
    </row>
    <row r="141" spans="1:5" s="389" customFormat="1" ht="12.75" customHeight="1">
      <c r="A141" s="342" t="s">
        <v>129</v>
      </c>
      <c r="B141" s="336" t="s">
        <v>459</v>
      </c>
      <c r="C141" s="380"/>
      <c r="D141" s="380"/>
      <c r="E141" s="363"/>
    </row>
    <row r="142" spans="1:5" ht="12.75" customHeight="1">
      <c r="A142" s="342" t="s">
        <v>130</v>
      </c>
      <c r="B142" s="336" t="s">
        <v>460</v>
      </c>
      <c r="C142" s="380"/>
      <c r="D142" s="380"/>
      <c r="E142" s="363"/>
    </row>
    <row r="143" spans="1:5" ht="12.75" customHeight="1">
      <c r="A143" s="342" t="s">
        <v>154</v>
      </c>
      <c r="B143" s="336" t="s">
        <v>461</v>
      </c>
      <c r="C143" s="380"/>
      <c r="D143" s="380"/>
      <c r="E143" s="363"/>
    </row>
    <row r="144" spans="1:5" ht="12.75" customHeight="1" thickBot="1">
      <c r="A144" s="342" t="s">
        <v>362</v>
      </c>
      <c r="B144" s="336" t="s">
        <v>462</v>
      </c>
      <c r="C144" s="380"/>
      <c r="D144" s="380"/>
      <c r="E144" s="363"/>
    </row>
    <row r="145" spans="1:5" ht="16.5" thickBot="1">
      <c r="A145" s="347" t="s">
        <v>15</v>
      </c>
      <c r="B145" s="355" t="s">
        <v>463</v>
      </c>
      <c r="C145" s="329">
        <f>+C126+C130+C135+C140</f>
        <v>0</v>
      </c>
      <c r="D145" s="329">
        <f>+D126+D130+D135+D140</f>
        <v>0</v>
      </c>
      <c r="E145" s="330">
        <f>+E126+E130+E135+E140</f>
        <v>0</v>
      </c>
    </row>
    <row r="146" spans="1:5" ht="16.5" thickBot="1">
      <c r="A146" s="372" t="s">
        <v>16</v>
      </c>
      <c r="B146" s="375" t="s">
        <v>464</v>
      </c>
      <c r="C146" s="329">
        <f>+C125+C145</f>
        <v>13770000</v>
      </c>
      <c r="D146" s="329">
        <f>+D125+D145</f>
        <v>13770000</v>
      </c>
      <c r="E146" s="330">
        <f>+E125+E145</f>
        <v>13770000</v>
      </c>
    </row>
    <row r="148" spans="1:5" ht="18.75" customHeight="1">
      <c r="A148" s="703" t="s">
        <v>465</v>
      </c>
      <c r="B148" s="703"/>
      <c r="C148" s="703"/>
      <c r="D148" s="703"/>
      <c r="E148" s="703"/>
    </row>
    <row r="149" spans="1:5" ht="13.5" customHeight="1" thickBot="1">
      <c r="A149" s="357" t="s">
        <v>111</v>
      </c>
      <c r="B149" s="357"/>
      <c r="C149" s="387"/>
      <c r="E149" s="374" t="str">
        <f>E88</f>
        <v>Forintban!</v>
      </c>
    </row>
    <row r="150" spans="1:5" ht="21.75" thickBot="1">
      <c r="A150" s="347">
        <v>1</v>
      </c>
      <c r="B150" s="350" t="s">
        <v>466</v>
      </c>
      <c r="C150" s="373">
        <f>+C61-C125</f>
        <v>0</v>
      </c>
      <c r="D150" s="373">
        <f>+D61-D125</f>
        <v>0</v>
      </c>
      <c r="E150" s="373">
        <f>+E61-E125</f>
        <v>0</v>
      </c>
    </row>
    <row r="151" spans="1:5" ht="21.75" thickBot="1">
      <c r="A151" s="347" t="s">
        <v>8</v>
      </c>
      <c r="B151" s="350" t="s">
        <v>467</v>
      </c>
      <c r="C151" s="373">
        <f>+C84-C145</f>
        <v>0</v>
      </c>
      <c r="D151" s="373">
        <f>+D84-D145</f>
        <v>0</v>
      </c>
      <c r="E151" s="373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6" customFormat="1" ht="12.75" customHeight="1">
      <c r="C161" s="377"/>
      <c r="D161" s="377"/>
      <c r="E161" s="377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Nyírpazony Nagyközség Önkormányzat
2016. ÉVI ZÁRSZÁMADÁS
ÖNKÉNT VÁLLALT FELADATAINAK MÉRLEGE
&amp;R&amp;"Times New Roman CE,Félkövér dőlt"&amp;11 1.3. melléklet a 7/2017. (IV. 28.)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57" t="str">
        <f>+CONCATENATE("9. sz. tájékoztató tábla a 7/",LEFT(ÖSSZEFÜGGÉSEK!A4,4)+1,".(IV. 28.)  önkormányzati rendelethez")</f>
        <v>9. sz. tájékoztató tábla a 7/2017.(IV. 28.)  önkormányzati rendelethez</v>
      </c>
    </row>
    <row r="2" spans="1:3" ht="14.25">
      <c r="A2" s="258"/>
      <c r="B2" s="258"/>
      <c r="C2" s="258"/>
    </row>
    <row r="3" spans="1:3" ht="33.75" customHeight="1">
      <c r="A3" s="847" t="s">
        <v>297</v>
      </c>
      <c r="B3" s="847"/>
      <c r="C3" s="847"/>
    </row>
    <row r="4" ht="13.5" thickBot="1">
      <c r="C4" s="259"/>
    </row>
    <row r="5" spans="1:3" s="263" customFormat="1" ht="43.5" customHeight="1" thickBot="1">
      <c r="A5" s="260" t="s">
        <v>5</v>
      </c>
      <c r="B5" s="261" t="s">
        <v>50</v>
      </c>
      <c r="C5" s="262" t="s">
        <v>738</v>
      </c>
    </row>
    <row r="6" spans="1:3" ht="28.5" customHeight="1">
      <c r="A6" s="264" t="s">
        <v>7</v>
      </c>
      <c r="B6" s="265" t="str">
        <f>+CONCATENATE("Pénzkészlet ",LEFT(ÖSSZEFÜGGÉSEK!A4,4),". január 1-jén",CHAR(10),"ebből:")</f>
        <v>Pénzkészlet 2016. január 1-jén
ebből:</v>
      </c>
      <c r="C6" s="266">
        <f>C7+C8</f>
        <v>106847878</v>
      </c>
    </row>
    <row r="7" spans="1:3" ht="18" customHeight="1">
      <c r="A7" s="267" t="s">
        <v>8</v>
      </c>
      <c r="B7" s="268" t="s">
        <v>298</v>
      </c>
      <c r="C7" s="269">
        <v>66569293</v>
      </c>
    </row>
    <row r="8" spans="1:3" ht="18" customHeight="1">
      <c r="A8" s="267" t="s">
        <v>9</v>
      </c>
      <c r="B8" s="268" t="s">
        <v>299</v>
      </c>
      <c r="C8" s="269">
        <v>40278585</v>
      </c>
    </row>
    <row r="9" spans="1:3" ht="18" customHeight="1">
      <c r="A9" s="267" t="s">
        <v>10</v>
      </c>
      <c r="B9" s="270" t="s">
        <v>300</v>
      </c>
      <c r="C9" s="269">
        <v>703330812</v>
      </c>
    </row>
    <row r="10" spans="1:3" ht="18" customHeight="1">
      <c r="A10" s="271" t="s">
        <v>11</v>
      </c>
      <c r="B10" s="272" t="s">
        <v>301</v>
      </c>
      <c r="C10" s="273">
        <v>721452413</v>
      </c>
    </row>
    <row r="11" spans="1:3" ht="18" customHeight="1" thickBot="1">
      <c r="A11" s="277" t="s">
        <v>12</v>
      </c>
      <c r="B11" s="636" t="s">
        <v>732</v>
      </c>
      <c r="C11" s="279"/>
    </row>
    <row r="12" spans="1:3" ht="25.5" customHeight="1">
      <c r="A12" s="274" t="s">
        <v>13</v>
      </c>
      <c r="B12" s="275" t="str">
        <f>+CONCATENATE("Záró pénzkészlet ",LEFT(ÖSSZEFÜGGÉSEK!A4,4),". december 31-én",CHAR(10),"ebből:")</f>
        <v>Záró pénzkészlet 2016. december 31-én
ebből:</v>
      </c>
      <c r="C12" s="276">
        <f>C6+C9-C10+C11</f>
        <v>88726277</v>
      </c>
    </row>
    <row r="13" spans="1:3" ht="18" customHeight="1">
      <c r="A13" s="267" t="s">
        <v>14</v>
      </c>
      <c r="B13" s="268" t="s">
        <v>298</v>
      </c>
      <c r="C13" s="269">
        <v>48601662</v>
      </c>
    </row>
    <row r="14" spans="1:3" ht="18" customHeight="1" thickBot="1">
      <c r="A14" s="277" t="s">
        <v>15</v>
      </c>
      <c r="B14" s="278" t="s">
        <v>299</v>
      </c>
      <c r="C14" s="279">
        <v>40124615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15" sqref="D15"/>
    </sheetView>
  </sheetViews>
  <sheetFormatPr defaultColWidth="9.00390625" defaultRowHeight="12.75"/>
  <cols>
    <col min="1" max="1" width="9.50390625" style="376" customWidth="1"/>
    <col min="2" max="2" width="60.875" style="376" customWidth="1"/>
    <col min="3" max="5" width="15.875" style="377" customWidth="1"/>
    <col min="6" max="16384" width="9.375" style="387" customWidth="1"/>
  </cols>
  <sheetData>
    <row r="1" spans="1:5" ht="15.75" customHeight="1">
      <c r="A1" s="704" t="s">
        <v>4</v>
      </c>
      <c r="B1" s="704"/>
      <c r="C1" s="704"/>
      <c r="D1" s="704"/>
      <c r="E1" s="704"/>
    </row>
    <row r="2" spans="1:5" ht="15.75" customHeight="1" thickBot="1">
      <c r="A2" s="46" t="s">
        <v>109</v>
      </c>
      <c r="B2" s="46"/>
      <c r="C2" s="374"/>
      <c r="D2" s="374"/>
      <c r="E2" s="374" t="str">
        <f>'1.3.sz.mell.'!E2</f>
        <v>Forintban!</v>
      </c>
    </row>
    <row r="3" spans="1:5" ht="15.75" customHeight="1">
      <c r="A3" s="705" t="s">
        <v>57</v>
      </c>
      <c r="B3" s="707" t="s">
        <v>6</v>
      </c>
      <c r="C3" s="709" t="str">
        <f>+'1.1.sz.mell.'!C3:E3</f>
        <v>2016. évi</v>
      </c>
      <c r="D3" s="709"/>
      <c r="E3" s="710"/>
    </row>
    <row r="4" spans="1:5" ht="37.5" customHeight="1" thickBot="1">
      <c r="A4" s="706"/>
      <c r="B4" s="708"/>
      <c r="C4" s="48" t="s">
        <v>173</v>
      </c>
      <c r="D4" s="48" t="s">
        <v>178</v>
      </c>
      <c r="E4" s="49" t="s">
        <v>179</v>
      </c>
    </row>
    <row r="5" spans="1:5" s="388" customFormat="1" ht="12" customHeight="1" thickBot="1">
      <c r="A5" s="352" t="s">
        <v>411</v>
      </c>
      <c r="B5" s="353" t="s">
        <v>412</v>
      </c>
      <c r="C5" s="353" t="s">
        <v>413</v>
      </c>
      <c r="D5" s="353" t="s">
        <v>414</v>
      </c>
      <c r="E5" s="399" t="s">
        <v>415</v>
      </c>
    </row>
    <row r="6" spans="1:5" s="389" customFormat="1" ht="12" customHeight="1" thickBot="1">
      <c r="A6" s="347" t="s">
        <v>7</v>
      </c>
      <c r="B6" s="348" t="s">
        <v>303</v>
      </c>
      <c r="C6" s="379">
        <f>SUM(C7:C12)</f>
        <v>87776863</v>
      </c>
      <c r="D6" s="379">
        <f>SUM(D7:D12)</f>
        <v>79482825</v>
      </c>
      <c r="E6" s="362">
        <f>SUM(E7:E12)</f>
        <v>78931792</v>
      </c>
    </row>
    <row r="7" spans="1:5" s="389" customFormat="1" ht="12" customHeight="1">
      <c r="A7" s="342" t="s">
        <v>69</v>
      </c>
      <c r="B7" s="390" t="s">
        <v>304</v>
      </c>
      <c r="C7" s="381">
        <v>87776863</v>
      </c>
      <c r="D7" s="381">
        <v>79482825</v>
      </c>
      <c r="E7" s="364">
        <v>78931792</v>
      </c>
    </row>
    <row r="8" spans="1:5" s="389" customFormat="1" ht="12" customHeight="1">
      <c r="A8" s="341" t="s">
        <v>70</v>
      </c>
      <c r="B8" s="391" t="s">
        <v>305</v>
      </c>
      <c r="C8" s="380"/>
      <c r="D8" s="380"/>
      <c r="E8" s="363"/>
    </row>
    <row r="9" spans="1:5" s="389" customFormat="1" ht="12" customHeight="1">
      <c r="A9" s="341" t="s">
        <v>71</v>
      </c>
      <c r="B9" s="391" t="s">
        <v>306</v>
      </c>
      <c r="C9" s="380"/>
      <c r="D9" s="380"/>
      <c r="E9" s="363"/>
    </row>
    <row r="10" spans="1:5" s="389" customFormat="1" ht="12" customHeight="1">
      <c r="A10" s="341" t="s">
        <v>72</v>
      </c>
      <c r="B10" s="391" t="s">
        <v>307</v>
      </c>
      <c r="C10" s="380"/>
      <c r="D10" s="380"/>
      <c r="E10" s="363"/>
    </row>
    <row r="11" spans="1:5" s="389" customFormat="1" ht="12" customHeight="1">
      <c r="A11" s="341" t="s">
        <v>105</v>
      </c>
      <c r="B11" s="391" t="s">
        <v>308</v>
      </c>
      <c r="C11" s="380"/>
      <c r="D11" s="380"/>
      <c r="E11" s="363"/>
    </row>
    <row r="12" spans="1:5" s="389" customFormat="1" ht="12" customHeight="1" thickBot="1">
      <c r="A12" s="343" t="s">
        <v>73</v>
      </c>
      <c r="B12" s="392" t="s">
        <v>309</v>
      </c>
      <c r="C12" s="382"/>
      <c r="D12" s="382"/>
      <c r="E12" s="365"/>
    </row>
    <row r="13" spans="1:5" s="389" customFormat="1" ht="12" customHeight="1" thickBot="1">
      <c r="A13" s="347" t="s">
        <v>8</v>
      </c>
      <c r="B13" s="369" t="s">
        <v>310</v>
      </c>
      <c r="C13" s="379">
        <f>SUM(C14:C18)</f>
        <v>0</v>
      </c>
      <c r="D13" s="379">
        <f>SUM(D14:D18)</f>
        <v>0</v>
      </c>
      <c r="E13" s="362">
        <f>SUM(E14:E18)</f>
        <v>0</v>
      </c>
    </row>
    <row r="14" spans="1:5" s="389" customFormat="1" ht="12" customHeight="1">
      <c r="A14" s="342" t="s">
        <v>75</v>
      </c>
      <c r="B14" s="390" t="s">
        <v>311</v>
      </c>
      <c r="C14" s="381"/>
      <c r="D14" s="381"/>
      <c r="E14" s="364"/>
    </row>
    <row r="15" spans="1:5" s="389" customFormat="1" ht="12" customHeight="1">
      <c r="A15" s="341" t="s">
        <v>76</v>
      </c>
      <c r="B15" s="391" t="s">
        <v>312</v>
      </c>
      <c r="C15" s="380"/>
      <c r="D15" s="380"/>
      <c r="E15" s="363"/>
    </row>
    <row r="16" spans="1:5" s="389" customFormat="1" ht="12" customHeight="1">
      <c r="A16" s="341" t="s">
        <v>77</v>
      </c>
      <c r="B16" s="391" t="s">
        <v>313</v>
      </c>
      <c r="C16" s="380"/>
      <c r="D16" s="380"/>
      <c r="E16" s="363"/>
    </row>
    <row r="17" spans="1:5" s="389" customFormat="1" ht="12" customHeight="1">
      <c r="A17" s="341" t="s">
        <v>78</v>
      </c>
      <c r="B17" s="391" t="s">
        <v>314</v>
      </c>
      <c r="C17" s="380"/>
      <c r="D17" s="380"/>
      <c r="E17" s="363"/>
    </row>
    <row r="18" spans="1:5" s="389" customFormat="1" ht="12" customHeight="1">
      <c r="A18" s="341" t="s">
        <v>79</v>
      </c>
      <c r="B18" s="391" t="s">
        <v>315</v>
      </c>
      <c r="C18" s="380"/>
      <c r="D18" s="380"/>
      <c r="E18" s="363"/>
    </row>
    <row r="19" spans="1:5" s="389" customFormat="1" ht="12" customHeight="1" thickBot="1">
      <c r="A19" s="343" t="s">
        <v>86</v>
      </c>
      <c r="B19" s="392" t="s">
        <v>316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348" t="s">
        <v>317</v>
      </c>
      <c r="C20" s="379">
        <f>SUM(C21:C25)</f>
        <v>0</v>
      </c>
      <c r="D20" s="379">
        <f>SUM(D21:D25)</f>
        <v>0</v>
      </c>
      <c r="E20" s="362">
        <f>SUM(E21:E25)</f>
        <v>0</v>
      </c>
    </row>
    <row r="21" spans="1:5" s="389" customFormat="1" ht="12" customHeight="1">
      <c r="A21" s="342" t="s">
        <v>58</v>
      </c>
      <c r="B21" s="390" t="s">
        <v>318</v>
      </c>
      <c r="C21" s="381"/>
      <c r="D21" s="381"/>
      <c r="E21" s="364"/>
    </row>
    <row r="22" spans="1:5" s="389" customFormat="1" ht="12" customHeight="1">
      <c r="A22" s="341" t="s">
        <v>59</v>
      </c>
      <c r="B22" s="391" t="s">
        <v>319</v>
      </c>
      <c r="C22" s="380"/>
      <c r="D22" s="380"/>
      <c r="E22" s="363"/>
    </row>
    <row r="23" spans="1:5" s="389" customFormat="1" ht="12" customHeight="1">
      <c r="A23" s="341" t="s">
        <v>60</v>
      </c>
      <c r="B23" s="391" t="s">
        <v>320</v>
      </c>
      <c r="C23" s="380"/>
      <c r="D23" s="380"/>
      <c r="E23" s="363"/>
    </row>
    <row r="24" spans="1:5" s="389" customFormat="1" ht="12" customHeight="1">
      <c r="A24" s="341" t="s">
        <v>61</v>
      </c>
      <c r="B24" s="391" t="s">
        <v>321</v>
      </c>
      <c r="C24" s="380"/>
      <c r="D24" s="380"/>
      <c r="E24" s="363"/>
    </row>
    <row r="25" spans="1:5" s="389" customFormat="1" ht="12" customHeight="1">
      <c r="A25" s="341" t="s">
        <v>119</v>
      </c>
      <c r="B25" s="391" t="s">
        <v>322</v>
      </c>
      <c r="C25" s="380"/>
      <c r="D25" s="380"/>
      <c r="E25" s="363"/>
    </row>
    <row r="26" spans="1:5" s="389" customFormat="1" ht="12" customHeight="1" thickBot="1">
      <c r="A26" s="343" t="s">
        <v>120</v>
      </c>
      <c r="B26" s="392" t="s">
        <v>323</v>
      </c>
      <c r="C26" s="382"/>
      <c r="D26" s="382"/>
      <c r="E26" s="365"/>
    </row>
    <row r="27" spans="1:5" s="389" customFormat="1" ht="12" customHeight="1" thickBot="1">
      <c r="A27" s="347" t="s">
        <v>121</v>
      </c>
      <c r="B27" s="348" t="s">
        <v>724</v>
      </c>
      <c r="C27" s="385">
        <f>SUM(C28:C33)</f>
        <v>0</v>
      </c>
      <c r="D27" s="385">
        <f>SUM(D28:D33)</f>
        <v>0</v>
      </c>
      <c r="E27" s="398">
        <f>SUM(E28:E33)</f>
        <v>0</v>
      </c>
    </row>
    <row r="28" spans="1:5" s="389" customFormat="1" ht="12" customHeight="1">
      <c r="A28" s="342" t="s">
        <v>324</v>
      </c>
      <c r="B28" s="390" t="s">
        <v>728</v>
      </c>
      <c r="C28" s="381"/>
      <c r="D28" s="381">
        <f>+D29+D30</f>
        <v>0</v>
      </c>
      <c r="E28" s="364">
        <f>+E29+E30</f>
        <v>0</v>
      </c>
    </row>
    <row r="29" spans="1:5" s="389" customFormat="1" ht="12" customHeight="1">
      <c r="A29" s="341" t="s">
        <v>325</v>
      </c>
      <c r="B29" s="391" t="s">
        <v>729</v>
      </c>
      <c r="C29" s="380"/>
      <c r="D29" s="380"/>
      <c r="E29" s="363"/>
    </row>
    <row r="30" spans="1:5" s="389" customFormat="1" ht="12" customHeight="1">
      <c r="A30" s="341" t="s">
        <v>326</v>
      </c>
      <c r="B30" s="391" t="s">
        <v>730</v>
      </c>
      <c r="C30" s="380"/>
      <c r="D30" s="380"/>
      <c r="E30" s="363"/>
    </row>
    <row r="31" spans="1:5" s="389" customFormat="1" ht="12" customHeight="1">
      <c r="A31" s="341" t="s">
        <v>725</v>
      </c>
      <c r="B31" s="391" t="s">
        <v>731</v>
      </c>
      <c r="C31" s="380"/>
      <c r="D31" s="380"/>
      <c r="E31" s="363"/>
    </row>
    <row r="32" spans="1:5" s="389" customFormat="1" ht="12" customHeight="1">
      <c r="A32" s="341" t="s">
        <v>726</v>
      </c>
      <c r="B32" s="391" t="s">
        <v>327</v>
      </c>
      <c r="C32" s="380"/>
      <c r="D32" s="380"/>
      <c r="E32" s="363"/>
    </row>
    <row r="33" spans="1:5" s="389" customFormat="1" ht="12" customHeight="1" thickBot="1">
      <c r="A33" s="343" t="s">
        <v>727</v>
      </c>
      <c r="B33" s="371" t="s">
        <v>328</v>
      </c>
      <c r="C33" s="382"/>
      <c r="D33" s="382"/>
      <c r="E33" s="365"/>
    </row>
    <row r="34" spans="1:5" s="389" customFormat="1" ht="12" customHeight="1" thickBot="1">
      <c r="A34" s="347" t="s">
        <v>11</v>
      </c>
      <c r="B34" s="348" t="s">
        <v>329</v>
      </c>
      <c r="C34" s="379">
        <f>SUM(C35:C44)</f>
        <v>0</v>
      </c>
      <c r="D34" s="379">
        <f>SUM(D35:D44)</f>
        <v>0</v>
      </c>
      <c r="E34" s="362">
        <f>SUM(E35:E44)</f>
        <v>0</v>
      </c>
    </row>
    <row r="35" spans="1:5" s="389" customFormat="1" ht="12" customHeight="1">
      <c r="A35" s="342" t="s">
        <v>62</v>
      </c>
      <c r="B35" s="390" t="s">
        <v>330</v>
      </c>
      <c r="C35" s="381"/>
      <c r="D35" s="381"/>
      <c r="E35" s="364"/>
    </row>
    <row r="36" spans="1:5" s="389" customFormat="1" ht="12" customHeight="1">
      <c r="A36" s="341" t="s">
        <v>63</v>
      </c>
      <c r="B36" s="391" t="s">
        <v>331</v>
      </c>
      <c r="C36" s="380"/>
      <c r="D36" s="380"/>
      <c r="E36" s="363"/>
    </row>
    <row r="37" spans="1:5" s="389" customFormat="1" ht="12" customHeight="1">
      <c r="A37" s="341" t="s">
        <v>64</v>
      </c>
      <c r="B37" s="391" t="s">
        <v>332</v>
      </c>
      <c r="C37" s="380"/>
      <c r="D37" s="380"/>
      <c r="E37" s="363"/>
    </row>
    <row r="38" spans="1:5" s="389" customFormat="1" ht="12" customHeight="1">
      <c r="A38" s="341" t="s">
        <v>123</v>
      </c>
      <c r="B38" s="391" t="s">
        <v>333</v>
      </c>
      <c r="C38" s="380"/>
      <c r="D38" s="380"/>
      <c r="E38" s="363"/>
    </row>
    <row r="39" spans="1:5" s="389" customFormat="1" ht="12" customHeight="1">
      <c r="A39" s="341" t="s">
        <v>124</v>
      </c>
      <c r="B39" s="391" t="s">
        <v>334</v>
      </c>
      <c r="C39" s="380"/>
      <c r="D39" s="380"/>
      <c r="E39" s="363"/>
    </row>
    <row r="40" spans="1:5" s="389" customFormat="1" ht="12" customHeight="1">
      <c r="A40" s="341" t="s">
        <v>125</v>
      </c>
      <c r="B40" s="391" t="s">
        <v>335</v>
      </c>
      <c r="C40" s="380"/>
      <c r="D40" s="380"/>
      <c r="E40" s="363"/>
    </row>
    <row r="41" spans="1:5" s="389" customFormat="1" ht="12" customHeight="1">
      <c r="A41" s="341" t="s">
        <v>126</v>
      </c>
      <c r="B41" s="391" t="s">
        <v>336</v>
      </c>
      <c r="C41" s="380"/>
      <c r="D41" s="380"/>
      <c r="E41" s="363"/>
    </row>
    <row r="42" spans="1:5" s="389" customFormat="1" ht="12" customHeight="1">
      <c r="A42" s="341" t="s">
        <v>127</v>
      </c>
      <c r="B42" s="391" t="s">
        <v>337</v>
      </c>
      <c r="C42" s="380"/>
      <c r="D42" s="380"/>
      <c r="E42" s="363"/>
    </row>
    <row r="43" spans="1:5" s="389" customFormat="1" ht="12" customHeight="1">
      <c r="A43" s="341" t="s">
        <v>338</v>
      </c>
      <c r="B43" s="391" t="s">
        <v>339</v>
      </c>
      <c r="C43" s="383"/>
      <c r="D43" s="383"/>
      <c r="E43" s="366"/>
    </row>
    <row r="44" spans="1:5" s="389" customFormat="1" ht="12" customHeight="1" thickBot="1">
      <c r="A44" s="343" t="s">
        <v>340</v>
      </c>
      <c r="B44" s="392" t="s">
        <v>341</v>
      </c>
      <c r="C44" s="384"/>
      <c r="D44" s="384"/>
      <c r="E44" s="367"/>
    </row>
    <row r="45" spans="1:5" s="389" customFormat="1" ht="12" customHeight="1" thickBot="1">
      <c r="A45" s="347" t="s">
        <v>12</v>
      </c>
      <c r="B45" s="348" t="s">
        <v>342</v>
      </c>
      <c r="C45" s="379">
        <f>SUM(C46:C50)</f>
        <v>0</v>
      </c>
      <c r="D45" s="379">
        <f>SUM(D46:D50)</f>
        <v>0</v>
      </c>
      <c r="E45" s="362">
        <f>SUM(E46:E50)</f>
        <v>0</v>
      </c>
    </row>
    <row r="46" spans="1:5" s="389" customFormat="1" ht="12" customHeight="1">
      <c r="A46" s="342" t="s">
        <v>65</v>
      </c>
      <c r="B46" s="390" t="s">
        <v>343</v>
      </c>
      <c r="C46" s="400"/>
      <c r="D46" s="400"/>
      <c r="E46" s="368"/>
    </row>
    <row r="47" spans="1:5" s="389" customFormat="1" ht="12" customHeight="1">
      <c r="A47" s="341" t="s">
        <v>66</v>
      </c>
      <c r="B47" s="391" t="s">
        <v>344</v>
      </c>
      <c r="C47" s="383"/>
      <c r="D47" s="383"/>
      <c r="E47" s="366"/>
    </row>
    <row r="48" spans="1:5" s="389" customFormat="1" ht="12" customHeight="1">
      <c r="A48" s="341" t="s">
        <v>345</v>
      </c>
      <c r="B48" s="391" t="s">
        <v>346</v>
      </c>
      <c r="C48" s="383"/>
      <c r="D48" s="383"/>
      <c r="E48" s="366"/>
    </row>
    <row r="49" spans="1:5" s="389" customFormat="1" ht="12" customHeight="1">
      <c r="A49" s="341" t="s">
        <v>347</v>
      </c>
      <c r="B49" s="391" t="s">
        <v>348</v>
      </c>
      <c r="C49" s="383"/>
      <c r="D49" s="383"/>
      <c r="E49" s="366"/>
    </row>
    <row r="50" spans="1:5" s="389" customFormat="1" ht="12" customHeight="1" thickBot="1">
      <c r="A50" s="343" t="s">
        <v>349</v>
      </c>
      <c r="B50" s="392" t="s">
        <v>350</v>
      </c>
      <c r="C50" s="384"/>
      <c r="D50" s="384"/>
      <c r="E50" s="367"/>
    </row>
    <row r="51" spans="1:5" s="389" customFormat="1" ht="17.25" customHeight="1" thickBot="1">
      <c r="A51" s="347" t="s">
        <v>128</v>
      </c>
      <c r="B51" s="348" t="s">
        <v>351</v>
      </c>
      <c r="C51" s="379">
        <f>SUM(C52:C54)</f>
        <v>0</v>
      </c>
      <c r="D51" s="379">
        <f>SUM(D52:D54)</f>
        <v>0</v>
      </c>
      <c r="E51" s="362">
        <f>SUM(E52:E54)</f>
        <v>0</v>
      </c>
    </row>
    <row r="52" spans="1:5" s="389" customFormat="1" ht="12" customHeight="1">
      <c r="A52" s="342" t="s">
        <v>67</v>
      </c>
      <c r="B52" s="390" t="s">
        <v>352</v>
      </c>
      <c r="C52" s="381"/>
      <c r="D52" s="381"/>
      <c r="E52" s="364"/>
    </row>
    <row r="53" spans="1:5" s="389" customFormat="1" ht="12" customHeight="1">
      <c r="A53" s="341" t="s">
        <v>68</v>
      </c>
      <c r="B53" s="391" t="s">
        <v>353</v>
      </c>
      <c r="C53" s="380"/>
      <c r="D53" s="380"/>
      <c r="E53" s="363"/>
    </row>
    <row r="54" spans="1:5" s="389" customFormat="1" ht="12" customHeight="1">
      <c r="A54" s="341" t="s">
        <v>354</v>
      </c>
      <c r="B54" s="391" t="s">
        <v>355</v>
      </c>
      <c r="C54" s="380"/>
      <c r="D54" s="380"/>
      <c r="E54" s="363"/>
    </row>
    <row r="55" spans="1:5" s="389" customFormat="1" ht="12" customHeight="1" thickBot="1">
      <c r="A55" s="343" t="s">
        <v>356</v>
      </c>
      <c r="B55" s="392" t="s">
        <v>357</v>
      </c>
      <c r="C55" s="382"/>
      <c r="D55" s="382"/>
      <c r="E55" s="365"/>
    </row>
    <row r="56" spans="1:5" s="389" customFormat="1" ht="12" customHeight="1" thickBot="1">
      <c r="A56" s="347" t="s">
        <v>14</v>
      </c>
      <c r="B56" s="369" t="s">
        <v>358</v>
      </c>
      <c r="C56" s="379">
        <f>SUM(C57:C59)</f>
        <v>0</v>
      </c>
      <c r="D56" s="379">
        <f>SUM(D57:D59)</f>
        <v>0</v>
      </c>
      <c r="E56" s="362">
        <f>SUM(E57:E59)</f>
        <v>0</v>
      </c>
    </row>
    <row r="57" spans="1:5" s="389" customFormat="1" ht="12" customHeight="1">
      <c r="A57" s="342" t="s">
        <v>129</v>
      </c>
      <c r="B57" s="390" t="s">
        <v>359</v>
      </c>
      <c r="C57" s="383"/>
      <c r="D57" s="383"/>
      <c r="E57" s="366"/>
    </row>
    <row r="58" spans="1:5" s="389" customFormat="1" ht="12" customHeight="1">
      <c r="A58" s="341" t="s">
        <v>130</v>
      </c>
      <c r="B58" s="391" t="s">
        <v>360</v>
      </c>
      <c r="C58" s="383"/>
      <c r="D58" s="383"/>
      <c r="E58" s="366"/>
    </row>
    <row r="59" spans="1:5" s="389" customFormat="1" ht="12" customHeight="1">
      <c r="A59" s="341" t="s">
        <v>154</v>
      </c>
      <c r="B59" s="391" t="s">
        <v>361</v>
      </c>
      <c r="C59" s="383"/>
      <c r="D59" s="383"/>
      <c r="E59" s="366"/>
    </row>
    <row r="60" spans="1:5" s="389" customFormat="1" ht="12" customHeight="1" thickBot="1">
      <c r="A60" s="343" t="s">
        <v>362</v>
      </c>
      <c r="B60" s="392" t="s">
        <v>363</v>
      </c>
      <c r="C60" s="383"/>
      <c r="D60" s="383"/>
      <c r="E60" s="366"/>
    </row>
    <row r="61" spans="1:5" s="389" customFormat="1" ht="12" customHeight="1" thickBot="1">
      <c r="A61" s="347" t="s">
        <v>15</v>
      </c>
      <c r="B61" s="348" t="s">
        <v>364</v>
      </c>
      <c r="C61" s="385">
        <f>+C6+C13+C20+C27+C34+C45+C51+C56</f>
        <v>87776863</v>
      </c>
      <c r="D61" s="385">
        <f>+D6+D13+D20+D27+D34+D45+D51+D56</f>
        <v>79482825</v>
      </c>
      <c r="E61" s="398">
        <f>+E6+E13+E20+E27+E34+E45+E51+E56</f>
        <v>78931792</v>
      </c>
    </row>
    <row r="62" spans="1:5" s="389" customFormat="1" ht="12" customHeight="1" thickBot="1">
      <c r="A62" s="401" t="s">
        <v>365</v>
      </c>
      <c r="B62" s="369" t="s">
        <v>366</v>
      </c>
      <c r="C62" s="379">
        <f>+C63+C64+C65</f>
        <v>0</v>
      </c>
      <c r="D62" s="379">
        <f>+D63+D64+D65</f>
        <v>0</v>
      </c>
      <c r="E62" s="362">
        <f>+E63+E64+E65</f>
        <v>0</v>
      </c>
    </row>
    <row r="63" spans="1:5" s="389" customFormat="1" ht="12" customHeight="1">
      <c r="A63" s="342" t="s">
        <v>367</v>
      </c>
      <c r="B63" s="390" t="s">
        <v>368</v>
      </c>
      <c r="C63" s="383"/>
      <c r="D63" s="383"/>
      <c r="E63" s="366"/>
    </row>
    <row r="64" spans="1:5" s="389" customFormat="1" ht="12" customHeight="1">
      <c r="A64" s="341" t="s">
        <v>369</v>
      </c>
      <c r="B64" s="391" t="s">
        <v>370</v>
      </c>
      <c r="C64" s="383"/>
      <c r="D64" s="383"/>
      <c r="E64" s="366"/>
    </row>
    <row r="65" spans="1:5" s="389" customFormat="1" ht="12" customHeight="1" thickBot="1">
      <c r="A65" s="343" t="s">
        <v>371</v>
      </c>
      <c r="B65" s="327" t="s">
        <v>416</v>
      </c>
      <c r="C65" s="383"/>
      <c r="D65" s="383"/>
      <c r="E65" s="366"/>
    </row>
    <row r="66" spans="1:5" s="389" customFormat="1" ht="12" customHeight="1" thickBot="1">
      <c r="A66" s="401" t="s">
        <v>373</v>
      </c>
      <c r="B66" s="369" t="s">
        <v>374</v>
      </c>
      <c r="C66" s="379">
        <f>+C67+C68+C69+C70</f>
        <v>0</v>
      </c>
      <c r="D66" s="379">
        <f>+D67+D68+D69+D70</f>
        <v>0</v>
      </c>
      <c r="E66" s="362">
        <f>+E67+E68+E69+E70</f>
        <v>0</v>
      </c>
    </row>
    <row r="67" spans="1:5" s="389" customFormat="1" ht="13.5" customHeight="1">
      <c r="A67" s="342" t="s">
        <v>106</v>
      </c>
      <c r="B67" s="390" t="s">
        <v>375</v>
      </c>
      <c r="C67" s="383"/>
      <c r="D67" s="383"/>
      <c r="E67" s="366"/>
    </row>
    <row r="68" spans="1:5" s="389" customFormat="1" ht="12" customHeight="1">
      <c r="A68" s="341" t="s">
        <v>107</v>
      </c>
      <c r="B68" s="391" t="s">
        <v>376</v>
      </c>
      <c r="C68" s="383"/>
      <c r="D68" s="383"/>
      <c r="E68" s="366"/>
    </row>
    <row r="69" spans="1:5" s="389" customFormat="1" ht="12" customHeight="1">
      <c r="A69" s="341" t="s">
        <v>377</v>
      </c>
      <c r="B69" s="391" t="s">
        <v>378</v>
      </c>
      <c r="C69" s="383"/>
      <c r="D69" s="383"/>
      <c r="E69" s="366"/>
    </row>
    <row r="70" spans="1:5" s="389" customFormat="1" ht="12" customHeight="1" thickBot="1">
      <c r="A70" s="343" t="s">
        <v>379</v>
      </c>
      <c r="B70" s="392" t="s">
        <v>380</v>
      </c>
      <c r="C70" s="383"/>
      <c r="D70" s="383"/>
      <c r="E70" s="366"/>
    </row>
    <row r="71" spans="1:5" s="389" customFormat="1" ht="12" customHeight="1" thickBot="1">
      <c r="A71" s="401" t="s">
        <v>381</v>
      </c>
      <c r="B71" s="369" t="s">
        <v>382</v>
      </c>
      <c r="C71" s="379">
        <f>+C72+C73</f>
        <v>0</v>
      </c>
      <c r="D71" s="379">
        <f>+D72+D73</f>
        <v>0</v>
      </c>
      <c r="E71" s="362">
        <f>+E72+E73</f>
        <v>0</v>
      </c>
    </row>
    <row r="72" spans="1:5" s="389" customFormat="1" ht="12" customHeight="1">
      <c r="A72" s="342" t="s">
        <v>383</v>
      </c>
      <c r="B72" s="390" t="s">
        <v>384</v>
      </c>
      <c r="C72" s="383"/>
      <c r="D72" s="383"/>
      <c r="E72" s="366"/>
    </row>
    <row r="73" spans="1:5" s="389" customFormat="1" ht="12" customHeight="1" thickBot="1">
      <c r="A73" s="343" t="s">
        <v>385</v>
      </c>
      <c r="B73" s="392" t="s">
        <v>386</v>
      </c>
      <c r="C73" s="383"/>
      <c r="D73" s="383"/>
      <c r="E73" s="366"/>
    </row>
    <row r="74" spans="1:5" s="389" customFormat="1" ht="12" customHeight="1" thickBot="1">
      <c r="A74" s="401" t="s">
        <v>387</v>
      </c>
      <c r="B74" s="369" t="s">
        <v>388</v>
      </c>
      <c r="C74" s="379">
        <f>+C75+C76+C77</f>
        <v>0</v>
      </c>
      <c r="D74" s="379">
        <f>+D75+D76+D77</f>
        <v>0</v>
      </c>
      <c r="E74" s="362">
        <f>+E75+E76+E77</f>
        <v>0</v>
      </c>
    </row>
    <row r="75" spans="1:5" s="389" customFormat="1" ht="12" customHeight="1">
      <c r="A75" s="342" t="s">
        <v>389</v>
      </c>
      <c r="B75" s="390" t="s">
        <v>390</v>
      </c>
      <c r="C75" s="383"/>
      <c r="D75" s="383"/>
      <c r="E75" s="366"/>
    </row>
    <row r="76" spans="1:5" s="389" customFormat="1" ht="12" customHeight="1">
      <c r="A76" s="341" t="s">
        <v>391</v>
      </c>
      <c r="B76" s="391" t="s">
        <v>392</v>
      </c>
      <c r="C76" s="383"/>
      <c r="D76" s="383"/>
      <c r="E76" s="366"/>
    </row>
    <row r="77" spans="1:5" s="389" customFormat="1" ht="12" customHeight="1" thickBot="1">
      <c r="A77" s="343" t="s">
        <v>393</v>
      </c>
      <c r="B77" s="371" t="s">
        <v>394</v>
      </c>
      <c r="C77" s="383"/>
      <c r="D77" s="383"/>
      <c r="E77" s="366"/>
    </row>
    <row r="78" spans="1:5" s="389" customFormat="1" ht="12" customHeight="1" thickBot="1">
      <c r="A78" s="401" t="s">
        <v>395</v>
      </c>
      <c r="B78" s="369" t="s">
        <v>396</v>
      </c>
      <c r="C78" s="379">
        <f>+C79+C80+C81+C82</f>
        <v>0</v>
      </c>
      <c r="D78" s="379">
        <f>+D79+D80+D81+D82</f>
        <v>0</v>
      </c>
      <c r="E78" s="362">
        <f>+E79+E80+E81+E82</f>
        <v>0</v>
      </c>
    </row>
    <row r="79" spans="1:5" s="389" customFormat="1" ht="12" customHeight="1">
      <c r="A79" s="393" t="s">
        <v>397</v>
      </c>
      <c r="B79" s="390" t="s">
        <v>398</v>
      </c>
      <c r="C79" s="383"/>
      <c r="D79" s="383"/>
      <c r="E79" s="366"/>
    </row>
    <row r="80" spans="1:5" s="389" customFormat="1" ht="12" customHeight="1">
      <c r="A80" s="394" t="s">
        <v>399</v>
      </c>
      <c r="B80" s="391" t="s">
        <v>400</v>
      </c>
      <c r="C80" s="383"/>
      <c r="D80" s="383"/>
      <c r="E80" s="366"/>
    </row>
    <row r="81" spans="1:5" s="389" customFormat="1" ht="12" customHeight="1">
      <c r="A81" s="394" t="s">
        <v>401</v>
      </c>
      <c r="B81" s="391" t="s">
        <v>402</v>
      </c>
      <c r="C81" s="383"/>
      <c r="D81" s="383"/>
      <c r="E81" s="366"/>
    </row>
    <row r="82" spans="1:5" s="389" customFormat="1" ht="12" customHeight="1" thickBot="1">
      <c r="A82" s="402" t="s">
        <v>403</v>
      </c>
      <c r="B82" s="371" t="s">
        <v>404</v>
      </c>
      <c r="C82" s="383"/>
      <c r="D82" s="383"/>
      <c r="E82" s="366"/>
    </row>
    <row r="83" spans="1:5" s="389" customFormat="1" ht="12" customHeight="1" thickBot="1">
      <c r="A83" s="401" t="s">
        <v>405</v>
      </c>
      <c r="B83" s="369" t="s">
        <v>406</v>
      </c>
      <c r="C83" s="404"/>
      <c r="D83" s="404"/>
      <c r="E83" s="405"/>
    </row>
    <row r="84" spans="1:5" s="389" customFormat="1" ht="12" customHeight="1" thickBot="1">
      <c r="A84" s="401" t="s">
        <v>407</v>
      </c>
      <c r="B84" s="325" t="s">
        <v>408</v>
      </c>
      <c r="C84" s="385">
        <f>+C62+C66+C71+C74+C78+C83</f>
        <v>0</v>
      </c>
      <c r="D84" s="385">
        <f>+D62+D66+D71+D74+D78+D83</f>
        <v>0</v>
      </c>
      <c r="E84" s="398">
        <f>+E62+E66+E71+E74+E78+E83</f>
        <v>0</v>
      </c>
    </row>
    <row r="85" spans="1:5" s="389" customFormat="1" ht="12" customHeight="1" thickBot="1">
      <c r="A85" s="403" t="s">
        <v>409</v>
      </c>
      <c r="B85" s="328" t="s">
        <v>410</v>
      </c>
      <c r="C85" s="385">
        <f>+C61+C84</f>
        <v>87776863</v>
      </c>
      <c r="D85" s="385">
        <f>+D61+D84</f>
        <v>79482825</v>
      </c>
      <c r="E85" s="398">
        <f>+E61+E84</f>
        <v>78931792</v>
      </c>
    </row>
    <row r="86" spans="1:5" s="389" customFormat="1" ht="12" customHeight="1">
      <c r="A86" s="323"/>
      <c r="B86" s="323"/>
      <c r="C86" s="324"/>
      <c r="D86" s="324"/>
      <c r="E86" s="324"/>
    </row>
    <row r="87" spans="1:5" ht="16.5" customHeight="1">
      <c r="A87" s="704" t="s">
        <v>36</v>
      </c>
      <c r="B87" s="704"/>
      <c r="C87" s="704"/>
      <c r="D87" s="704"/>
      <c r="E87" s="704"/>
    </row>
    <row r="88" spans="1:5" s="395" customFormat="1" ht="16.5" customHeight="1" thickBot="1">
      <c r="A88" s="47" t="s">
        <v>110</v>
      </c>
      <c r="B88" s="47"/>
      <c r="C88" s="356"/>
      <c r="D88" s="356"/>
      <c r="E88" s="356" t="str">
        <f>E2</f>
        <v>Forintban!</v>
      </c>
    </row>
    <row r="89" spans="1:5" s="395" customFormat="1" ht="16.5" customHeight="1">
      <c r="A89" s="705" t="s">
        <v>57</v>
      </c>
      <c r="B89" s="707" t="s">
        <v>172</v>
      </c>
      <c r="C89" s="709" t="str">
        <f>+C3</f>
        <v>2016. évi</v>
      </c>
      <c r="D89" s="709"/>
      <c r="E89" s="710"/>
    </row>
    <row r="90" spans="1:5" ht="37.5" customHeight="1" thickBot="1">
      <c r="A90" s="706"/>
      <c r="B90" s="708"/>
      <c r="C90" s="48" t="s">
        <v>173</v>
      </c>
      <c r="D90" s="48" t="s">
        <v>178</v>
      </c>
      <c r="E90" s="49" t="s">
        <v>179</v>
      </c>
    </row>
    <row r="91" spans="1:5" s="388" customFormat="1" ht="12" customHeight="1" thickBot="1">
      <c r="A91" s="352" t="s">
        <v>411</v>
      </c>
      <c r="B91" s="353" t="s">
        <v>412</v>
      </c>
      <c r="C91" s="353" t="s">
        <v>413</v>
      </c>
      <c r="D91" s="353" t="s">
        <v>414</v>
      </c>
      <c r="E91" s="354" t="s">
        <v>415</v>
      </c>
    </row>
    <row r="92" spans="1:5" ht="12" customHeight="1" thickBot="1">
      <c r="A92" s="349" t="s">
        <v>7</v>
      </c>
      <c r="B92" s="351" t="s">
        <v>417</v>
      </c>
      <c r="C92" s="378">
        <f>SUM(C93:C97)</f>
        <v>87776863</v>
      </c>
      <c r="D92" s="378">
        <f>SUM(D93:D97)</f>
        <v>79482825</v>
      </c>
      <c r="E92" s="333">
        <f>SUM(E93:E97)</f>
        <v>78931792</v>
      </c>
    </row>
    <row r="93" spans="1:5" ht="12" customHeight="1">
      <c r="A93" s="344" t="s">
        <v>69</v>
      </c>
      <c r="B93" s="337" t="s">
        <v>37</v>
      </c>
      <c r="C93" s="78">
        <f>20000360+'7.4. sz. mell'!C45</f>
        <v>47305360</v>
      </c>
      <c r="D93" s="78">
        <f>20000360+'7.4. sz. mell'!D45</f>
        <v>47222870</v>
      </c>
      <c r="E93" s="78">
        <f>20000360+'7.4. sz. mell'!E45</f>
        <v>47222870</v>
      </c>
    </row>
    <row r="94" spans="1:5" ht="12" customHeight="1">
      <c r="A94" s="341" t="s">
        <v>70</v>
      </c>
      <c r="B94" s="335" t="s">
        <v>131</v>
      </c>
      <c r="C94" s="380">
        <f>4631898+'7.4. sz. mell'!C46</f>
        <v>12183898</v>
      </c>
      <c r="D94" s="380">
        <f>4631898+'7.4. sz. mell'!D46</f>
        <v>11630413</v>
      </c>
      <c r="E94" s="380">
        <f>4631898+'7.4. sz. mell'!E46</f>
        <v>11630413</v>
      </c>
    </row>
    <row r="95" spans="1:5" ht="12" customHeight="1">
      <c r="A95" s="341" t="s">
        <v>71</v>
      </c>
      <c r="B95" s="335" t="s">
        <v>98</v>
      </c>
      <c r="C95" s="382">
        <f>10323498+'7.4. sz. mell'!C47</f>
        <v>24746498</v>
      </c>
      <c r="D95" s="382">
        <f>10323498+'7.4. sz. mell'!D47</f>
        <v>17088435</v>
      </c>
      <c r="E95" s="382">
        <f>10323498+'7.4. sz. mell'!E47</f>
        <v>16537402</v>
      </c>
    </row>
    <row r="96" spans="1:5" ht="12" customHeight="1">
      <c r="A96" s="341" t="s">
        <v>72</v>
      </c>
      <c r="B96" s="338" t="s">
        <v>132</v>
      </c>
      <c r="C96" s="382"/>
      <c r="D96" s="382"/>
      <c r="E96" s="365"/>
    </row>
    <row r="97" spans="1:5" ht="12" customHeight="1">
      <c r="A97" s="341" t="s">
        <v>81</v>
      </c>
      <c r="B97" s="346" t="s">
        <v>133</v>
      </c>
      <c r="C97" s="382">
        <v>3541107</v>
      </c>
      <c r="D97" s="382">
        <v>3541107</v>
      </c>
      <c r="E97" s="365">
        <v>3541107</v>
      </c>
    </row>
    <row r="98" spans="1:5" ht="12" customHeight="1">
      <c r="A98" s="341" t="s">
        <v>73</v>
      </c>
      <c r="B98" s="335" t="s">
        <v>418</v>
      </c>
      <c r="C98" s="382"/>
      <c r="D98" s="382"/>
      <c r="E98" s="365"/>
    </row>
    <row r="99" spans="1:5" ht="12" customHeight="1">
      <c r="A99" s="341" t="s">
        <v>74</v>
      </c>
      <c r="B99" s="358" t="s">
        <v>419</v>
      </c>
      <c r="C99" s="382"/>
      <c r="D99" s="382"/>
      <c r="E99" s="365"/>
    </row>
    <row r="100" spans="1:5" ht="12" customHeight="1">
      <c r="A100" s="341" t="s">
        <v>82</v>
      </c>
      <c r="B100" s="359" t="s">
        <v>420</v>
      </c>
      <c r="C100" s="382"/>
      <c r="D100" s="382"/>
      <c r="E100" s="365"/>
    </row>
    <row r="101" spans="1:5" ht="12" customHeight="1">
      <c r="A101" s="341" t="s">
        <v>83</v>
      </c>
      <c r="B101" s="359" t="s">
        <v>421</v>
      </c>
      <c r="C101" s="382"/>
      <c r="D101" s="382"/>
      <c r="E101" s="365"/>
    </row>
    <row r="102" spans="1:5" ht="12" customHeight="1">
      <c r="A102" s="341" t="s">
        <v>84</v>
      </c>
      <c r="B102" s="358" t="s">
        <v>422</v>
      </c>
      <c r="C102" s="382"/>
      <c r="D102" s="382"/>
      <c r="E102" s="365"/>
    </row>
    <row r="103" spans="1:5" ht="12" customHeight="1">
      <c r="A103" s="341" t="s">
        <v>85</v>
      </c>
      <c r="B103" s="358" t="s">
        <v>423</v>
      </c>
      <c r="C103" s="382"/>
      <c r="D103" s="382"/>
      <c r="E103" s="365"/>
    </row>
    <row r="104" spans="1:5" ht="12" customHeight="1">
      <c r="A104" s="341" t="s">
        <v>87</v>
      </c>
      <c r="B104" s="359" t="s">
        <v>424</v>
      </c>
      <c r="C104" s="382"/>
      <c r="D104" s="382"/>
      <c r="E104" s="365"/>
    </row>
    <row r="105" spans="1:5" ht="12" customHeight="1">
      <c r="A105" s="340" t="s">
        <v>134</v>
      </c>
      <c r="B105" s="360" t="s">
        <v>425</v>
      </c>
      <c r="C105" s="382"/>
      <c r="D105" s="382"/>
      <c r="E105" s="365"/>
    </row>
    <row r="106" spans="1:5" ht="12" customHeight="1">
      <c r="A106" s="341" t="s">
        <v>426</v>
      </c>
      <c r="B106" s="360" t="s">
        <v>427</v>
      </c>
      <c r="C106" s="382"/>
      <c r="D106" s="382"/>
      <c r="E106" s="365"/>
    </row>
    <row r="107" spans="1:5" ht="12" customHeight="1" thickBot="1">
      <c r="A107" s="345" t="s">
        <v>428</v>
      </c>
      <c r="B107" s="361" t="s">
        <v>429</v>
      </c>
      <c r="C107" s="79"/>
      <c r="D107" s="79"/>
      <c r="E107" s="326"/>
    </row>
    <row r="108" spans="1:5" ht="12" customHeight="1" thickBot="1">
      <c r="A108" s="347" t="s">
        <v>8</v>
      </c>
      <c r="B108" s="350" t="s">
        <v>430</v>
      </c>
      <c r="C108" s="379">
        <f>+C109+C111+C113</f>
        <v>0</v>
      </c>
      <c r="D108" s="379">
        <f>+D109+D111+D113</f>
        <v>0</v>
      </c>
      <c r="E108" s="362">
        <f>+E109+E111+E113</f>
        <v>0</v>
      </c>
    </row>
    <row r="109" spans="1:5" ht="12" customHeight="1">
      <c r="A109" s="342" t="s">
        <v>75</v>
      </c>
      <c r="B109" s="335" t="s">
        <v>153</v>
      </c>
      <c r="C109" s="381"/>
      <c r="D109" s="381"/>
      <c r="E109" s="364"/>
    </row>
    <row r="110" spans="1:5" ht="12" customHeight="1">
      <c r="A110" s="342" t="s">
        <v>76</v>
      </c>
      <c r="B110" s="339" t="s">
        <v>431</v>
      </c>
      <c r="C110" s="381"/>
      <c r="D110" s="381"/>
      <c r="E110" s="364"/>
    </row>
    <row r="111" spans="1:5" ht="15.75">
      <c r="A111" s="342" t="s">
        <v>77</v>
      </c>
      <c r="B111" s="339" t="s">
        <v>135</v>
      </c>
      <c r="C111" s="380"/>
      <c r="D111" s="380"/>
      <c r="E111" s="363"/>
    </row>
    <row r="112" spans="1:5" ht="12" customHeight="1">
      <c r="A112" s="342" t="s">
        <v>78</v>
      </c>
      <c r="B112" s="339" t="s">
        <v>432</v>
      </c>
      <c r="C112" s="380"/>
      <c r="D112" s="380"/>
      <c r="E112" s="363"/>
    </row>
    <row r="113" spans="1:5" ht="12" customHeight="1">
      <c r="A113" s="342" t="s">
        <v>79</v>
      </c>
      <c r="B113" s="371" t="s">
        <v>155</v>
      </c>
      <c r="C113" s="380"/>
      <c r="D113" s="380"/>
      <c r="E113" s="363"/>
    </row>
    <row r="114" spans="1:5" ht="21.75" customHeight="1">
      <c r="A114" s="342" t="s">
        <v>86</v>
      </c>
      <c r="B114" s="370" t="s">
        <v>433</v>
      </c>
      <c r="C114" s="380"/>
      <c r="D114" s="380"/>
      <c r="E114" s="363"/>
    </row>
    <row r="115" spans="1:5" ht="24" customHeight="1">
      <c r="A115" s="342" t="s">
        <v>88</v>
      </c>
      <c r="B115" s="386" t="s">
        <v>434</v>
      </c>
      <c r="C115" s="380"/>
      <c r="D115" s="380"/>
      <c r="E115" s="363"/>
    </row>
    <row r="116" spans="1:5" ht="12" customHeight="1">
      <c r="A116" s="342" t="s">
        <v>136</v>
      </c>
      <c r="B116" s="359" t="s">
        <v>421</v>
      </c>
      <c r="C116" s="380"/>
      <c r="D116" s="380"/>
      <c r="E116" s="363"/>
    </row>
    <row r="117" spans="1:5" ht="12" customHeight="1">
      <c r="A117" s="342" t="s">
        <v>137</v>
      </c>
      <c r="B117" s="359" t="s">
        <v>435</v>
      </c>
      <c r="C117" s="380"/>
      <c r="D117" s="380"/>
      <c r="E117" s="363"/>
    </row>
    <row r="118" spans="1:5" ht="12" customHeight="1">
      <c r="A118" s="342" t="s">
        <v>138</v>
      </c>
      <c r="B118" s="359" t="s">
        <v>436</v>
      </c>
      <c r="C118" s="380"/>
      <c r="D118" s="380"/>
      <c r="E118" s="363"/>
    </row>
    <row r="119" spans="1:5" s="406" customFormat="1" ht="12" customHeight="1">
      <c r="A119" s="342" t="s">
        <v>437</v>
      </c>
      <c r="B119" s="359" t="s">
        <v>424</v>
      </c>
      <c r="C119" s="380"/>
      <c r="D119" s="380"/>
      <c r="E119" s="363"/>
    </row>
    <row r="120" spans="1:5" ht="12" customHeight="1">
      <c r="A120" s="342" t="s">
        <v>438</v>
      </c>
      <c r="B120" s="359" t="s">
        <v>439</v>
      </c>
      <c r="C120" s="380"/>
      <c r="D120" s="380"/>
      <c r="E120" s="363"/>
    </row>
    <row r="121" spans="1:5" ht="12" customHeight="1" thickBot="1">
      <c r="A121" s="340" t="s">
        <v>440</v>
      </c>
      <c r="B121" s="359" t="s">
        <v>441</v>
      </c>
      <c r="C121" s="382"/>
      <c r="D121" s="382"/>
      <c r="E121" s="365"/>
    </row>
    <row r="122" spans="1:5" ht="12" customHeight="1" thickBot="1">
      <c r="A122" s="347" t="s">
        <v>9</v>
      </c>
      <c r="B122" s="355" t="s">
        <v>442</v>
      </c>
      <c r="C122" s="379">
        <f>+C123+C124</f>
        <v>0</v>
      </c>
      <c r="D122" s="379">
        <f>+D123+D124</f>
        <v>0</v>
      </c>
      <c r="E122" s="362">
        <f>+E123+E124</f>
        <v>0</v>
      </c>
    </row>
    <row r="123" spans="1:5" ht="12" customHeight="1">
      <c r="A123" s="342" t="s">
        <v>58</v>
      </c>
      <c r="B123" s="336" t="s">
        <v>45</v>
      </c>
      <c r="C123" s="381"/>
      <c r="D123" s="381"/>
      <c r="E123" s="364"/>
    </row>
    <row r="124" spans="1:5" ht="12" customHeight="1" thickBot="1">
      <c r="A124" s="343" t="s">
        <v>59</v>
      </c>
      <c r="B124" s="339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355" t="s">
        <v>443</v>
      </c>
      <c r="C125" s="379">
        <f>+C92+C108+C122</f>
        <v>87776863</v>
      </c>
      <c r="D125" s="379">
        <f>+D92+D108+D122</f>
        <v>79482825</v>
      </c>
      <c r="E125" s="362">
        <f>+E92+E108+E122</f>
        <v>78931792</v>
      </c>
    </row>
    <row r="126" spans="1:5" ht="12" customHeight="1" thickBot="1">
      <c r="A126" s="347" t="s">
        <v>11</v>
      </c>
      <c r="B126" s="355" t="s">
        <v>444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62</v>
      </c>
      <c r="B127" s="336" t="s">
        <v>445</v>
      </c>
      <c r="C127" s="380"/>
      <c r="D127" s="380"/>
      <c r="E127" s="363"/>
    </row>
    <row r="128" spans="1:5" ht="12" customHeight="1">
      <c r="A128" s="342" t="s">
        <v>63</v>
      </c>
      <c r="B128" s="336" t="s">
        <v>446</v>
      </c>
      <c r="C128" s="380"/>
      <c r="D128" s="380"/>
      <c r="E128" s="363"/>
    </row>
    <row r="129" spans="1:5" ht="12" customHeight="1" thickBot="1">
      <c r="A129" s="340" t="s">
        <v>64</v>
      </c>
      <c r="B129" s="334" t="s">
        <v>447</v>
      </c>
      <c r="C129" s="380"/>
      <c r="D129" s="380"/>
      <c r="E129" s="363"/>
    </row>
    <row r="130" spans="1:5" ht="12" customHeight="1" thickBot="1">
      <c r="A130" s="347" t="s">
        <v>12</v>
      </c>
      <c r="B130" s="355" t="s">
        <v>448</v>
      </c>
      <c r="C130" s="379">
        <f>+C131+C132+C134+C133</f>
        <v>0</v>
      </c>
      <c r="D130" s="379">
        <f>+D131+D132+D134+D133</f>
        <v>0</v>
      </c>
      <c r="E130" s="362">
        <f>+E131+E132+E134+E133</f>
        <v>0</v>
      </c>
    </row>
    <row r="131" spans="1:5" ht="12" customHeight="1">
      <c r="A131" s="342" t="s">
        <v>65</v>
      </c>
      <c r="B131" s="336" t="s">
        <v>449</v>
      </c>
      <c r="C131" s="380"/>
      <c r="D131" s="380"/>
      <c r="E131" s="363"/>
    </row>
    <row r="132" spans="1:5" ht="12" customHeight="1">
      <c r="A132" s="342" t="s">
        <v>66</v>
      </c>
      <c r="B132" s="336" t="s">
        <v>450</v>
      </c>
      <c r="C132" s="380"/>
      <c r="D132" s="380"/>
      <c r="E132" s="363"/>
    </row>
    <row r="133" spans="1:5" ht="12" customHeight="1">
      <c r="A133" s="342" t="s">
        <v>345</v>
      </c>
      <c r="B133" s="336" t="s">
        <v>451</v>
      </c>
      <c r="C133" s="380"/>
      <c r="D133" s="380"/>
      <c r="E133" s="363"/>
    </row>
    <row r="134" spans="1:5" ht="12" customHeight="1" thickBot="1">
      <c r="A134" s="340" t="s">
        <v>347</v>
      </c>
      <c r="B134" s="334" t="s">
        <v>452</v>
      </c>
      <c r="C134" s="380"/>
      <c r="D134" s="380"/>
      <c r="E134" s="363"/>
    </row>
    <row r="135" spans="1:5" ht="12" customHeight="1" thickBot="1">
      <c r="A135" s="347" t="s">
        <v>13</v>
      </c>
      <c r="B135" s="355" t="s">
        <v>453</v>
      </c>
      <c r="C135" s="385">
        <f>+C136+C137+C138+C139</f>
        <v>0</v>
      </c>
      <c r="D135" s="385">
        <f>+D136+D137+D138+D139</f>
        <v>0</v>
      </c>
      <c r="E135" s="398">
        <f>+E136+E137+E138+E139</f>
        <v>0</v>
      </c>
    </row>
    <row r="136" spans="1:5" ht="12" customHeight="1">
      <c r="A136" s="342" t="s">
        <v>67</v>
      </c>
      <c r="B136" s="336" t="s">
        <v>454</v>
      </c>
      <c r="C136" s="380"/>
      <c r="D136" s="380"/>
      <c r="E136" s="363"/>
    </row>
    <row r="137" spans="1:5" ht="12" customHeight="1">
      <c r="A137" s="342" t="s">
        <v>68</v>
      </c>
      <c r="B137" s="336" t="s">
        <v>455</v>
      </c>
      <c r="C137" s="380"/>
      <c r="D137" s="380"/>
      <c r="E137" s="363"/>
    </row>
    <row r="138" spans="1:5" ht="12" customHeight="1">
      <c r="A138" s="342" t="s">
        <v>354</v>
      </c>
      <c r="B138" s="336" t="s">
        <v>456</v>
      </c>
      <c r="C138" s="380"/>
      <c r="D138" s="380"/>
      <c r="E138" s="363"/>
    </row>
    <row r="139" spans="1:5" ht="12" customHeight="1" thickBot="1">
      <c r="A139" s="340" t="s">
        <v>356</v>
      </c>
      <c r="B139" s="334" t="s">
        <v>457</v>
      </c>
      <c r="C139" s="380"/>
      <c r="D139" s="380"/>
      <c r="E139" s="363"/>
    </row>
    <row r="140" spans="1:9" ht="15" customHeight="1" thickBot="1">
      <c r="A140" s="347" t="s">
        <v>14</v>
      </c>
      <c r="B140" s="355" t="s">
        <v>458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  <c r="F140" s="396"/>
      <c r="G140" s="397"/>
      <c r="H140" s="397"/>
      <c r="I140" s="397"/>
    </row>
    <row r="141" spans="1:5" s="389" customFormat="1" ht="12.75" customHeight="1">
      <c r="A141" s="342" t="s">
        <v>129</v>
      </c>
      <c r="B141" s="336" t="s">
        <v>459</v>
      </c>
      <c r="C141" s="380"/>
      <c r="D141" s="380"/>
      <c r="E141" s="363"/>
    </row>
    <row r="142" spans="1:5" ht="12.75" customHeight="1">
      <c r="A142" s="342" t="s">
        <v>130</v>
      </c>
      <c r="B142" s="336" t="s">
        <v>460</v>
      </c>
      <c r="C142" s="380"/>
      <c r="D142" s="380"/>
      <c r="E142" s="363"/>
    </row>
    <row r="143" spans="1:5" ht="12.75" customHeight="1">
      <c r="A143" s="342" t="s">
        <v>154</v>
      </c>
      <c r="B143" s="336" t="s">
        <v>461</v>
      </c>
      <c r="C143" s="380"/>
      <c r="D143" s="380"/>
      <c r="E143" s="363"/>
    </row>
    <row r="144" spans="1:5" ht="12.75" customHeight="1" thickBot="1">
      <c r="A144" s="342" t="s">
        <v>362</v>
      </c>
      <c r="B144" s="336" t="s">
        <v>462</v>
      </c>
      <c r="C144" s="380"/>
      <c r="D144" s="380"/>
      <c r="E144" s="363"/>
    </row>
    <row r="145" spans="1:5" ht="16.5" thickBot="1">
      <c r="A145" s="347" t="s">
        <v>15</v>
      </c>
      <c r="B145" s="355" t="s">
        <v>463</v>
      </c>
      <c r="C145" s="329">
        <f>+C126+C130+C135+C140</f>
        <v>0</v>
      </c>
      <c r="D145" s="329">
        <f>+D126+D130+D135+D140</f>
        <v>0</v>
      </c>
      <c r="E145" s="330">
        <f>+E126+E130+E135+E140</f>
        <v>0</v>
      </c>
    </row>
    <row r="146" spans="1:5" ht="16.5" thickBot="1">
      <c r="A146" s="372" t="s">
        <v>16</v>
      </c>
      <c r="B146" s="375" t="s">
        <v>464</v>
      </c>
      <c r="C146" s="329">
        <f>+C125+C145</f>
        <v>87776863</v>
      </c>
      <c r="D146" s="329">
        <f>+D125+D145</f>
        <v>79482825</v>
      </c>
      <c r="E146" s="330">
        <f>+E125+E145</f>
        <v>78931792</v>
      </c>
    </row>
    <row r="148" spans="1:5" ht="18.75" customHeight="1">
      <c r="A148" s="703" t="s">
        <v>465</v>
      </c>
      <c r="B148" s="703"/>
      <c r="C148" s="703"/>
      <c r="D148" s="703"/>
      <c r="E148" s="703"/>
    </row>
    <row r="149" spans="1:5" ht="13.5" customHeight="1" thickBot="1">
      <c r="A149" s="357" t="s">
        <v>111</v>
      </c>
      <c r="B149" s="357"/>
      <c r="C149" s="387"/>
      <c r="E149" s="374" t="str">
        <f>E88</f>
        <v>Forintban!</v>
      </c>
    </row>
    <row r="150" spans="1:5" ht="21.75" thickBot="1">
      <c r="A150" s="347">
        <v>1</v>
      </c>
      <c r="B150" s="350" t="s">
        <v>466</v>
      </c>
      <c r="C150" s="373">
        <f>+C61-C125</f>
        <v>0</v>
      </c>
      <c r="D150" s="373">
        <f>+D61-D125</f>
        <v>0</v>
      </c>
      <c r="E150" s="373">
        <f>+E61-E125</f>
        <v>0</v>
      </c>
    </row>
    <row r="151" spans="1:5" ht="21.75" thickBot="1">
      <c r="A151" s="347" t="s">
        <v>8</v>
      </c>
      <c r="B151" s="350" t="s">
        <v>467</v>
      </c>
      <c r="C151" s="373">
        <f>+C84-C145</f>
        <v>0</v>
      </c>
      <c r="D151" s="373">
        <f>+D84-D145</f>
        <v>0</v>
      </c>
      <c r="E151" s="373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6" customFormat="1" ht="12.75" customHeight="1">
      <c r="C161" s="377"/>
      <c r="D161" s="377"/>
      <c r="E161" s="377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Nyírpazony Nagyközség Önkormányzat
2016. ÉVI ZÁRSZÁMADÁS
ÁLLAMIGAZGATÁSI FELADATOK MÉRLEGE
&amp;R&amp;"Times New Roman CE,Félkövér dőlt"&amp;11 1.4. melléklet a 7/2017. (IV. 28.)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B2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9" t="s">
        <v>115</v>
      </c>
      <c r="C1" s="420"/>
      <c r="D1" s="420"/>
      <c r="E1" s="420"/>
      <c r="F1" s="420"/>
      <c r="G1" s="420"/>
      <c r="H1" s="420"/>
      <c r="I1" s="420"/>
      <c r="J1" s="713" t="str">
        <f>+CONCATENATE("2.1. melléklet a 7/",LEFT('1.1.sz.mell.'!C3,4)+1,". (IV. 28.) önkormányzati rendelethez")</f>
        <v>2.1. melléklet a 7/2017. (IV. 28.) önkormányzati rendelethez</v>
      </c>
    </row>
    <row r="2" spans="7:10" ht="14.25" thickBot="1">
      <c r="G2" s="40"/>
      <c r="H2" s="40"/>
      <c r="I2" s="40" t="str">
        <f>'1.4.sz.mell.'!E2</f>
        <v>Forintban!</v>
      </c>
      <c r="J2" s="713"/>
    </row>
    <row r="3" spans="1:10" ht="18" customHeight="1" thickBot="1">
      <c r="A3" s="711" t="s">
        <v>57</v>
      </c>
      <c r="B3" s="446" t="s">
        <v>42</v>
      </c>
      <c r="C3" s="447"/>
      <c r="D3" s="447"/>
      <c r="E3" s="447"/>
      <c r="F3" s="446" t="s">
        <v>43</v>
      </c>
      <c r="G3" s="448"/>
      <c r="H3" s="448"/>
      <c r="I3" s="448"/>
      <c r="J3" s="713"/>
    </row>
    <row r="4" spans="1:10" s="421" customFormat="1" ht="35.25" customHeight="1" thickBot="1">
      <c r="A4" s="712"/>
      <c r="B4" s="28" t="s">
        <v>50</v>
      </c>
      <c r="C4" s="29" t="str">
        <f>+CONCATENATE(LEFT('1.1.sz.mell.'!C3,4),". évi eredeti előirányzat")</f>
        <v>2016. évi eredeti előirányzat</v>
      </c>
      <c r="D4" s="407" t="str">
        <f>+CONCATENATE(LEFT('1.1.sz.mell.'!C3,4),". évi módosított előirányzat")</f>
        <v>2016. évi módosított előirányzat</v>
      </c>
      <c r="E4" s="29" t="str">
        <f>+CONCATENATE(LEFT('1.1.sz.mell.'!C3,4),". évi teljesítés")</f>
        <v>2016. évi teljesítés</v>
      </c>
      <c r="F4" s="28" t="s">
        <v>50</v>
      </c>
      <c r="G4" s="29" t="str">
        <f>+C4</f>
        <v>2016. évi eredeti előirányzat</v>
      </c>
      <c r="H4" s="407" t="str">
        <f>+D4</f>
        <v>2016. évi módosított előirányzat</v>
      </c>
      <c r="I4" s="436" t="str">
        <f>+E4</f>
        <v>2016. évi teljesítés</v>
      </c>
      <c r="J4" s="713"/>
    </row>
    <row r="5" spans="1:10" s="422" customFormat="1" ht="12" customHeight="1" thickBot="1">
      <c r="A5" s="449" t="s">
        <v>411</v>
      </c>
      <c r="B5" s="450" t="s">
        <v>412</v>
      </c>
      <c r="C5" s="451" t="s">
        <v>413</v>
      </c>
      <c r="D5" s="451" t="s">
        <v>414</v>
      </c>
      <c r="E5" s="451" t="s">
        <v>415</v>
      </c>
      <c r="F5" s="450" t="s">
        <v>492</v>
      </c>
      <c r="G5" s="451" t="s">
        <v>493</v>
      </c>
      <c r="H5" s="451" t="s">
        <v>494</v>
      </c>
      <c r="I5" s="452" t="s">
        <v>495</v>
      </c>
      <c r="J5" s="713"/>
    </row>
    <row r="6" spans="1:10" ht="15" customHeight="1">
      <c r="A6" s="423" t="s">
        <v>7</v>
      </c>
      <c r="B6" s="424" t="s">
        <v>468</v>
      </c>
      <c r="C6" s="410">
        <v>200031103</v>
      </c>
      <c r="D6" s="410">
        <v>203800049</v>
      </c>
      <c r="E6" s="410">
        <v>203800049</v>
      </c>
      <c r="F6" s="424" t="s">
        <v>51</v>
      </c>
      <c r="G6" s="410">
        <v>150138000</v>
      </c>
      <c r="H6" s="410">
        <f>113141384+1599500+27222510+38819716</f>
        <v>180783110</v>
      </c>
      <c r="I6" s="416">
        <f>113141384+27222510+1599500+38819716</f>
        <v>180783110</v>
      </c>
      <c r="J6" s="713"/>
    </row>
    <row r="7" spans="1:10" ht="15" customHeight="1">
      <c r="A7" s="425" t="s">
        <v>8</v>
      </c>
      <c r="B7" s="426" t="s">
        <v>469</v>
      </c>
      <c r="C7" s="411">
        <v>73748000</v>
      </c>
      <c r="D7" s="411">
        <v>206087136</v>
      </c>
      <c r="E7" s="411">
        <v>148738679</v>
      </c>
      <c r="F7" s="426" t="s">
        <v>131</v>
      </c>
      <c r="G7" s="411">
        <v>35452000</v>
      </c>
      <c r="H7" s="411">
        <f>10589801+6998515+442463+20868207</f>
        <v>38898986</v>
      </c>
      <c r="I7" s="417">
        <f>10589801+442463+6998515+20868207</f>
        <v>38898986</v>
      </c>
      <c r="J7" s="713"/>
    </row>
    <row r="8" spans="1:10" ht="15" customHeight="1">
      <c r="A8" s="425" t="s">
        <v>9</v>
      </c>
      <c r="B8" s="426" t="s">
        <v>470</v>
      </c>
      <c r="C8" s="411"/>
      <c r="D8" s="411"/>
      <c r="E8" s="411"/>
      <c r="F8" s="426" t="s">
        <v>158</v>
      </c>
      <c r="G8" s="411">
        <v>127172969</v>
      </c>
      <c r="H8" s="411">
        <f>117250924+1585838+6764937+5712436+16248645</f>
        <v>147562780</v>
      </c>
      <c r="I8" s="417">
        <f>108414328+6213904+1585838+5586600</f>
        <v>121800670</v>
      </c>
      <c r="J8" s="713"/>
    </row>
    <row r="9" spans="1:10" ht="15" customHeight="1">
      <c r="A9" s="425" t="s">
        <v>10</v>
      </c>
      <c r="B9" s="426" t="s">
        <v>122</v>
      </c>
      <c r="C9" s="411">
        <v>48240000</v>
      </c>
      <c r="D9" s="411">
        <v>57032589</v>
      </c>
      <c r="E9" s="411">
        <v>57032589</v>
      </c>
      <c r="F9" s="426" t="s">
        <v>132</v>
      </c>
      <c r="G9" s="411">
        <v>13134000</v>
      </c>
      <c r="H9" s="411">
        <v>7007232</v>
      </c>
      <c r="I9" s="417">
        <v>7007232</v>
      </c>
      <c r="J9" s="713"/>
    </row>
    <row r="10" spans="1:10" ht="15" customHeight="1">
      <c r="A10" s="425" t="s">
        <v>11</v>
      </c>
      <c r="B10" s="427" t="s">
        <v>471</v>
      </c>
      <c r="C10" s="411"/>
      <c r="D10" s="411">
        <v>841006</v>
      </c>
      <c r="E10" s="411">
        <v>841006</v>
      </c>
      <c r="F10" s="426" t="s">
        <v>133</v>
      </c>
      <c r="G10" s="411">
        <v>26858000</v>
      </c>
      <c r="H10" s="411">
        <f>5333477+21723451+625</f>
        <v>27057553</v>
      </c>
      <c r="I10" s="417">
        <v>26037553</v>
      </c>
      <c r="J10" s="713"/>
    </row>
    <row r="11" spans="1:10" ht="15" customHeight="1">
      <c r="A11" s="425" t="s">
        <v>12</v>
      </c>
      <c r="B11" s="426" t="s">
        <v>662</v>
      </c>
      <c r="C11" s="412"/>
      <c r="D11" s="412"/>
      <c r="E11" s="412"/>
      <c r="F11" s="426" t="s">
        <v>38</v>
      </c>
      <c r="G11" s="411"/>
      <c r="H11" s="411">
        <v>54918000</v>
      </c>
      <c r="I11" s="417"/>
      <c r="J11" s="713"/>
    </row>
    <row r="12" spans="1:10" ht="15" customHeight="1">
      <c r="A12" s="425" t="s">
        <v>13</v>
      </c>
      <c r="B12" s="426" t="s">
        <v>341</v>
      </c>
      <c r="C12" s="411">
        <v>11226866</v>
      </c>
      <c r="D12" s="411">
        <v>14477903</v>
      </c>
      <c r="E12" s="411">
        <v>14477903</v>
      </c>
      <c r="F12" s="7"/>
      <c r="G12" s="411"/>
      <c r="H12" s="411"/>
      <c r="I12" s="417"/>
      <c r="J12" s="713"/>
    </row>
    <row r="13" spans="1:10" ht="15" customHeight="1">
      <c r="A13" s="425" t="s">
        <v>14</v>
      </c>
      <c r="B13" s="7"/>
      <c r="C13" s="411"/>
      <c r="D13" s="411"/>
      <c r="E13" s="411"/>
      <c r="F13" s="7"/>
      <c r="G13" s="411"/>
      <c r="H13" s="411"/>
      <c r="I13" s="417"/>
      <c r="J13" s="713"/>
    </row>
    <row r="14" spans="1:10" ht="15" customHeight="1">
      <c r="A14" s="425" t="s">
        <v>15</v>
      </c>
      <c r="B14" s="435"/>
      <c r="C14" s="412"/>
      <c r="D14" s="412"/>
      <c r="E14" s="412"/>
      <c r="F14" s="7"/>
      <c r="G14" s="411"/>
      <c r="H14" s="411"/>
      <c r="I14" s="417"/>
      <c r="J14" s="713"/>
    </row>
    <row r="15" spans="1:10" ht="15" customHeight="1">
      <c r="A15" s="425" t="s">
        <v>16</v>
      </c>
      <c r="B15" s="7"/>
      <c r="C15" s="411"/>
      <c r="D15" s="411"/>
      <c r="E15" s="411"/>
      <c r="F15" s="7"/>
      <c r="G15" s="411"/>
      <c r="H15" s="411"/>
      <c r="I15" s="417"/>
      <c r="J15" s="713"/>
    </row>
    <row r="16" spans="1:10" ht="15" customHeight="1">
      <c r="A16" s="425" t="s">
        <v>17</v>
      </c>
      <c r="B16" s="7"/>
      <c r="C16" s="411"/>
      <c r="D16" s="411"/>
      <c r="E16" s="411"/>
      <c r="F16" s="7"/>
      <c r="G16" s="411"/>
      <c r="H16" s="411"/>
      <c r="I16" s="417"/>
      <c r="J16" s="713"/>
    </row>
    <row r="17" spans="1:10" ht="15" customHeight="1" thickBot="1">
      <c r="A17" s="425" t="s">
        <v>18</v>
      </c>
      <c r="B17" s="13"/>
      <c r="C17" s="413"/>
      <c r="D17" s="413"/>
      <c r="E17" s="413"/>
      <c r="F17" s="7"/>
      <c r="G17" s="413"/>
      <c r="H17" s="413"/>
      <c r="I17" s="418"/>
      <c r="J17" s="713"/>
    </row>
    <row r="18" spans="1:10" ht="17.25" customHeight="1" thickBot="1">
      <c r="A18" s="428" t="s">
        <v>19</v>
      </c>
      <c r="B18" s="409" t="s">
        <v>472</v>
      </c>
      <c r="C18" s="414">
        <f>+C6+C7+C9+C10+C12+C13+C14+C15+C16+C17</f>
        <v>333245969</v>
      </c>
      <c r="D18" s="414">
        <f>+D6+D7+D9+D10+D12+D13+D14+D15+D16+D17</f>
        <v>482238683</v>
      </c>
      <c r="E18" s="414">
        <f>+E6+E7+E9+E10+E12+E13+E14+E15+E16+E17</f>
        <v>424890226</v>
      </c>
      <c r="F18" s="409" t="s">
        <v>479</v>
      </c>
      <c r="G18" s="414">
        <f>SUM(G6:G17)</f>
        <v>352754969</v>
      </c>
      <c r="H18" s="414">
        <f>SUM(H6:H17)</f>
        <v>456227661</v>
      </c>
      <c r="I18" s="414">
        <f>SUM(I6:I17)</f>
        <v>374527551</v>
      </c>
      <c r="J18" s="713"/>
    </row>
    <row r="19" spans="1:10" ht="15" customHeight="1">
      <c r="A19" s="429" t="s">
        <v>20</v>
      </c>
      <c r="B19" s="430" t="s">
        <v>473</v>
      </c>
      <c r="C19" s="41">
        <f>+C20+C21+C22+C23</f>
        <v>0</v>
      </c>
      <c r="D19" s="41">
        <f>+D20+D21+D22+D23</f>
        <v>37976562</v>
      </c>
      <c r="E19" s="41">
        <f>+E20+E21+E22+E23</f>
        <v>37976562</v>
      </c>
      <c r="F19" s="431" t="s">
        <v>139</v>
      </c>
      <c r="G19" s="415"/>
      <c r="H19" s="415"/>
      <c r="I19" s="415"/>
      <c r="J19" s="713"/>
    </row>
    <row r="20" spans="1:10" ht="15" customHeight="1">
      <c r="A20" s="432" t="s">
        <v>21</v>
      </c>
      <c r="B20" s="431" t="s">
        <v>151</v>
      </c>
      <c r="C20" s="408"/>
      <c r="D20" s="408">
        <v>30368659</v>
      </c>
      <c r="E20" s="408">
        <v>30368659</v>
      </c>
      <c r="F20" s="431" t="s">
        <v>480</v>
      </c>
      <c r="G20" s="408"/>
      <c r="H20" s="408"/>
      <c r="I20" s="408"/>
      <c r="J20" s="713"/>
    </row>
    <row r="21" spans="1:10" ht="15" customHeight="1">
      <c r="A21" s="432" t="s">
        <v>22</v>
      </c>
      <c r="B21" s="431" t="s">
        <v>152</v>
      </c>
      <c r="C21" s="408"/>
      <c r="D21" s="408"/>
      <c r="E21" s="408"/>
      <c r="F21" s="431" t="s">
        <v>113</v>
      </c>
      <c r="G21" s="408"/>
      <c r="H21" s="408"/>
      <c r="I21" s="408"/>
      <c r="J21" s="713"/>
    </row>
    <row r="22" spans="1:10" ht="15" customHeight="1">
      <c r="A22" s="432" t="s">
        <v>23</v>
      </c>
      <c r="B22" s="431" t="s">
        <v>156</v>
      </c>
      <c r="C22" s="408"/>
      <c r="D22" s="408"/>
      <c r="E22" s="408"/>
      <c r="F22" s="431" t="s">
        <v>114</v>
      </c>
      <c r="G22" s="408"/>
      <c r="H22" s="408"/>
      <c r="I22" s="408"/>
      <c r="J22" s="713"/>
    </row>
    <row r="23" spans="1:10" ht="15" customHeight="1">
      <c r="A23" s="432" t="s">
        <v>24</v>
      </c>
      <c r="B23" s="431" t="s">
        <v>157</v>
      </c>
      <c r="C23" s="408"/>
      <c r="D23" s="408">
        <v>7607903</v>
      </c>
      <c r="E23" s="408">
        <v>7607903</v>
      </c>
      <c r="F23" s="430" t="s">
        <v>159</v>
      </c>
      <c r="G23" s="408"/>
      <c r="H23" s="408"/>
      <c r="I23" s="408"/>
      <c r="J23" s="713"/>
    </row>
    <row r="24" spans="1:10" ht="15" customHeight="1">
      <c r="A24" s="432" t="s">
        <v>25</v>
      </c>
      <c r="B24" s="431" t="s">
        <v>474</v>
      </c>
      <c r="C24" s="433">
        <f>+C25+C26</f>
        <v>9509000</v>
      </c>
      <c r="D24" s="433">
        <f>+D25+D26</f>
        <v>0</v>
      </c>
      <c r="E24" s="433">
        <f>+E25+E26</f>
        <v>0</v>
      </c>
      <c r="F24" s="431" t="s">
        <v>140</v>
      </c>
      <c r="G24" s="408"/>
      <c r="H24" s="408"/>
      <c r="I24" s="408"/>
      <c r="J24" s="713"/>
    </row>
    <row r="25" spans="1:10" ht="15" customHeight="1">
      <c r="A25" s="429" t="s">
        <v>26</v>
      </c>
      <c r="B25" s="430" t="s">
        <v>475</v>
      </c>
      <c r="C25" s="415">
        <v>9509000</v>
      </c>
      <c r="D25" s="415"/>
      <c r="E25" s="415"/>
      <c r="F25" s="424" t="s">
        <v>141</v>
      </c>
      <c r="G25" s="415"/>
      <c r="H25" s="415"/>
      <c r="I25" s="415"/>
      <c r="J25" s="713"/>
    </row>
    <row r="26" spans="1:10" ht="15" customHeight="1" thickBot="1">
      <c r="A26" s="432" t="s">
        <v>27</v>
      </c>
      <c r="B26" s="431" t="s">
        <v>476</v>
      </c>
      <c r="C26" s="408"/>
      <c r="D26" s="408"/>
      <c r="E26" s="408"/>
      <c r="F26" s="697" t="s">
        <v>783</v>
      </c>
      <c r="G26" s="408"/>
      <c r="H26" s="408">
        <v>7307475</v>
      </c>
      <c r="I26" s="408">
        <v>7307475</v>
      </c>
      <c r="J26" s="713"/>
    </row>
    <row r="27" spans="1:10" ht="17.25" customHeight="1" thickBot="1">
      <c r="A27" s="428" t="s">
        <v>28</v>
      </c>
      <c r="B27" s="409" t="s">
        <v>477</v>
      </c>
      <c r="C27" s="414">
        <f>+C19+C24</f>
        <v>9509000</v>
      </c>
      <c r="D27" s="414">
        <f>+D19+D24</f>
        <v>37976562</v>
      </c>
      <c r="E27" s="414">
        <f>+E19+E24</f>
        <v>37976562</v>
      </c>
      <c r="F27" s="409" t="s">
        <v>481</v>
      </c>
      <c r="G27" s="414">
        <f>SUM(G19:G26)</f>
        <v>0</v>
      </c>
      <c r="H27" s="414">
        <f>SUM(H19:H26)</f>
        <v>7307475</v>
      </c>
      <c r="I27" s="414">
        <f>SUM(I19:I26)</f>
        <v>7307475</v>
      </c>
      <c r="J27" s="713"/>
    </row>
    <row r="28" spans="1:10" ht="17.25" customHeight="1" thickBot="1">
      <c r="A28" s="428" t="s">
        <v>29</v>
      </c>
      <c r="B28" s="434" t="s">
        <v>478</v>
      </c>
      <c r="C28" s="645">
        <f>+C18+C27</f>
        <v>342754969</v>
      </c>
      <c r="D28" s="645">
        <f>+D18+D27</f>
        <v>520215245</v>
      </c>
      <c r="E28" s="646">
        <f>+E18+E27</f>
        <v>462866788</v>
      </c>
      <c r="F28" s="434" t="s">
        <v>482</v>
      </c>
      <c r="G28" s="645">
        <f>+G18+G27</f>
        <v>352754969</v>
      </c>
      <c r="H28" s="645">
        <f>+H18+H27</f>
        <v>463535136</v>
      </c>
      <c r="I28" s="645">
        <f>+I18+I27</f>
        <v>381835026</v>
      </c>
      <c r="J28" s="713"/>
    </row>
    <row r="29" spans="1:10" ht="17.25" customHeight="1" thickBot="1">
      <c r="A29" s="428" t="s">
        <v>30</v>
      </c>
      <c r="B29" s="434" t="s">
        <v>117</v>
      </c>
      <c r="C29" s="645">
        <f>IF(C18-G18&lt;0,G18-C18,"-")</f>
        <v>19509000</v>
      </c>
      <c r="D29" s="645" t="str">
        <f>IF(D18-H18&lt;0,H18-D18,"-")</f>
        <v>-</v>
      </c>
      <c r="E29" s="646" t="str">
        <f>IF(E18-I18&lt;0,I18-E18,"-")</f>
        <v>-</v>
      </c>
      <c r="F29" s="434" t="s">
        <v>118</v>
      </c>
      <c r="G29" s="645" t="str">
        <f>IF(C18-G18&gt;0,C18-G18,"-")</f>
        <v>-</v>
      </c>
      <c r="H29" s="645">
        <f>IF(D18-H18&gt;0,D18-H18,"-")</f>
        <v>26011022</v>
      </c>
      <c r="I29" s="645">
        <f>IF(E18-I18&gt;0,E18-I18,"-")</f>
        <v>50362675</v>
      </c>
      <c r="J29" s="713"/>
    </row>
    <row r="30" spans="1:10" ht="17.25" customHeight="1" thickBot="1">
      <c r="A30" s="428" t="s">
        <v>31</v>
      </c>
      <c r="B30" s="434" t="s">
        <v>740</v>
      </c>
      <c r="C30" s="645">
        <f>IF(C28-G28&lt;0,G28-C28,"-")</f>
        <v>10000000</v>
      </c>
      <c r="D30" s="645" t="str">
        <f>IF(D28-H28&lt;0,H28-D28,"-")</f>
        <v>-</v>
      </c>
      <c r="E30" s="646" t="str">
        <f>IF(E28-I28&lt;0,I28-E28,"-")</f>
        <v>-</v>
      </c>
      <c r="F30" s="434" t="s">
        <v>741</v>
      </c>
      <c r="G30" s="645" t="str">
        <f>IF(C28-G28&gt;0,C28-G28,"-")</f>
        <v>-</v>
      </c>
      <c r="H30" s="645">
        <f>IF(D28-H28&gt;0,D28-H28,"-")</f>
        <v>56680109</v>
      </c>
      <c r="I30" s="645">
        <f>IF(E28-I28&gt;0,E28-I28,"-")</f>
        <v>81031762</v>
      </c>
      <c r="J30" s="713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15" workbookViewId="0" topLeftCell="B2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9" t="s">
        <v>116</v>
      </c>
      <c r="C1" s="420"/>
      <c r="D1" s="420"/>
      <c r="E1" s="420"/>
      <c r="F1" s="420"/>
      <c r="G1" s="420"/>
      <c r="H1" s="420"/>
      <c r="I1" s="420"/>
      <c r="J1" s="716" t="str">
        <f>+CONCATENATE("2.2. melléklet a 7/",LEFT('1.1.sz.mell.'!C3,4)+1,". (IV. 28.) önkormányzati rendelethez")</f>
        <v>2.2. melléklet a 7/2017. (IV. 28.) önkormányzati rendelethez</v>
      </c>
    </row>
    <row r="2" spans="7:10" ht="14.25" thickBot="1">
      <c r="G2" s="40"/>
      <c r="H2" s="40"/>
      <c r="I2" s="40" t="str">
        <f>'2.1.sz.mell  '!I2</f>
        <v>Forintban!</v>
      </c>
      <c r="J2" s="716"/>
    </row>
    <row r="3" spans="1:10" ht="24" customHeight="1" thickBot="1">
      <c r="A3" s="714" t="s">
        <v>57</v>
      </c>
      <c r="B3" s="446" t="s">
        <v>42</v>
      </c>
      <c r="C3" s="447"/>
      <c r="D3" s="447"/>
      <c r="E3" s="447"/>
      <c r="F3" s="446" t="s">
        <v>43</v>
      </c>
      <c r="G3" s="448"/>
      <c r="H3" s="448"/>
      <c r="I3" s="448"/>
      <c r="J3" s="716"/>
    </row>
    <row r="4" spans="1:10" s="421" customFormat="1" ht="35.25" customHeight="1" thickBot="1">
      <c r="A4" s="715"/>
      <c r="B4" s="28" t="s">
        <v>50</v>
      </c>
      <c r="C4" s="29" t="str">
        <f>+'2.1.sz.mell  '!C4</f>
        <v>2016. évi eredeti előirányzat</v>
      </c>
      <c r="D4" s="407" t="str">
        <f>+'2.1.sz.mell  '!D4</f>
        <v>2016. évi módosított előirányzat</v>
      </c>
      <c r="E4" s="29" t="str">
        <f>+'2.1.sz.mell  '!E4</f>
        <v>2016. évi teljesítés</v>
      </c>
      <c r="F4" s="28" t="s">
        <v>50</v>
      </c>
      <c r="G4" s="29" t="str">
        <f>+'2.1.sz.mell  '!C4</f>
        <v>2016. évi eredeti előirányzat</v>
      </c>
      <c r="H4" s="407" t="str">
        <f>+'2.1.sz.mell  '!D4</f>
        <v>2016. évi módosított előirányzat</v>
      </c>
      <c r="I4" s="436" t="str">
        <f>+'2.1.sz.mell  '!E4</f>
        <v>2016. évi teljesítés</v>
      </c>
      <c r="J4" s="716"/>
    </row>
    <row r="5" spans="1:10" s="421" customFormat="1" ht="13.5" thickBot="1">
      <c r="A5" s="449" t="s">
        <v>411</v>
      </c>
      <c r="B5" s="450" t="s">
        <v>412</v>
      </c>
      <c r="C5" s="451" t="s">
        <v>413</v>
      </c>
      <c r="D5" s="451" t="s">
        <v>414</v>
      </c>
      <c r="E5" s="451" t="s">
        <v>415</v>
      </c>
      <c r="F5" s="450" t="s">
        <v>492</v>
      </c>
      <c r="G5" s="451" t="s">
        <v>493</v>
      </c>
      <c r="H5" s="451" t="s">
        <v>494</v>
      </c>
      <c r="I5" s="452" t="s">
        <v>495</v>
      </c>
      <c r="J5" s="716"/>
    </row>
    <row r="6" spans="1:10" ht="12.75" customHeight="1">
      <c r="A6" s="423" t="s">
        <v>7</v>
      </c>
      <c r="B6" s="424" t="s">
        <v>483</v>
      </c>
      <c r="C6" s="410"/>
      <c r="D6" s="410">
        <v>111999999</v>
      </c>
      <c r="E6" s="410">
        <v>111999999</v>
      </c>
      <c r="F6" s="424" t="s">
        <v>153</v>
      </c>
      <c r="G6" s="410">
        <v>41194000</v>
      </c>
      <c r="H6" s="410">
        <v>66492853</v>
      </c>
      <c r="I6" s="416">
        <v>55983508</v>
      </c>
      <c r="J6" s="716"/>
    </row>
    <row r="7" spans="1:10" ht="12.75">
      <c r="A7" s="425" t="s">
        <v>8</v>
      </c>
      <c r="B7" s="426" t="s">
        <v>484</v>
      </c>
      <c r="C7" s="411"/>
      <c r="D7" s="411"/>
      <c r="E7" s="411"/>
      <c r="F7" s="426" t="s">
        <v>496</v>
      </c>
      <c r="G7" s="411"/>
      <c r="H7" s="411"/>
      <c r="I7" s="417"/>
      <c r="J7" s="716"/>
    </row>
    <row r="8" spans="1:10" ht="12.75" customHeight="1">
      <c r="A8" s="425" t="s">
        <v>9</v>
      </c>
      <c r="B8" s="426" t="s">
        <v>485</v>
      </c>
      <c r="C8" s="411"/>
      <c r="D8" s="411">
        <v>50000</v>
      </c>
      <c r="E8" s="411">
        <v>50000</v>
      </c>
      <c r="F8" s="426" t="s">
        <v>135</v>
      </c>
      <c r="G8" s="411">
        <v>7138000</v>
      </c>
      <c r="H8" s="411">
        <v>10247255</v>
      </c>
      <c r="I8" s="417">
        <v>8074958</v>
      </c>
      <c r="J8" s="716"/>
    </row>
    <row r="9" spans="1:10" ht="12.75" customHeight="1">
      <c r="A9" s="425" t="s">
        <v>10</v>
      </c>
      <c r="B9" s="426" t="s">
        <v>486</v>
      </c>
      <c r="C9" s="411"/>
      <c r="D9" s="411"/>
      <c r="E9" s="411"/>
      <c r="F9" s="426" t="s">
        <v>497</v>
      </c>
      <c r="G9" s="411"/>
      <c r="H9" s="411"/>
      <c r="I9" s="417"/>
      <c r="J9" s="716"/>
    </row>
    <row r="10" spans="1:10" ht="12.75" customHeight="1">
      <c r="A10" s="425" t="s">
        <v>11</v>
      </c>
      <c r="B10" s="426" t="s">
        <v>487</v>
      </c>
      <c r="C10" s="411"/>
      <c r="D10" s="411"/>
      <c r="E10" s="411"/>
      <c r="F10" s="426" t="s">
        <v>155</v>
      </c>
      <c r="G10" s="411"/>
      <c r="H10" s="411"/>
      <c r="I10" s="417"/>
      <c r="J10" s="716"/>
    </row>
    <row r="11" spans="1:10" ht="12.75" customHeight="1">
      <c r="A11" s="425" t="s">
        <v>12</v>
      </c>
      <c r="B11" s="426" t="s">
        <v>488</v>
      </c>
      <c r="C11" s="412"/>
      <c r="D11" s="412"/>
      <c r="E11" s="412"/>
      <c r="F11" s="467"/>
      <c r="G11" s="411"/>
      <c r="H11" s="411"/>
      <c r="I11" s="417"/>
      <c r="J11" s="716"/>
    </row>
    <row r="12" spans="1:10" ht="12.75" customHeight="1">
      <c r="A12" s="425" t="s">
        <v>13</v>
      </c>
      <c r="B12" s="7"/>
      <c r="C12" s="411"/>
      <c r="D12" s="411"/>
      <c r="E12" s="411"/>
      <c r="F12" s="467"/>
      <c r="G12" s="411"/>
      <c r="H12" s="411"/>
      <c r="I12" s="417"/>
      <c r="J12" s="716"/>
    </row>
    <row r="13" spans="1:10" ht="12.75" customHeight="1">
      <c r="A13" s="425" t="s">
        <v>14</v>
      </c>
      <c r="B13" s="7"/>
      <c r="C13" s="411"/>
      <c r="D13" s="411"/>
      <c r="E13" s="411"/>
      <c r="F13" s="468"/>
      <c r="G13" s="411"/>
      <c r="H13" s="411"/>
      <c r="I13" s="417"/>
      <c r="J13" s="716"/>
    </row>
    <row r="14" spans="1:10" ht="12.75" customHeight="1">
      <c r="A14" s="425" t="s">
        <v>15</v>
      </c>
      <c r="B14" s="465"/>
      <c r="C14" s="412"/>
      <c r="D14" s="412"/>
      <c r="E14" s="412"/>
      <c r="F14" s="467"/>
      <c r="G14" s="411"/>
      <c r="H14" s="411"/>
      <c r="I14" s="417"/>
      <c r="J14" s="716"/>
    </row>
    <row r="15" spans="1:10" ht="12.75">
      <c r="A15" s="425" t="s">
        <v>16</v>
      </c>
      <c r="B15" s="7"/>
      <c r="C15" s="412"/>
      <c r="D15" s="412"/>
      <c r="E15" s="412"/>
      <c r="F15" s="467"/>
      <c r="G15" s="411"/>
      <c r="H15" s="411"/>
      <c r="I15" s="417"/>
      <c r="J15" s="716"/>
    </row>
    <row r="16" spans="1:10" ht="12.75" customHeight="1" thickBot="1">
      <c r="A16" s="462" t="s">
        <v>17</v>
      </c>
      <c r="B16" s="466"/>
      <c r="C16" s="464"/>
      <c r="D16" s="86"/>
      <c r="E16" s="93"/>
      <c r="F16" s="463" t="s">
        <v>38</v>
      </c>
      <c r="G16" s="411"/>
      <c r="H16" s="411"/>
      <c r="I16" s="417"/>
      <c r="J16" s="716"/>
    </row>
    <row r="17" spans="1:10" ht="15.75" customHeight="1" thickBot="1">
      <c r="A17" s="428" t="s">
        <v>18</v>
      </c>
      <c r="B17" s="409" t="s">
        <v>489</v>
      </c>
      <c r="C17" s="414">
        <f>+C6+C8+C9+C11+C12+C13+C14+C15+C16</f>
        <v>0</v>
      </c>
      <c r="D17" s="414">
        <f>+D6+D8+D9+D11+D12+D13+D14+D15+D16</f>
        <v>112049999</v>
      </c>
      <c r="E17" s="414">
        <f>+E6+E8+E9+E11+E12+E13+E14+E15+E16</f>
        <v>112049999</v>
      </c>
      <c r="F17" s="409" t="s">
        <v>498</v>
      </c>
      <c r="G17" s="414">
        <f>+G6+G8+G10+G11+G12+G13+G14+G15+G16</f>
        <v>48332000</v>
      </c>
      <c r="H17" s="414">
        <f>+H6+H8+H10+H11+H12+H13+H14+H15+H16</f>
        <v>76740108</v>
      </c>
      <c r="I17" s="445">
        <f>+I6+I8+I10+I11+I12+I13+I14+I15+I16</f>
        <v>64058466</v>
      </c>
      <c r="J17" s="716"/>
    </row>
    <row r="18" spans="1:10" ht="12.75" customHeight="1">
      <c r="A18" s="423" t="s">
        <v>19</v>
      </c>
      <c r="B18" s="454" t="s">
        <v>171</v>
      </c>
      <c r="C18" s="461">
        <f>+C19+C20+C21+C22+C23</f>
        <v>58332000</v>
      </c>
      <c r="D18" s="461">
        <f>+D19+D20+D21+D22+D23</f>
        <v>40000000</v>
      </c>
      <c r="E18" s="461">
        <f>+E19+E20+E21+E22+E23</f>
        <v>40000000</v>
      </c>
      <c r="F18" s="431" t="s">
        <v>139</v>
      </c>
      <c r="G18" s="81"/>
      <c r="H18" s="81"/>
      <c r="I18" s="440"/>
      <c r="J18" s="716"/>
    </row>
    <row r="19" spans="1:10" ht="12.75" customHeight="1">
      <c r="A19" s="425" t="s">
        <v>20</v>
      </c>
      <c r="B19" s="455" t="s">
        <v>160</v>
      </c>
      <c r="C19" s="408"/>
      <c r="D19" s="408"/>
      <c r="E19" s="408"/>
      <c r="F19" s="431" t="s">
        <v>142</v>
      </c>
      <c r="G19" s="408"/>
      <c r="H19" s="408"/>
      <c r="I19" s="441"/>
      <c r="J19" s="716"/>
    </row>
    <row r="20" spans="1:10" ht="12.75" customHeight="1">
      <c r="A20" s="423" t="s">
        <v>21</v>
      </c>
      <c r="B20" s="455" t="s">
        <v>161</v>
      </c>
      <c r="C20" s="408"/>
      <c r="D20" s="408"/>
      <c r="E20" s="408"/>
      <c r="F20" s="431" t="s">
        <v>113</v>
      </c>
      <c r="G20" s="408"/>
      <c r="H20" s="408"/>
      <c r="I20" s="441"/>
      <c r="J20" s="716"/>
    </row>
    <row r="21" spans="1:10" ht="12.75" customHeight="1">
      <c r="A21" s="425" t="s">
        <v>22</v>
      </c>
      <c r="B21" s="455" t="s">
        <v>162</v>
      </c>
      <c r="C21" s="408">
        <v>58332000</v>
      </c>
      <c r="D21" s="408">
        <v>40000000</v>
      </c>
      <c r="E21" s="408">
        <v>40000000</v>
      </c>
      <c r="F21" s="431" t="s">
        <v>114</v>
      </c>
      <c r="G21" s="408"/>
      <c r="H21" s="408"/>
      <c r="I21" s="441"/>
      <c r="J21" s="716"/>
    </row>
    <row r="22" spans="1:10" ht="12.75" customHeight="1">
      <c r="A22" s="423" t="s">
        <v>23</v>
      </c>
      <c r="B22" s="455" t="s">
        <v>163</v>
      </c>
      <c r="C22" s="408"/>
      <c r="D22" s="408"/>
      <c r="E22" s="408"/>
      <c r="F22" s="430" t="s">
        <v>159</v>
      </c>
      <c r="G22" s="408"/>
      <c r="H22" s="408"/>
      <c r="I22" s="441"/>
      <c r="J22" s="716"/>
    </row>
    <row r="23" spans="1:10" ht="12.75" customHeight="1">
      <c r="A23" s="425" t="s">
        <v>24</v>
      </c>
      <c r="B23" s="456" t="s">
        <v>164</v>
      </c>
      <c r="C23" s="408"/>
      <c r="D23" s="408"/>
      <c r="E23" s="408"/>
      <c r="F23" s="431" t="s">
        <v>143</v>
      </c>
      <c r="G23" s="408"/>
      <c r="H23" s="408">
        <v>131990000</v>
      </c>
      <c r="I23" s="441">
        <v>131990000</v>
      </c>
      <c r="J23" s="716"/>
    </row>
    <row r="24" spans="1:10" ht="12.75" customHeight="1">
      <c r="A24" s="423" t="s">
        <v>25</v>
      </c>
      <c r="B24" s="457" t="s">
        <v>165</v>
      </c>
      <c r="C24" s="433">
        <f>+C25+C26+C27+C28+C29</f>
        <v>0</v>
      </c>
      <c r="D24" s="433">
        <f>+D25+D26+D27+D28+D29</f>
        <v>0</v>
      </c>
      <c r="E24" s="433">
        <f>+E25+E26+E27+E28+E29</f>
        <v>0</v>
      </c>
      <c r="F24" s="458" t="s">
        <v>141</v>
      </c>
      <c r="G24" s="408"/>
      <c r="H24" s="408"/>
      <c r="I24" s="441"/>
      <c r="J24" s="716"/>
    </row>
    <row r="25" spans="1:10" ht="12.75" customHeight="1">
      <c r="A25" s="425" t="s">
        <v>26</v>
      </c>
      <c r="B25" s="456" t="s">
        <v>166</v>
      </c>
      <c r="C25" s="408"/>
      <c r="D25" s="408"/>
      <c r="E25" s="408"/>
      <c r="F25" s="458" t="s">
        <v>499</v>
      </c>
      <c r="G25" s="408"/>
      <c r="H25" s="408"/>
      <c r="I25" s="441"/>
      <c r="J25" s="716"/>
    </row>
    <row r="26" spans="1:10" ht="12.75" customHeight="1">
      <c r="A26" s="423" t="s">
        <v>27</v>
      </c>
      <c r="B26" s="456" t="s">
        <v>167</v>
      </c>
      <c r="C26" s="408"/>
      <c r="D26" s="408"/>
      <c r="E26" s="408"/>
      <c r="F26" s="453"/>
      <c r="G26" s="408"/>
      <c r="H26" s="408"/>
      <c r="I26" s="441"/>
      <c r="J26" s="716"/>
    </row>
    <row r="27" spans="1:10" ht="12.75" customHeight="1">
      <c r="A27" s="425" t="s">
        <v>28</v>
      </c>
      <c r="B27" s="455" t="s">
        <v>168</v>
      </c>
      <c r="C27" s="408"/>
      <c r="D27" s="408"/>
      <c r="E27" s="408"/>
      <c r="F27" s="442"/>
      <c r="G27" s="408"/>
      <c r="H27" s="408"/>
      <c r="I27" s="441"/>
      <c r="J27" s="716"/>
    </row>
    <row r="28" spans="1:10" ht="12.75" customHeight="1">
      <c r="A28" s="423" t="s">
        <v>29</v>
      </c>
      <c r="B28" s="459" t="s">
        <v>169</v>
      </c>
      <c r="C28" s="408"/>
      <c r="D28" s="408"/>
      <c r="E28" s="408"/>
      <c r="F28" s="7"/>
      <c r="G28" s="408"/>
      <c r="H28" s="408"/>
      <c r="I28" s="441"/>
      <c r="J28" s="716"/>
    </row>
    <row r="29" spans="1:10" ht="12.75" customHeight="1" thickBot="1">
      <c r="A29" s="425" t="s">
        <v>30</v>
      </c>
      <c r="B29" s="460" t="s">
        <v>170</v>
      </c>
      <c r="C29" s="408"/>
      <c r="D29" s="408"/>
      <c r="E29" s="408"/>
      <c r="F29" s="442"/>
      <c r="G29" s="408"/>
      <c r="H29" s="408"/>
      <c r="I29" s="441"/>
      <c r="J29" s="716"/>
    </row>
    <row r="30" spans="1:10" ht="24.75" customHeight="1" thickBot="1">
      <c r="A30" s="428" t="s">
        <v>31</v>
      </c>
      <c r="B30" s="409" t="s">
        <v>490</v>
      </c>
      <c r="C30" s="414">
        <f>+C18+C24</f>
        <v>58332000</v>
      </c>
      <c r="D30" s="414">
        <f>+D18+D24</f>
        <v>40000000</v>
      </c>
      <c r="E30" s="414">
        <f>+E18+E24</f>
        <v>40000000</v>
      </c>
      <c r="F30" s="409" t="s">
        <v>501</v>
      </c>
      <c r="G30" s="414">
        <f>SUM(G18:G29)</f>
        <v>0</v>
      </c>
      <c r="H30" s="414">
        <f>SUM(H18:H29)</f>
        <v>131990000</v>
      </c>
      <c r="I30" s="445">
        <f>SUM(I18:I29)</f>
        <v>131990000</v>
      </c>
      <c r="J30" s="716"/>
    </row>
    <row r="31" spans="1:10" ht="16.5" customHeight="1" thickBot="1">
      <c r="A31" s="428" t="s">
        <v>32</v>
      </c>
      <c r="B31" s="434" t="s">
        <v>491</v>
      </c>
      <c r="C31" s="645">
        <f>+C17+C30</f>
        <v>58332000</v>
      </c>
      <c r="D31" s="645">
        <f>+D17+D30</f>
        <v>152049999</v>
      </c>
      <c r="E31" s="646">
        <f>+E17+E30</f>
        <v>152049999</v>
      </c>
      <c r="F31" s="434" t="s">
        <v>500</v>
      </c>
      <c r="G31" s="645">
        <f>+G17+G30</f>
        <v>48332000</v>
      </c>
      <c r="H31" s="645">
        <f>+H17+H30</f>
        <v>208730108</v>
      </c>
      <c r="I31" s="647">
        <f>+I17+I30</f>
        <v>196048466</v>
      </c>
      <c r="J31" s="716"/>
    </row>
    <row r="32" spans="1:10" ht="16.5" customHeight="1" thickBot="1">
      <c r="A32" s="428" t="s">
        <v>33</v>
      </c>
      <c r="B32" s="434" t="s">
        <v>117</v>
      </c>
      <c r="C32" s="645">
        <f>IF(C17-G17&lt;0,G17-C17,"-")</f>
        <v>48332000</v>
      </c>
      <c r="D32" s="645" t="str">
        <f>IF(D17-H17&lt;0,H17-D17,"-")</f>
        <v>-</v>
      </c>
      <c r="E32" s="646" t="str">
        <f>IF(E17-I17&lt;0,I17-E17,"-")</f>
        <v>-</v>
      </c>
      <c r="F32" s="434" t="s">
        <v>118</v>
      </c>
      <c r="G32" s="645" t="str">
        <f>IF(C17-G17&gt;0,C17-G17,"-")</f>
        <v>-</v>
      </c>
      <c r="H32" s="645">
        <f>IF(D17-H17&gt;0,D17-H17,"-")</f>
        <v>35309891</v>
      </c>
      <c r="I32" s="647">
        <f>IF(E17-I17&gt;0,E17-I17,"-")</f>
        <v>47991533</v>
      </c>
      <c r="J32" s="716"/>
    </row>
    <row r="33" spans="1:10" ht="16.5" customHeight="1" thickBot="1">
      <c r="A33" s="428" t="s">
        <v>34</v>
      </c>
      <c r="B33" s="434" t="s">
        <v>740</v>
      </c>
      <c r="C33" s="645" t="str">
        <f>IF(C31-G31&lt;0,G31-C31,"-")</f>
        <v>-</v>
      </c>
      <c r="D33" s="645">
        <f>IF(D31-H31&lt;0,H31-D31,"-")</f>
        <v>56680109</v>
      </c>
      <c r="E33" s="645">
        <f>IF(E31-I31&lt;0,I31-E31,"-")</f>
        <v>43998467</v>
      </c>
      <c r="F33" s="434" t="s">
        <v>741</v>
      </c>
      <c r="G33" s="645">
        <f>IF(C31-G31&gt;0,C31-G31,"-")</f>
        <v>10000000</v>
      </c>
      <c r="H33" s="645" t="str">
        <f>IF(D31-H31&gt;0,D31-H31,"-")</f>
        <v>-</v>
      </c>
      <c r="I33" s="645" t="str">
        <f>IF(E31-I31&gt;0,E31-I31,"-")</f>
        <v>-</v>
      </c>
      <c r="J33" s="716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E18" sqref="E18"/>
    </sheetView>
  </sheetViews>
  <sheetFormatPr defaultColWidth="9.00390625" defaultRowHeight="12.75"/>
  <cols>
    <col min="1" max="1" width="46.375" style="282" customWidth="1"/>
    <col min="2" max="2" width="13.875" style="282" customWidth="1"/>
    <col min="3" max="3" width="66.125" style="282" customWidth="1"/>
    <col min="4" max="5" width="13.875" style="282" customWidth="1"/>
    <col min="6" max="16384" width="9.375" style="282" customWidth="1"/>
  </cols>
  <sheetData>
    <row r="1" spans="1:5" ht="18.75">
      <c r="A1" s="469" t="s">
        <v>108</v>
      </c>
      <c r="E1" s="475" t="s">
        <v>112</v>
      </c>
    </row>
    <row r="3" spans="1:5" ht="12.75">
      <c r="A3" s="470"/>
      <c r="B3" s="476"/>
      <c r="C3" s="470"/>
      <c r="D3" s="477"/>
      <c r="E3" s="476"/>
    </row>
    <row r="4" spans="1:5" ht="15.75">
      <c r="A4" s="444" t="str">
        <f>+ÖSSZEFÜGGÉSEK!A4</f>
        <v>2016. évi eredeti előirányzat BEVÉTELEK</v>
      </c>
      <c r="B4" s="478"/>
      <c r="C4" s="471"/>
      <c r="D4" s="477"/>
      <c r="E4" s="476"/>
    </row>
    <row r="5" spans="1:5" ht="12.75">
      <c r="A5" s="470"/>
      <c r="B5" s="476"/>
      <c r="C5" s="470"/>
      <c r="D5" s="477"/>
      <c r="E5" s="476"/>
    </row>
    <row r="6" spans="1:5" ht="12.75">
      <c r="A6" s="470" t="s">
        <v>505</v>
      </c>
      <c r="B6" s="476">
        <f>+'1.1.sz.mell.'!C61</f>
        <v>333245969</v>
      </c>
      <c r="C6" s="470" t="s">
        <v>506</v>
      </c>
      <c r="D6" s="477">
        <f>+'2.1.sz.mell  '!C18+'2.2.sz.mell  '!C17</f>
        <v>333245969</v>
      </c>
      <c r="E6" s="476">
        <f>+B6-D6</f>
        <v>0</v>
      </c>
    </row>
    <row r="7" spans="1:5" ht="12.75">
      <c r="A7" s="470" t="s">
        <v>507</v>
      </c>
      <c r="B7" s="476">
        <f>+'1.1.sz.mell.'!C84</f>
        <v>67841000</v>
      </c>
      <c r="C7" s="470" t="s">
        <v>508</v>
      </c>
      <c r="D7" s="477">
        <f>+'2.1.sz.mell  '!C27+'2.2.sz.mell  '!C30</f>
        <v>67841000</v>
      </c>
      <c r="E7" s="476">
        <f>+B7-D7</f>
        <v>0</v>
      </c>
    </row>
    <row r="8" spans="1:5" ht="12.75">
      <c r="A8" s="470" t="s">
        <v>509</v>
      </c>
      <c r="B8" s="476">
        <f>+'1.1.sz.mell.'!C85</f>
        <v>401086969</v>
      </c>
      <c r="C8" s="470" t="s">
        <v>510</v>
      </c>
      <c r="D8" s="477">
        <f>+'2.1.sz.mell  '!C28+'2.2.sz.mell  '!C31</f>
        <v>401086969</v>
      </c>
      <c r="E8" s="476">
        <f>+B8-D8</f>
        <v>0</v>
      </c>
    </row>
    <row r="9" spans="1:5" ht="12.75">
      <c r="A9" s="470"/>
      <c r="B9" s="476"/>
      <c r="C9" s="470"/>
      <c r="D9" s="477"/>
      <c r="E9" s="476"/>
    </row>
    <row r="10" spans="1:5" ht="15.75">
      <c r="A10" s="444" t="str">
        <f>+ÖSSZEFÜGGÉSEK!A10</f>
        <v>2016. évi módosított előirányzat BEVÉTELEK</v>
      </c>
      <c r="B10" s="478"/>
      <c r="C10" s="471"/>
      <c r="D10" s="477"/>
      <c r="E10" s="476"/>
    </row>
    <row r="11" spans="1:5" ht="12.75">
      <c r="A11" s="470"/>
      <c r="B11" s="476"/>
      <c r="C11" s="470"/>
      <c r="D11" s="477"/>
      <c r="E11" s="476"/>
    </row>
    <row r="12" spans="1:5" ht="12.75">
      <c r="A12" s="470" t="s">
        <v>511</v>
      </c>
      <c r="B12" s="476">
        <f>+'1.1.sz.mell.'!D61</f>
        <v>594288682</v>
      </c>
      <c r="C12" s="470" t="s">
        <v>517</v>
      </c>
      <c r="D12" s="477">
        <f>+'2.1.sz.mell  '!D18+'2.2.sz.mell  '!D17</f>
        <v>594288682</v>
      </c>
      <c r="E12" s="476">
        <f>+B12-D12</f>
        <v>0</v>
      </c>
    </row>
    <row r="13" spans="1:5" ht="12.75">
      <c r="A13" s="470" t="s">
        <v>512</v>
      </c>
      <c r="B13" s="476">
        <f>+'1.1.sz.mell.'!D84</f>
        <v>77976562</v>
      </c>
      <c r="C13" s="470" t="s">
        <v>518</v>
      </c>
      <c r="D13" s="477">
        <f>+'2.1.sz.mell  '!D27+'2.2.sz.mell  '!D30</f>
        <v>77976562</v>
      </c>
      <c r="E13" s="476">
        <f>+B13-D13</f>
        <v>0</v>
      </c>
    </row>
    <row r="14" spans="1:5" ht="12.75">
      <c r="A14" s="470" t="s">
        <v>513</v>
      </c>
      <c r="B14" s="476">
        <f>+'1.1.sz.mell.'!D85</f>
        <v>672265244</v>
      </c>
      <c r="C14" s="470" t="s">
        <v>519</v>
      </c>
      <c r="D14" s="477">
        <f>+'2.1.sz.mell  '!D28+'2.2.sz.mell  '!D31</f>
        <v>672265244</v>
      </c>
      <c r="E14" s="476">
        <f>+B14-D14</f>
        <v>0</v>
      </c>
    </row>
    <row r="15" spans="1:5" ht="12.75">
      <c r="A15" s="470"/>
      <c r="B15" s="476"/>
      <c r="C15" s="470"/>
      <c r="D15" s="477"/>
      <c r="E15" s="476"/>
    </row>
    <row r="16" spans="1:5" ht="14.25">
      <c r="A16" s="479" t="str">
        <f>+ÖSSZEFÜGGÉSEK!A16</f>
        <v>2016. évi teljesítés BEVÉTELEK</v>
      </c>
      <c r="B16" s="443"/>
      <c r="C16" s="471"/>
      <c r="D16" s="477"/>
      <c r="E16" s="476"/>
    </row>
    <row r="17" spans="1:5" ht="12.75">
      <c r="A17" s="470"/>
      <c r="B17" s="476"/>
      <c r="C17" s="470"/>
      <c r="D17" s="477"/>
      <c r="E17" s="476"/>
    </row>
    <row r="18" spans="1:5" ht="12.75">
      <c r="A18" s="470" t="s">
        <v>514</v>
      </c>
      <c r="B18" s="476">
        <f>+'1.1.sz.mell.'!E61</f>
        <v>536940225</v>
      </c>
      <c r="C18" s="470" t="s">
        <v>520</v>
      </c>
      <c r="D18" s="477">
        <f>+'2.1.sz.mell  '!E18+'2.2.sz.mell  '!E17</f>
        <v>536940225</v>
      </c>
      <c r="E18" s="476">
        <f>+B18-D18</f>
        <v>0</v>
      </c>
    </row>
    <row r="19" spans="1:5" ht="12.75">
      <c r="A19" s="470" t="s">
        <v>515</v>
      </c>
      <c r="B19" s="476">
        <f>+'1.1.sz.mell.'!E84</f>
        <v>77976562</v>
      </c>
      <c r="C19" s="470" t="s">
        <v>521</v>
      </c>
      <c r="D19" s="477">
        <f>+'2.1.sz.mell  '!E27+'2.2.sz.mell  '!E30</f>
        <v>77976562</v>
      </c>
      <c r="E19" s="476">
        <f>+B19-D19</f>
        <v>0</v>
      </c>
    </row>
    <row r="20" spans="1:5" ht="12.75">
      <c r="A20" s="470" t="s">
        <v>516</v>
      </c>
      <c r="B20" s="476">
        <f>+'1.1.sz.mell.'!E85</f>
        <v>614916787</v>
      </c>
      <c r="C20" s="470" t="s">
        <v>522</v>
      </c>
      <c r="D20" s="477">
        <f>+'2.1.sz.mell  '!E28+'2.2.sz.mell  '!E31</f>
        <v>614916787</v>
      </c>
      <c r="E20" s="476">
        <f>+B20-D20</f>
        <v>0</v>
      </c>
    </row>
    <row r="21" spans="1:5" ht="12.75">
      <c r="A21" s="470"/>
      <c r="B21" s="476"/>
      <c r="C21" s="470"/>
      <c r="D21" s="477"/>
      <c r="E21" s="476"/>
    </row>
    <row r="22" spans="1:5" ht="15.75">
      <c r="A22" s="444" t="str">
        <f>+ÖSSZEFÜGGÉSEK!A22</f>
        <v>2016. évi eredeti előirányzat KIADÁSOK</v>
      </c>
      <c r="B22" s="478"/>
      <c r="C22" s="471"/>
      <c r="D22" s="477"/>
      <c r="E22" s="476"/>
    </row>
    <row r="23" spans="1:5" ht="12.75">
      <c r="A23" s="470"/>
      <c r="B23" s="476"/>
      <c r="C23" s="470"/>
      <c r="D23" s="477"/>
      <c r="E23" s="476"/>
    </row>
    <row r="24" spans="1:5" ht="12.75">
      <c r="A24" s="470" t="s">
        <v>523</v>
      </c>
      <c r="B24" s="476">
        <f>+'1.1.sz.mell.'!C125</f>
        <v>401086969</v>
      </c>
      <c r="C24" s="470" t="s">
        <v>529</v>
      </c>
      <c r="D24" s="477">
        <f>+'2.1.sz.mell  '!G18+'2.2.sz.mell  '!G17</f>
        <v>401086969</v>
      </c>
      <c r="E24" s="476">
        <f>+B24-D24</f>
        <v>0</v>
      </c>
    </row>
    <row r="25" spans="1:5" ht="12.75">
      <c r="A25" s="470" t="s">
        <v>502</v>
      </c>
      <c r="B25" s="476">
        <f>+'1.1.sz.mell.'!C145</f>
        <v>0</v>
      </c>
      <c r="C25" s="470" t="s">
        <v>530</v>
      </c>
      <c r="D25" s="477">
        <f>+'2.1.sz.mell  '!G27+'2.2.sz.mell  '!G30</f>
        <v>0</v>
      </c>
      <c r="E25" s="476">
        <f>+B25-D25</f>
        <v>0</v>
      </c>
    </row>
    <row r="26" spans="1:5" ht="12.75">
      <c r="A26" s="470" t="s">
        <v>524</v>
      </c>
      <c r="B26" s="476">
        <f>+'1.1.sz.mell.'!C146</f>
        <v>401086969</v>
      </c>
      <c r="C26" s="470" t="s">
        <v>531</v>
      </c>
      <c r="D26" s="477">
        <f>+'2.1.sz.mell  '!G28+'2.2.sz.mell  '!G31</f>
        <v>401086969</v>
      </c>
      <c r="E26" s="476">
        <f>+B26-D26</f>
        <v>0</v>
      </c>
    </row>
    <row r="27" spans="1:5" ht="12.75">
      <c r="A27" s="470"/>
      <c r="B27" s="476"/>
      <c r="C27" s="470"/>
      <c r="D27" s="477"/>
      <c r="E27" s="476"/>
    </row>
    <row r="28" spans="1:5" ht="15.75">
      <c r="A28" s="444" t="str">
        <f>+ÖSSZEFÜGGÉSEK!A28</f>
        <v>2016. évi módosított előirányzat KIADÁSOK</v>
      </c>
      <c r="B28" s="478"/>
      <c r="C28" s="471"/>
      <c r="D28" s="477"/>
      <c r="E28" s="476"/>
    </row>
    <row r="29" spans="1:5" ht="12.75">
      <c r="A29" s="470"/>
      <c r="B29" s="476"/>
      <c r="C29" s="470"/>
      <c r="D29" s="477"/>
      <c r="E29" s="476"/>
    </row>
    <row r="30" spans="1:5" ht="12.75">
      <c r="A30" s="470" t="s">
        <v>525</v>
      </c>
      <c r="B30" s="476">
        <f>+'1.1.sz.mell.'!D125</f>
        <v>532967769</v>
      </c>
      <c r="C30" s="470" t="s">
        <v>536</v>
      </c>
      <c r="D30" s="477">
        <f>+'2.1.sz.mell  '!H18+'2.2.sz.mell  '!H17</f>
        <v>532967769</v>
      </c>
      <c r="E30" s="476">
        <f>+B30-D30</f>
        <v>0</v>
      </c>
    </row>
    <row r="31" spans="1:5" ht="12.75">
      <c r="A31" s="470" t="s">
        <v>503</v>
      </c>
      <c r="B31" s="476">
        <f>+'1.1.sz.mell.'!D145</f>
        <v>139297475</v>
      </c>
      <c r="C31" s="470" t="s">
        <v>533</v>
      </c>
      <c r="D31" s="477">
        <f>+'2.1.sz.mell  '!H27+'2.2.sz.mell  '!H30</f>
        <v>139297475</v>
      </c>
      <c r="E31" s="476">
        <f>+B31-D31</f>
        <v>0</v>
      </c>
    </row>
    <row r="32" spans="1:5" ht="12.75">
      <c r="A32" s="470" t="s">
        <v>526</v>
      </c>
      <c r="B32" s="476">
        <f>+'1.1.sz.mell.'!D146</f>
        <v>672265244</v>
      </c>
      <c r="C32" s="470" t="s">
        <v>532</v>
      </c>
      <c r="D32" s="477">
        <f>+'2.1.sz.mell  '!H28+'2.2.sz.mell  '!H31</f>
        <v>672265244</v>
      </c>
      <c r="E32" s="476">
        <f>+B32-D32</f>
        <v>0</v>
      </c>
    </row>
    <row r="33" spans="1:5" ht="12.75">
      <c r="A33" s="470"/>
      <c r="B33" s="476"/>
      <c r="C33" s="470"/>
      <c r="D33" s="477"/>
      <c r="E33" s="476"/>
    </row>
    <row r="34" spans="1:5" ht="15.75">
      <c r="A34" s="474" t="str">
        <f>+ÖSSZEFÜGGÉSEK!A34</f>
        <v>2016. évi teljesítés KIADÁSOK</v>
      </c>
      <c r="B34" s="478"/>
      <c r="C34" s="471"/>
      <c r="D34" s="477"/>
      <c r="E34" s="476"/>
    </row>
    <row r="35" spans="1:5" ht="12.75">
      <c r="A35" s="470"/>
      <c r="B35" s="476"/>
      <c r="C35" s="470"/>
      <c r="D35" s="477"/>
      <c r="E35" s="476"/>
    </row>
    <row r="36" spans="1:5" ht="12.75">
      <c r="A36" s="470" t="s">
        <v>527</v>
      </c>
      <c r="B36" s="476">
        <f>+'1.1.sz.mell.'!E125</f>
        <v>438586017</v>
      </c>
      <c r="C36" s="470" t="s">
        <v>537</v>
      </c>
      <c r="D36" s="477">
        <f>+'2.1.sz.mell  '!I18+'2.2.sz.mell  '!I17</f>
        <v>438586017</v>
      </c>
      <c r="E36" s="476">
        <f>+B36-D36</f>
        <v>0</v>
      </c>
    </row>
    <row r="37" spans="1:5" ht="12.75">
      <c r="A37" s="470" t="s">
        <v>504</v>
      </c>
      <c r="B37" s="476">
        <f>+'1.1.sz.mell.'!E145</f>
        <v>139297475</v>
      </c>
      <c r="C37" s="470" t="s">
        <v>535</v>
      </c>
      <c r="D37" s="477">
        <f>+'2.1.sz.mell  '!I27+'2.2.sz.mell  '!I30</f>
        <v>139297475</v>
      </c>
      <c r="E37" s="476">
        <f>+B37-D37</f>
        <v>0</v>
      </c>
    </row>
    <row r="38" spans="1:5" ht="12.75">
      <c r="A38" s="470" t="s">
        <v>528</v>
      </c>
      <c r="B38" s="476">
        <f>+'1.1.sz.mell.'!E146</f>
        <v>577883492</v>
      </c>
      <c r="C38" s="470" t="s">
        <v>534</v>
      </c>
      <c r="D38" s="477">
        <f>+'2.1.sz.mell  '!I28+'2.2.sz.mell  '!I31</f>
        <v>577883492</v>
      </c>
      <c r="E38" s="476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5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17" t="s">
        <v>1</v>
      </c>
      <c r="B1" s="717"/>
      <c r="C1" s="717"/>
      <c r="D1" s="717"/>
      <c r="E1" s="717"/>
      <c r="F1" s="717"/>
      <c r="G1" s="717"/>
      <c r="H1" s="718"/>
    </row>
    <row r="2" spans="1:8" ht="22.5" customHeight="1" thickBot="1">
      <c r="A2" s="27"/>
      <c r="B2" s="10"/>
      <c r="C2" s="10"/>
      <c r="D2" s="10"/>
      <c r="E2" s="10"/>
      <c r="F2" s="643"/>
      <c r="G2" s="641" t="str">
        <f>'2.2.sz.mell  '!I2</f>
        <v>Forintban!</v>
      </c>
      <c r="H2" s="718"/>
    </row>
    <row r="3" spans="1:8" s="6" customFormat="1" ht="50.25" customHeight="1" thickBot="1">
      <c r="A3" s="28" t="s">
        <v>53</v>
      </c>
      <c r="B3" s="29" t="s">
        <v>54</v>
      </c>
      <c r="C3" s="29" t="s">
        <v>55</v>
      </c>
      <c r="D3" s="29" t="str">
        <f>+CONCATENATE("Felhasználás ",LEFT(ÖSSZEFÜGGÉSEK!A4,4)-1,". XII.31-ig")</f>
        <v>Felhasználás 2015. XII.31-ig</v>
      </c>
      <c r="E3" s="29" t="str">
        <f>+CONCATENATE(LEFT(ÖSSZEFÜGGÉSEK!A4,4),". évi módosított előirányzat")</f>
        <v>2016. évi módosított előirányzat</v>
      </c>
      <c r="F3" s="83" t="str">
        <f>+CONCATENATE(LEFT(ÖSSZEFÜGGÉSEK!A4,4),". évi teljesítés")</f>
        <v>2016. évi teljesítés</v>
      </c>
      <c r="G3" s="82" t="str">
        <f>+CONCATENATE("Összes teljesítés ",LEFT(ÖSSZEFÜGGÉSEK!A4,4),". dec. 31-ig")</f>
        <v>Összes teljesítés 2016. dec. 31-ig</v>
      </c>
      <c r="H3" s="718"/>
    </row>
    <row r="4" spans="1:8" s="10" customFormat="1" ht="12" customHeight="1" thickBot="1">
      <c r="A4" s="437" t="s">
        <v>411</v>
      </c>
      <c r="B4" s="438" t="s">
        <v>412</v>
      </c>
      <c r="C4" s="438" t="s">
        <v>413</v>
      </c>
      <c r="D4" s="438" t="s">
        <v>414</v>
      </c>
      <c r="E4" s="438" t="s">
        <v>415</v>
      </c>
      <c r="F4" s="50" t="s">
        <v>492</v>
      </c>
      <c r="G4" s="439" t="s">
        <v>538</v>
      </c>
      <c r="H4" s="718"/>
    </row>
    <row r="5" spans="1:8" ht="19.5" customHeight="1">
      <c r="A5" s="692" t="s">
        <v>755</v>
      </c>
      <c r="B5" s="2">
        <v>500000</v>
      </c>
      <c r="C5" s="693" t="s">
        <v>756</v>
      </c>
      <c r="D5" s="2">
        <v>250000</v>
      </c>
      <c r="E5" s="2">
        <v>250000</v>
      </c>
      <c r="F5" s="2">
        <v>250000</v>
      </c>
      <c r="G5" s="694">
        <f>D5+F5</f>
        <v>500000</v>
      </c>
      <c r="H5" s="718"/>
    </row>
    <row r="6" spans="1:8" ht="24" customHeight="1">
      <c r="A6" s="692" t="s">
        <v>757</v>
      </c>
      <c r="B6" s="2">
        <v>30500000</v>
      </c>
      <c r="C6" s="693" t="s">
        <v>758</v>
      </c>
      <c r="D6" s="2"/>
      <c r="E6" s="2">
        <v>41009345</v>
      </c>
      <c r="F6" s="2">
        <v>30500000</v>
      </c>
      <c r="G6" s="694">
        <f aca="true" t="shared" si="0" ref="G6:G30">D6+F6</f>
        <v>30500000</v>
      </c>
      <c r="H6" s="718"/>
    </row>
    <row r="7" spans="1:8" ht="15.75" customHeight="1">
      <c r="A7" s="692" t="s">
        <v>759</v>
      </c>
      <c r="B7" s="2">
        <v>1400000</v>
      </c>
      <c r="C7" s="693" t="s">
        <v>751</v>
      </c>
      <c r="D7" s="2"/>
      <c r="E7" s="2">
        <v>1400000</v>
      </c>
      <c r="F7" s="2">
        <v>1400000</v>
      </c>
      <c r="G7" s="694">
        <f t="shared" si="0"/>
        <v>1400000</v>
      </c>
      <c r="H7" s="718"/>
    </row>
    <row r="8" spans="1:8" ht="15.75" customHeight="1">
      <c r="A8" s="848" t="s">
        <v>760</v>
      </c>
      <c r="B8" s="2">
        <v>700000</v>
      </c>
      <c r="C8" s="693" t="s">
        <v>751</v>
      </c>
      <c r="D8" s="2"/>
      <c r="E8" s="2">
        <v>700000</v>
      </c>
      <c r="F8" s="2">
        <v>700000</v>
      </c>
      <c r="G8" s="694">
        <f t="shared" si="0"/>
        <v>700000</v>
      </c>
      <c r="H8" s="718"/>
    </row>
    <row r="9" spans="1:8" ht="15.75" customHeight="1">
      <c r="A9" s="848" t="s">
        <v>761</v>
      </c>
      <c r="B9" s="2">
        <v>770000</v>
      </c>
      <c r="C9" s="693" t="s">
        <v>751</v>
      </c>
      <c r="D9" s="2"/>
      <c r="E9" s="2">
        <v>770000</v>
      </c>
      <c r="F9" s="2">
        <v>770000</v>
      </c>
      <c r="G9" s="694">
        <f t="shared" si="0"/>
        <v>770000</v>
      </c>
      <c r="H9" s="718"/>
    </row>
    <row r="10" spans="1:8" ht="15.75" customHeight="1">
      <c r="A10" s="848" t="s">
        <v>762</v>
      </c>
      <c r="B10" s="2">
        <v>700000</v>
      </c>
      <c r="C10" s="693" t="s">
        <v>751</v>
      </c>
      <c r="D10" s="2"/>
      <c r="E10" s="2">
        <v>700000</v>
      </c>
      <c r="F10" s="2">
        <v>700000</v>
      </c>
      <c r="G10" s="694">
        <f t="shared" si="0"/>
        <v>700000</v>
      </c>
      <c r="H10" s="718"/>
    </row>
    <row r="11" spans="1:8" ht="21" customHeight="1">
      <c r="A11" s="692" t="s">
        <v>763</v>
      </c>
      <c r="B11" s="2">
        <v>1651000</v>
      </c>
      <c r="C11" s="693" t="s">
        <v>751</v>
      </c>
      <c r="D11" s="2"/>
      <c r="E11" s="2">
        <v>1651000</v>
      </c>
      <c r="F11" s="2">
        <v>1651000</v>
      </c>
      <c r="G11" s="694">
        <f t="shared" si="0"/>
        <v>1651000</v>
      </c>
      <c r="H11" s="718"/>
    </row>
    <row r="12" spans="1:8" ht="15.75" customHeight="1">
      <c r="A12" s="692" t="s">
        <v>764</v>
      </c>
      <c r="B12" s="2">
        <v>279000</v>
      </c>
      <c r="C12" s="693" t="s">
        <v>751</v>
      </c>
      <c r="D12" s="2"/>
      <c r="E12" s="2">
        <v>279000</v>
      </c>
      <c r="F12" s="2">
        <v>279000</v>
      </c>
      <c r="G12" s="694">
        <f t="shared" si="0"/>
        <v>279000</v>
      </c>
      <c r="H12" s="718"/>
    </row>
    <row r="13" spans="1:8" ht="15.75" customHeight="1">
      <c r="A13" s="692" t="s">
        <v>765</v>
      </c>
      <c r="B13" s="2">
        <v>52000</v>
      </c>
      <c r="C13" s="693" t="s">
        <v>751</v>
      </c>
      <c r="D13" s="2"/>
      <c r="E13" s="2">
        <v>52000</v>
      </c>
      <c r="F13" s="2">
        <v>52000</v>
      </c>
      <c r="G13" s="694">
        <f t="shared" si="0"/>
        <v>52000</v>
      </c>
      <c r="H13" s="718"/>
    </row>
    <row r="14" spans="1:8" ht="15.75" customHeight="1">
      <c r="A14" s="692" t="s">
        <v>766</v>
      </c>
      <c r="B14" s="2">
        <v>182000</v>
      </c>
      <c r="C14" s="693" t="s">
        <v>751</v>
      </c>
      <c r="D14" s="2"/>
      <c r="E14" s="2">
        <v>182000</v>
      </c>
      <c r="F14" s="2">
        <v>182000</v>
      </c>
      <c r="G14" s="694">
        <f t="shared" si="0"/>
        <v>182000</v>
      </c>
      <c r="H14" s="718"/>
    </row>
    <row r="15" spans="1:8" ht="15.75" customHeight="1">
      <c r="A15" s="692" t="s">
        <v>767</v>
      </c>
      <c r="B15" s="2">
        <v>80000</v>
      </c>
      <c r="C15" s="693" t="s">
        <v>751</v>
      </c>
      <c r="D15" s="2"/>
      <c r="E15" s="2">
        <v>80000</v>
      </c>
      <c r="F15" s="2">
        <v>80000</v>
      </c>
      <c r="G15" s="694">
        <f t="shared" si="0"/>
        <v>80000</v>
      </c>
      <c r="H15" s="718"/>
    </row>
    <row r="16" spans="1:8" ht="15.75" customHeight="1">
      <c r="A16" s="692" t="s">
        <v>768</v>
      </c>
      <c r="B16" s="2">
        <v>507000</v>
      </c>
      <c r="C16" s="693" t="s">
        <v>751</v>
      </c>
      <c r="D16" s="2"/>
      <c r="E16" s="2">
        <v>507000</v>
      </c>
      <c r="F16" s="2">
        <v>507000</v>
      </c>
      <c r="G16" s="694">
        <f t="shared" si="0"/>
        <v>507000</v>
      </c>
      <c r="H16" s="718"/>
    </row>
    <row r="17" spans="1:8" ht="24" customHeight="1">
      <c r="A17" s="692" t="s">
        <v>769</v>
      </c>
      <c r="B17" s="2">
        <v>8872000</v>
      </c>
      <c r="C17" s="693" t="s">
        <v>751</v>
      </c>
      <c r="D17" s="2"/>
      <c r="E17" s="2">
        <v>8872000</v>
      </c>
      <c r="F17" s="2">
        <v>8872000</v>
      </c>
      <c r="G17" s="694">
        <f t="shared" si="0"/>
        <v>8872000</v>
      </c>
      <c r="H17" s="718"/>
    </row>
    <row r="18" spans="1:8" ht="24.75" customHeight="1">
      <c r="A18" s="692" t="s">
        <v>770</v>
      </c>
      <c r="B18" s="2">
        <v>18000</v>
      </c>
      <c r="C18" s="693" t="s">
        <v>751</v>
      </c>
      <c r="D18" s="2"/>
      <c r="E18" s="2">
        <v>18000</v>
      </c>
      <c r="F18" s="2">
        <v>18000</v>
      </c>
      <c r="G18" s="694">
        <f t="shared" si="0"/>
        <v>18000</v>
      </c>
      <c r="H18" s="718"/>
    </row>
    <row r="19" spans="1:8" ht="15.75" customHeight="1">
      <c r="A19" s="692" t="s">
        <v>771</v>
      </c>
      <c r="B19" s="2">
        <v>1015000</v>
      </c>
      <c r="C19" s="693" t="s">
        <v>751</v>
      </c>
      <c r="D19" s="2"/>
      <c r="E19" s="2">
        <v>1015000</v>
      </c>
      <c r="F19" s="2">
        <v>1015000</v>
      </c>
      <c r="G19" s="694">
        <f t="shared" si="0"/>
        <v>1015000</v>
      </c>
      <c r="H19" s="718"/>
    </row>
    <row r="20" spans="1:8" ht="26.25" customHeight="1">
      <c r="A20" s="692" t="s">
        <v>772</v>
      </c>
      <c r="B20" s="2">
        <v>45000</v>
      </c>
      <c r="C20" s="693" t="s">
        <v>751</v>
      </c>
      <c r="D20" s="2"/>
      <c r="E20" s="2">
        <v>45000</v>
      </c>
      <c r="F20" s="2">
        <v>45000</v>
      </c>
      <c r="G20" s="694">
        <f t="shared" si="0"/>
        <v>45000</v>
      </c>
      <c r="H20" s="718"/>
    </row>
    <row r="21" spans="1:8" ht="15.75" customHeight="1">
      <c r="A21" s="692" t="s">
        <v>773</v>
      </c>
      <c r="B21" s="2">
        <v>2540000</v>
      </c>
      <c r="C21" s="693" t="s">
        <v>751</v>
      </c>
      <c r="D21" s="2"/>
      <c r="E21" s="2">
        <v>2540000</v>
      </c>
      <c r="F21" s="2">
        <v>2540000</v>
      </c>
      <c r="G21" s="694">
        <f t="shared" si="0"/>
        <v>2540000</v>
      </c>
      <c r="H21" s="718"/>
    </row>
    <row r="22" spans="1:8" ht="15.75" customHeight="1">
      <c r="A22" s="692" t="s">
        <v>766</v>
      </c>
      <c r="B22" s="3">
        <v>182000</v>
      </c>
      <c r="C22" s="693" t="s">
        <v>751</v>
      </c>
      <c r="D22" s="3"/>
      <c r="E22" s="3">
        <v>182000</v>
      </c>
      <c r="F22" s="3">
        <v>182000</v>
      </c>
      <c r="G22" s="694">
        <f t="shared" si="0"/>
        <v>182000</v>
      </c>
      <c r="H22" s="718"/>
    </row>
    <row r="23" spans="1:8" ht="15.75" customHeight="1">
      <c r="A23" s="7" t="s">
        <v>774</v>
      </c>
      <c r="B23" s="2">
        <v>148000</v>
      </c>
      <c r="C23" s="693" t="s">
        <v>751</v>
      </c>
      <c r="D23" s="2"/>
      <c r="E23" s="2">
        <v>148000</v>
      </c>
      <c r="F23" s="2">
        <v>148000</v>
      </c>
      <c r="G23" s="694">
        <f t="shared" si="0"/>
        <v>148000</v>
      </c>
      <c r="H23" s="718"/>
    </row>
    <row r="24" spans="1:8" ht="15.75" customHeight="1">
      <c r="A24" s="692" t="s">
        <v>775</v>
      </c>
      <c r="B24" s="2">
        <v>1800000</v>
      </c>
      <c r="C24" s="693" t="s">
        <v>751</v>
      </c>
      <c r="D24" s="2"/>
      <c r="E24" s="2">
        <v>1800000</v>
      </c>
      <c r="F24" s="2">
        <v>1800000</v>
      </c>
      <c r="G24" s="694">
        <f t="shared" si="0"/>
        <v>1800000</v>
      </c>
      <c r="H24" s="718"/>
    </row>
    <row r="25" spans="1:8" ht="15.75" customHeight="1">
      <c r="A25" s="692" t="s">
        <v>776</v>
      </c>
      <c r="B25" s="2">
        <v>715000</v>
      </c>
      <c r="C25" s="693" t="s">
        <v>751</v>
      </c>
      <c r="D25" s="2"/>
      <c r="E25" s="2">
        <v>715000</v>
      </c>
      <c r="F25" s="2">
        <v>715000</v>
      </c>
      <c r="G25" s="694">
        <f t="shared" si="0"/>
        <v>715000</v>
      </c>
      <c r="H25" s="718"/>
    </row>
    <row r="26" spans="1:8" ht="15.75" customHeight="1">
      <c r="A26" s="692" t="s">
        <v>777</v>
      </c>
      <c r="B26" s="2">
        <v>64000</v>
      </c>
      <c r="C26" s="693" t="s">
        <v>751</v>
      </c>
      <c r="D26" s="2"/>
      <c r="E26" s="2">
        <v>64000</v>
      </c>
      <c r="F26" s="2">
        <v>64000</v>
      </c>
      <c r="G26" s="694">
        <f t="shared" si="0"/>
        <v>64000</v>
      </c>
      <c r="H26" s="718"/>
    </row>
    <row r="27" spans="1:8" ht="15.75" customHeight="1">
      <c r="A27" s="692" t="s">
        <v>778</v>
      </c>
      <c r="B27" s="2">
        <v>1790000</v>
      </c>
      <c r="C27" s="693" t="s">
        <v>751</v>
      </c>
      <c r="D27" s="2"/>
      <c r="E27" s="2">
        <v>1790000</v>
      </c>
      <c r="F27" s="2">
        <v>1790000</v>
      </c>
      <c r="G27" s="694">
        <f t="shared" si="0"/>
        <v>1790000</v>
      </c>
      <c r="H27" s="718"/>
    </row>
    <row r="28" spans="1:8" ht="15.75" customHeight="1">
      <c r="A28" s="692" t="s">
        <v>779</v>
      </c>
      <c r="B28" s="2">
        <v>726000</v>
      </c>
      <c r="C28" s="693" t="s">
        <v>751</v>
      </c>
      <c r="D28" s="2"/>
      <c r="E28" s="2">
        <v>726000</v>
      </c>
      <c r="F28" s="2">
        <v>726000</v>
      </c>
      <c r="G28" s="694">
        <f t="shared" si="0"/>
        <v>726000</v>
      </c>
      <c r="H28" s="718"/>
    </row>
    <row r="29" spans="1:8" ht="15.75" customHeight="1">
      <c r="A29" s="692" t="s">
        <v>780</v>
      </c>
      <c r="B29" s="2">
        <v>220000</v>
      </c>
      <c r="C29" s="693" t="s">
        <v>751</v>
      </c>
      <c r="D29" s="2"/>
      <c r="E29" s="2">
        <v>220000</v>
      </c>
      <c r="F29" s="2">
        <v>220000</v>
      </c>
      <c r="G29" s="694">
        <f t="shared" si="0"/>
        <v>220000</v>
      </c>
      <c r="H29" s="718"/>
    </row>
    <row r="30" spans="1:8" ht="28.5" customHeight="1">
      <c r="A30" s="695" t="s">
        <v>781</v>
      </c>
      <c r="B30" s="131">
        <v>528000</v>
      </c>
      <c r="C30" s="696" t="s">
        <v>751</v>
      </c>
      <c r="D30" s="131"/>
      <c r="E30" s="131">
        <v>528000</v>
      </c>
      <c r="F30" s="131">
        <v>528000</v>
      </c>
      <c r="G30" s="694">
        <f t="shared" si="0"/>
        <v>528000</v>
      </c>
      <c r="H30" s="718"/>
    </row>
    <row r="31" spans="1:8" ht="15.75" customHeight="1">
      <c r="A31" s="692" t="s">
        <v>782</v>
      </c>
      <c r="B31" s="2">
        <v>249508</v>
      </c>
      <c r="C31" s="306">
        <v>2016</v>
      </c>
      <c r="D31" s="2"/>
      <c r="E31" s="2">
        <v>249508</v>
      </c>
      <c r="F31" s="51">
        <v>249508</v>
      </c>
      <c r="G31" s="52">
        <f aca="true" t="shared" si="1" ref="G31:G45">+D31+F31</f>
        <v>249508</v>
      </c>
      <c r="H31" s="718"/>
    </row>
    <row r="32" spans="1:8" ht="15.75" customHeight="1">
      <c r="A32" s="12"/>
      <c r="B32" s="2"/>
      <c r="C32" s="306"/>
      <c r="D32" s="2"/>
      <c r="E32" s="2"/>
      <c r="F32" s="51"/>
      <c r="G32" s="52">
        <f t="shared" si="1"/>
        <v>0</v>
      </c>
      <c r="H32" s="718"/>
    </row>
    <row r="33" spans="1:8" ht="15.75" customHeight="1">
      <c r="A33" s="7"/>
      <c r="B33" s="2"/>
      <c r="C33" s="11"/>
      <c r="D33" s="2"/>
      <c r="E33" s="2"/>
      <c r="F33" s="51"/>
      <c r="G33" s="52">
        <f t="shared" si="1"/>
        <v>0</v>
      </c>
      <c r="H33" s="718"/>
    </row>
    <row r="34" spans="1:8" ht="15.75" customHeight="1">
      <c r="A34" s="7"/>
      <c r="B34" s="2"/>
      <c r="C34" s="11"/>
      <c r="D34" s="2"/>
      <c r="E34" s="2"/>
      <c r="F34" s="51"/>
      <c r="G34" s="52">
        <f t="shared" si="1"/>
        <v>0</v>
      </c>
      <c r="H34" s="718"/>
    </row>
    <row r="35" spans="1:8" ht="15.75" customHeight="1">
      <c r="A35" s="7"/>
      <c r="B35" s="2"/>
      <c r="C35" s="11"/>
      <c r="D35" s="2"/>
      <c r="E35" s="2"/>
      <c r="F35" s="51"/>
      <c r="G35" s="52">
        <f t="shared" si="1"/>
        <v>0</v>
      </c>
      <c r="H35" s="718"/>
    </row>
    <row r="36" spans="1:8" ht="15.75" customHeight="1">
      <c r="A36" s="7"/>
      <c r="B36" s="2"/>
      <c r="C36" s="11"/>
      <c r="D36" s="2"/>
      <c r="E36" s="2"/>
      <c r="F36" s="51"/>
      <c r="G36" s="52">
        <f t="shared" si="1"/>
        <v>0</v>
      </c>
      <c r="H36" s="718"/>
    </row>
    <row r="37" spans="1:8" ht="15.75" customHeight="1">
      <c r="A37" s="7"/>
      <c r="B37" s="2"/>
      <c r="C37" s="11"/>
      <c r="D37" s="2"/>
      <c r="E37" s="2"/>
      <c r="F37" s="51"/>
      <c r="G37" s="52">
        <f t="shared" si="1"/>
        <v>0</v>
      </c>
      <c r="H37" s="718"/>
    </row>
    <row r="38" spans="1:8" ht="15.75" customHeight="1">
      <c r="A38" s="7"/>
      <c r="B38" s="2"/>
      <c r="C38" s="11"/>
      <c r="D38" s="2"/>
      <c r="E38" s="2"/>
      <c r="F38" s="51"/>
      <c r="G38" s="52">
        <f t="shared" si="1"/>
        <v>0</v>
      </c>
      <c r="H38" s="718"/>
    </row>
    <row r="39" spans="1:8" ht="15.75" customHeight="1">
      <c r="A39" s="7"/>
      <c r="B39" s="2"/>
      <c r="C39" s="11"/>
      <c r="D39" s="2"/>
      <c r="E39" s="2"/>
      <c r="F39" s="51"/>
      <c r="G39" s="52">
        <f t="shared" si="1"/>
        <v>0</v>
      </c>
      <c r="H39" s="718"/>
    </row>
    <row r="40" spans="1:8" ht="15.75" customHeight="1">
      <c r="A40" s="7"/>
      <c r="B40" s="2"/>
      <c r="C40" s="11"/>
      <c r="D40" s="2"/>
      <c r="E40" s="2"/>
      <c r="F40" s="51"/>
      <c r="G40" s="52">
        <f t="shared" si="1"/>
        <v>0</v>
      </c>
      <c r="H40" s="718"/>
    </row>
    <row r="41" spans="1:8" ht="15.75" customHeight="1">
      <c r="A41" s="7"/>
      <c r="B41" s="2"/>
      <c r="C41" s="11"/>
      <c r="D41" s="2"/>
      <c r="E41" s="2"/>
      <c r="F41" s="51"/>
      <c r="G41" s="52">
        <f t="shared" si="1"/>
        <v>0</v>
      </c>
      <c r="H41" s="718"/>
    </row>
    <row r="42" spans="1:8" ht="15.75" customHeight="1">
      <c r="A42" s="7"/>
      <c r="B42" s="2"/>
      <c r="C42" s="11"/>
      <c r="D42" s="2"/>
      <c r="E42" s="2"/>
      <c r="F42" s="51"/>
      <c r="G42" s="52">
        <f t="shared" si="1"/>
        <v>0</v>
      </c>
      <c r="H42" s="718"/>
    </row>
    <row r="43" spans="1:8" ht="15.75" customHeight="1">
      <c r="A43" s="7"/>
      <c r="B43" s="2"/>
      <c r="C43" s="11"/>
      <c r="D43" s="2"/>
      <c r="E43" s="2"/>
      <c r="F43" s="51"/>
      <c r="G43" s="52">
        <f t="shared" si="1"/>
        <v>0</v>
      </c>
      <c r="H43" s="718"/>
    </row>
    <row r="44" spans="1:8" ht="15.75" customHeight="1">
      <c r="A44" s="7"/>
      <c r="B44" s="2"/>
      <c r="C44" s="11"/>
      <c r="D44" s="2"/>
      <c r="E44" s="2"/>
      <c r="F44" s="51"/>
      <c r="G44" s="52">
        <f t="shared" si="1"/>
        <v>0</v>
      </c>
      <c r="H44" s="718"/>
    </row>
    <row r="45" spans="1:8" ht="15.75" customHeight="1" thickBot="1">
      <c r="A45" s="849"/>
      <c r="B45" s="3"/>
      <c r="C45" s="14"/>
      <c r="D45" s="3"/>
      <c r="E45" s="3"/>
      <c r="F45" s="53"/>
      <c r="G45" s="52">
        <f t="shared" si="1"/>
        <v>0</v>
      </c>
      <c r="H45" s="718"/>
    </row>
    <row r="46" spans="1:8" s="17" customFormat="1" ht="18" customHeight="1" thickBot="1">
      <c r="A46" s="30" t="s">
        <v>52</v>
      </c>
      <c r="B46" s="15">
        <f>SUM(B5:B45)</f>
        <v>56233508</v>
      </c>
      <c r="C46" s="22"/>
      <c r="D46" s="15">
        <f>SUM(D5:D45)</f>
        <v>250000</v>
      </c>
      <c r="E46" s="15">
        <f>SUM(E5:E45)</f>
        <v>66492853</v>
      </c>
      <c r="F46" s="15">
        <f>SUM(F5:F45)</f>
        <v>55983508</v>
      </c>
      <c r="G46" s="16">
        <f>SUM(G5:G45)</f>
        <v>56233508</v>
      </c>
      <c r="H46" s="718"/>
    </row>
    <row r="47" spans="6:8" ht="12.75">
      <c r="F47" s="17"/>
      <c r="G47" s="17"/>
      <c r="H47" s="618"/>
    </row>
    <row r="48" ht="12.75">
      <c r="H48" s="618"/>
    </row>
    <row r="49" ht="12.75">
      <c r="H49" s="618"/>
    </row>
    <row r="50" ht="12.75">
      <c r="H50" s="618"/>
    </row>
    <row r="51" ht="12.75">
      <c r="H51" s="618"/>
    </row>
    <row r="52" ht="12.75">
      <c r="H52" s="618"/>
    </row>
    <row r="53" ht="12.75">
      <c r="H53" s="618"/>
    </row>
    <row r="54" ht="12.75">
      <c r="H54" s="618"/>
    </row>
    <row r="55" ht="12.75">
      <c r="H55" s="618"/>
    </row>
  </sheetData>
  <sheetProtection/>
  <mergeCells count="2">
    <mergeCell ref="A1:G1"/>
    <mergeCell ref="H1:H4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68" r:id="rId1"/>
  <headerFooter alignWithMargins="0">
    <oddHeader>&amp;R3. melléklet a 7/2017. (IV.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Jani</cp:lastModifiedBy>
  <cp:lastPrinted>2017-05-02T06:52:06Z</cp:lastPrinted>
  <dcterms:created xsi:type="dcterms:W3CDTF">1999-10-30T10:30:45Z</dcterms:created>
  <dcterms:modified xsi:type="dcterms:W3CDTF">2017-05-02T06:55:02Z</dcterms:modified>
  <cp:category/>
  <cp:version/>
  <cp:contentType/>
  <cp:contentStatus/>
</cp:coreProperties>
</file>