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Dokumentumok\Előterjesztés 2021\"/>
    </mc:Choice>
  </mc:AlternateContent>
  <bookViews>
    <workbookView xWindow="0" yWindow="0" windowWidth="20025" windowHeight="9435" tabRatio="834"/>
  </bookViews>
  <sheets>
    <sheet name="1. melléklet" sheetId="1" r:id="rId1"/>
    <sheet name="2. melléklet" sheetId="2" r:id="rId2"/>
    <sheet name="3. melléklet" sheetId="3" r:id="rId3"/>
    <sheet name="4. melléklet" sheetId="4" r:id="rId4"/>
    <sheet name="5. melléklet 1" sheetId="5" r:id="rId5"/>
    <sheet name="5. melléklet 2" sheetId="6" r:id="rId6"/>
    <sheet name="6. melléklet 1" sheetId="24" r:id="rId7"/>
    <sheet name="6. melléklet 2" sheetId="25" r:id="rId8"/>
    <sheet name="7. melléklet" sheetId="27" r:id="rId9"/>
    <sheet name="8. melléklet" sheetId="10" r:id="rId10"/>
    <sheet name="9. melléklet" sheetId="11" r:id="rId11"/>
    <sheet name="10. melléklet" sheetId="12" r:id="rId12"/>
    <sheet name="11. melléklet" sheetId="13" r:id="rId13"/>
    <sheet name="12. melléklet" sheetId="14" r:id="rId14"/>
    <sheet name="13.melléklet 1" sheetId="15" r:id="rId15"/>
    <sheet name="13. melléklet 2 " sheetId="26" r:id="rId16"/>
    <sheet name="13. melléklet 3" sheetId="22" r:id="rId17"/>
    <sheet name="14. melléklet 1" sheetId="16" r:id="rId18"/>
    <sheet name="14. melléklet 2" sheetId="21" r:id="rId19"/>
    <sheet name="14. melléklet 3" sheetId="23" r:id="rId20"/>
    <sheet name="15. melléklet" sheetId="18" r:id="rId21"/>
    <sheet name="16. melléklet" sheetId="19" r:id="rId22"/>
    <sheet name="17. melléklet" sheetId="20" r:id="rId23"/>
  </sheets>
  <definedNames>
    <definedName name="_xlnm.Print_Titles" localSheetId="12">'11. melléklet'!$4:$4</definedName>
    <definedName name="_xlnm.Print_Titles" localSheetId="17">'14. melléklet 1'!$3:$5</definedName>
    <definedName name="_xlnm.Print_Titles" localSheetId="18">'14. melléklet 2'!$3:$5</definedName>
    <definedName name="_xlnm.Print_Titles" localSheetId="4">'5. melléklet 1'!#REF!</definedName>
    <definedName name="_xlnm.Print_Titles" localSheetId="8">'7. melléklet'!$3:$3</definedName>
    <definedName name="_xlnm.Print_Titles" localSheetId="9">'8. melléklet'!$3:$3</definedName>
    <definedName name="_xlnm.Print_Area" localSheetId="4">'5. melléklet 1'!#REF!</definedName>
    <definedName name="_xlnm.Print_Area" localSheetId="5">'5. melléklet 2'!$A$1:$R$31</definedName>
    <definedName name="_xlnm.Print_Area" localSheetId="6">'6. melléklet 1'!$A$1:$R$37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6" l="1"/>
  <c r="G19" i="16"/>
  <c r="G18" i="16"/>
  <c r="D25" i="15"/>
  <c r="D22" i="15"/>
  <c r="D19" i="15"/>
  <c r="D16" i="15"/>
  <c r="R62" i="5" l="1"/>
  <c r="Q62" i="5"/>
  <c r="P62" i="5"/>
  <c r="O62" i="5"/>
  <c r="N62" i="5"/>
  <c r="M62" i="5"/>
  <c r="L62" i="5"/>
  <c r="K62" i="5"/>
  <c r="J62" i="5"/>
  <c r="I62" i="5"/>
  <c r="H62" i="5"/>
  <c r="G62" i="5"/>
  <c r="R60" i="5"/>
  <c r="Q60" i="5"/>
  <c r="P60" i="5"/>
  <c r="O60" i="5"/>
  <c r="N60" i="5"/>
  <c r="M60" i="5"/>
  <c r="L60" i="5"/>
  <c r="K60" i="5"/>
  <c r="J60" i="5"/>
  <c r="I60" i="5"/>
  <c r="H60" i="5"/>
  <c r="G60" i="5"/>
  <c r="E62" i="5"/>
  <c r="E60" i="5"/>
  <c r="F54" i="5" l="1"/>
  <c r="R31" i="6"/>
  <c r="Q31" i="6"/>
  <c r="P31" i="6"/>
  <c r="O31" i="6"/>
  <c r="N31" i="6"/>
  <c r="M31" i="6"/>
  <c r="L31" i="6"/>
  <c r="K31" i="6"/>
  <c r="J31" i="6"/>
  <c r="I31" i="6"/>
  <c r="H31" i="6"/>
  <c r="G31" i="6"/>
  <c r="E31" i="6"/>
  <c r="R30" i="6"/>
  <c r="Q30" i="6"/>
  <c r="P30" i="6"/>
  <c r="O30" i="6"/>
  <c r="N30" i="6"/>
  <c r="M30" i="6"/>
  <c r="L30" i="6"/>
  <c r="K30" i="6"/>
  <c r="J30" i="6"/>
  <c r="I30" i="6"/>
  <c r="H30" i="6"/>
  <c r="G30" i="6"/>
  <c r="E30" i="6"/>
  <c r="R26" i="6"/>
  <c r="Q26" i="6"/>
  <c r="P26" i="6"/>
  <c r="O26" i="6"/>
  <c r="N26" i="6"/>
  <c r="M26" i="6"/>
  <c r="L26" i="6"/>
  <c r="K26" i="6"/>
  <c r="J26" i="6"/>
  <c r="I26" i="6"/>
  <c r="H26" i="6"/>
  <c r="G26" i="6"/>
  <c r="E26" i="6"/>
  <c r="F25" i="6"/>
  <c r="F26" i="6" s="1"/>
  <c r="R23" i="6"/>
  <c r="Q23" i="6"/>
  <c r="P23" i="6"/>
  <c r="O23" i="6"/>
  <c r="N23" i="6"/>
  <c r="M23" i="6"/>
  <c r="L23" i="6"/>
  <c r="K23" i="6"/>
  <c r="J23" i="6"/>
  <c r="I23" i="6"/>
  <c r="H23" i="6"/>
  <c r="G23" i="6"/>
  <c r="E23" i="6"/>
  <c r="F22" i="6"/>
  <c r="F23" i="6" s="1"/>
  <c r="R20" i="6"/>
  <c r="Q20" i="6"/>
  <c r="P20" i="6"/>
  <c r="O20" i="6"/>
  <c r="O27" i="6" s="1"/>
  <c r="N20" i="6"/>
  <c r="M20" i="6"/>
  <c r="L20" i="6"/>
  <c r="K20" i="6"/>
  <c r="K27" i="6" s="1"/>
  <c r="J20" i="6"/>
  <c r="I20" i="6"/>
  <c r="H20" i="6"/>
  <c r="G20" i="6"/>
  <c r="G27" i="6" s="1"/>
  <c r="E20" i="6"/>
  <c r="F19" i="6"/>
  <c r="F20" i="6" s="1"/>
  <c r="R17" i="6"/>
  <c r="R28" i="6" s="1"/>
  <c r="Q17" i="6"/>
  <c r="P17" i="6"/>
  <c r="O17" i="6"/>
  <c r="N17" i="6"/>
  <c r="N28" i="6" s="1"/>
  <c r="M17" i="6"/>
  <c r="L17" i="6"/>
  <c r="K17" i="6"/>
  <c r="J17" i="6"/>
  <c r="J28" i="6" s="1"/>
  <c r="I17" i="6"/>
  <c r="H17" i="6"/>
  <c r="G17" i="6"/>
  <c r="E17" i="6"/>
  <c r="E28" i="6" s="1"/>
  <c r="F16" i="6"/>
  <c r="F15" i="6"/>
  <c r="F14" i="6"/>
  <c r="F13" i="6"/>
  <c r="F12" i="6"/>
  <c r="F11" i="6"/>
  <c r="F10" i="6"/>
  <c r="F9" i="6"/>
  <c r="F30" i="6" s="1"/>
  <c r="F8" i="6"/>
  <c r="F7" i="6"/>
  <c r="F6" i="6"/>
  <c r="R63" i="5"/>
  <c r="Q63" i="5"/>
  <c r="P63" i="5"/>
  <c r="O63" i="5"/>
  <c r="N63" i="5"/>
  <c r="M63" i="5"/>
  <c r="L63" i="5"/>
  <c r="K63" i="5"/>
  <c r="J63" i="5"/>
  <c r="I63" i="5"/>
  <c r="H63" i="5"/>
  <c r="G63" i="5"/>
  <c r="E63" i="5"/>
  <c r="R61" i="5"/>
  <c r="Q61" i="5"/>
  <c r="P61" i="5"/>
  <c r="O61" i="5"/>
  <c r="N61" i="5"/>
  <c r="M61" i="5"/>
  <c r="L61" i="5"/>
  <c r="K61" i="5"/>
  <c r="J61" i="5"/>
  <c r="I61" i="5"/>
  <c r="H61" i="5"/>
  <c r="G61" i="5"/>
  <c r="E61" i="5"/>
  <c r="F59" i="5"/>
  <c r="F58" i="5"/>
  <c r="F57" i="5"/>
  <c r="F56" i="5"/>
  <c r="F55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62" i="5" s="1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27" i="6" l="1"/>
  <c r="F60" i="5"/>
  <c r="F31" i="6"/>
  <c r="H27" i="6"/>
  <c r="L27" i="6"/>
  <c r="P27" i="6"/>
  <c r="G28" i="6"/>
  <c r="K28" i="6"/>
  <c r="O28" i="6"/>
  <c r="H28" i="6"/>
  <c r="L28" i="6"/>
  <c r="P28" i="6"/>
  <c r="E27" i="6"/>
  <c r="I27" i="6"/>
  <c r="M27" i="6"/>
  <c r="Q27" i="6"/>
  <c r="I28" i="6"/>
  <c r="M28" i="6"/>
  <c r="Q28" i="6"/>
  <c r="J27" i="6"/>
  <c r="N27" i="6"/>
  <c r="R27" i="6"/>
  <c r="F63" i="5"/>
  <c r="F61" i="5"/>
  <c r="F17" i="6"/>
  <c r="F28" i="6" s="1"/>
  <c r="J22" i="20"/>
  <c r="I22" i="20"/>
  <c r="G22" i="20"/>
  <c r="E21" i="20"/>
  <c r="H21" i="20" s="1"/>
  <c r="F20" i="20"/>
  <c r="E20" i="20"/>
  <c r="H20" i="20" s="1"/>
  <c r="H19" i="20"/>
  <c r="E19" i="20"/>
  <c r="E18" i="20"/>
  <c r="H18" i="20" s="1"/>
  <c r="E17" i="20"/>
  <c r="H17" i="20" s="1"/>
  <c r="E16" i="20"/>
  <c r="H16" i="20" s="1"/>
  <c r="E15" i="20"/>
  <c r="H15" i="20" s="1"/>
  <c r="E14" i="20"/>
  <c r="H14" i="20" s="1"/>
  <c r="E13" i="20"/>
  <c r="H13" i="20" s="1"/>
  <c r="E12" i="20"/>
  <c r="H12" i="20" s="1"/>
  <c r="E11" i="20"/>
  <c r="H11" i="20" s="1"/>
  <c r="F10" i="20"/>
  <c r="F22" i="20" s="1"/>
  <c r="E10" i="20"/>
  <c r="H10" i="20" s="1"/>
  <c r="E9" i="20"/>
  <c r="H9" i="20" s="1"/>
  <c r="E8" i="20"/>
  <c r="H8" i="20" s="1"/>
  <c r="E7" i="20"/>
  <c r="H7" i="20" s="1"/>
  <c r="E6" i="20"/>
  <c r="H6" i="20" s="1"/>
  <c r="E5" i="20"/>
  <c r="H5" i="20" s="1"/>
  <c r="H22" i="20" l="1"/>
  <c r="E22" i="20"/>
  <c r="B119" i="27"/>
  <c r="B12" i="26" l="1"/>
  <c r="B111" i="27" l="1"/>
  <c r="P29" i="24" l="1"/>
  <c r="O29" i="24"/>
  <c r="N29" i="24"/>
  <c r="M29" i="24"/>
  <c r="L29" i="24"/>
  <c r="K29" i="24"/>
  <c r="J29" i="24"/>
  <c r="I29" i="24"/>
  <c r="H29" i="24"/>
  <c r="G29" i="24"/>
  <c r="F29" i="24"/>
  <c r="E29" i="24"/>
  <c r="D29" i="24"/>
  <c r="H29" i="25"/>
  <c r="G29" i="25"/>
  <c r="F29" i="25"/>
  <c r="E29" i="25"/>
  <c r="D29" i="25"/>
  <c r="D23" i="25"/>
  <c r="D27" i="25" s="1"/>
  <c r="D28" i="25" s="1"/>
  <c r="I5" i="25"/>
  <c r="I6" i="25"/>
  <c r="I7" i="25"/>
  <c r="I8" i="25"/>
  <c r="I9" i="25"/>
  <c r="I10" i="25"/>
  <c r="I11" i="25"/>
  <c r="I12" i="25"/>
  <c r="I13" i="25"/>
  <c r="I14" i="25"/>
  <c r="D15" i="25"/>
  <c r="E15" i="25"/>
  <c r="E23" i="25" s="1"/>
  <c r="E27" i="25" s="1"/>
  <c r="F15" i="25"/>
  <c r="G15" i="25"/>
  <c r="G23" i="25" s="1"/>
  <c r="G27" i="25" s="1"/>
  <c r="H15" i="25"/>
  <c r="H23" i="25" s="1"/>
  <c r="H27" i="25" s="1"/>
  <c r="H28" i="25" s="1"/>
  <c r="I16" i="25"/>
  <c r="I17" i="25"/>
  <c r="D18" i="25"/>
  <c r="E18" i="25"/>
  <c r="F18" i="25"/>
  <c r="I18" i="25" s="1"/>
  <c r="G18" i="25"/>
  <c r="H18" i="25"/>
  <c r="I19" i="25"/>
  <c r="I20" i="25"/>
  <c r="I21" i="25"/>
  <c r="I22" i="25"/>
  <c r="I24" i="25"/>
  <c r="I25" i="25"/>
  <c r="I26" i="25"/>
  <c r="G28" i="25" l="1"/>
  <c r="F23" i="25"/>
  <c r="F27" i="25" s="1"/>
  <c r="F28" i="25" s="1"/>
  <c r="I27" i="25"/>
  <c r="E28" i="25"/>
  <c r="I28" i="25" s="1"/>
  <c r="I23" i="25"/>
  <c r="I29" i="25"/>
  <c r="I15" i="25"/>
  <c r="H5" i="26" l="1"/>
  <c r="G5" i="26"/>
  <c r="G10" i="26" s="1"/>
  <c r="G11" i="26" s="1"/>
  <c r="F5" i="26"/>
  <c r="F10" i="26" s="1"/>
  <c r="F11" i="26" s="1"/>
  <c r="E5" i="26"/>
  <c r="D5" i="26"/>
  <c r="B5" i="26"/>
  <c r="B10" i="26" s="1"/>
  <c r="B11" i="26" s="1"/>
  <c r="C5" i="26"/>
  <c r="C10" i="26" s="1"/>
  <c r="C11" i="26" s="1"/>
  <c r="F14" i="26"/>
  <c r="E14" i="26"/>
  <c r="D14" i="26"/>
  <c r="C14" i="26"/>
  <c r="B14" i="26"/>
  <c r="H14" i="26"/>
  <c r="G14" i="26"/>
  <c r="H10" i="26"/>
  <c r="H11" i="26" s="1"/>
  <c r="D10" i="26"/>
  <c r="D11" i="26" s="1"/>
  <c r="E10" i="26" l="1"/>
  <c r="E11" i="26" s="1"/>
  <c r="B10" i="27"/>
  <c r="D15" i="24" l="1"/>
  <c r="E15" i="24"/>
  <c r="F15" i="24"/>
  <c r="G15" i="24"/>
  <c r="H15" i="24"/>
  <c r="I15" i="24"/>
  <c r="J15" i="24"/>
  <c r="K15" i="24"/>
  <c r="K23" i="24" s="1"/>
  <c r="K27" i="24" s="1"/>
  <c r="K28" i="24" s="1"/>
  <c r="L15" i="24"/>
  <c r="M15" i="24"/>
  <c r="N15" i="24"/>
  <c r="O15" i="24"/>
  <c r="O23" i="24" s="1"/>
  <c r="O27" i="24" s="1"/>
  <c r="O28" i="24" s="1"/>
  <c r="P15" i="24"/>
  <c r="D18" i="24"/>
  <c r="D23" i="24" s="1"/>
  <c r="D27" i="24" s="1"/>
  <c r="D28" i="24" s="1"/>
  <c r="E18" i="24"/>
  <c r="F18" i="24"/>
  <c r="F23" i="24" s="1"/>
  <c r="F27" i="24" s="1"/>
  <c r="F28" i="24" s="1"/>
  <c r="G18" i="24"/>
  <c r="H18" i="24"/>
  <c r="H23" i="24" s="1"/>
  <c r="H27" i="24" s="1"/>
  <c r="H28" i="24" s="1"/>
  <c r="I18" i="24"/>
  <c r="J18" i="24"/>
  <c r="J23" i="24" s="1"/>
  <c r="J27" i="24" s="1"/>
  <c r="J28" i="24" s="1"/>
  <c r="K18" i="24"/>
  <c r="L18" i="24"/>
  <c r="L23" i="24" s="1"/>
  <c r="L27" i="24" s="1"/>
  <c r="L28" i="24" s="1"/>
  <c r="M18" i="24"/>
  <c r="N18" i="24"/>
  <c r="N23" i="24" s="1"/>
  <c r="N27" i="24" s="1"/>
  <c r="N28" i="24" s="1"/>
  <c r="O18" i="24"/>
  <c r="P18" i="24"/>
  <c r="P23" i="24" s="1"/>
  <c r="P27" i="24" s="1"/>
  <c r="P28" i="24" s="1"/>
  <c r="E23" i="24"/>
  <c r="E27" i="24" s="1"/>
  <c r="E28" i="24" s="1"/>
  <c r="G23" i="24"/>
  <c r="G27" i="24" s="1"/>
  <c r="G28" i="24" s="1"/>
  <c r="M23" i="24" l="1"/>
  <c r="M27" i="24" s="1"/>
  <c r="M28" i="24" s="1"/>
  <c r="I23" i="24"/>
  <c r="I27" i="24" s="1"/>
  <c r="I28" i="24" s="1"/>
  <c r="B79" i="10"/>
  <c r="B71" i="10"/>
  <c r="B68" i="10"/>
  <c r="B64" i="10"/>
  <c r="B61" i="10"/>
  <c r="B57" i="10"/>
  <c r="B54" i="10"/>
  <c r="B51" i="10"/>
  <c r="B48" i="10"/>
  <c r="B45" i="10"/>
  <c r="B108" i="27"/>
  <c r="B104" i="27"/>
  <c r="B101" i="27"/>
  <c r="B98" i="27"/>
  <c r="B95" i="27"/>
  <c r="B91" i="27"/>
  <c r="B87" i="27"/>
  <c r="B80" i="27"/>
  <c r="B76" i="27"/>
  <c r="B72" i="27"/>
  <c r="B70" i="27" l="1"/>
  <c r="B43" i="10"/>
  <c r="F27" i="15" l="1"/>
  <c r="F26" i="15"/>
  <c r="F25" i="15"/>
  <c r="F24" i="15"/>
  <c r="F23" i="15"/>
  <c r="F22" i="15"/>
  <c r="F21" i="15"/>
  <c r="F20" i="15"/>
  <c r="F18" i="15"/>
  <c r="F17" i="15"/>
  <c r="F15" i="15"/>
  <c r="F14" i="15"/>
  <c r="F12" i="15"/>
  <c r="F11" i="15"/>
  <c r="D10" i="15"/>
  <c r="F10" i="15" s="1"/>
  <c r="F9" i="15"/>
  <c r="F8" i="15"/>
  <c r="F7" i="15"/>
  <c r="D13" i="15" l="1"/>
  <c r="F13" i="15" l="1"/>
  <c r="F16" i="15" l="1"/>
  <c r="F19" i="15"/>
  <c r="B18" i="19" l="1"/>
  <c r="E67" i="2"/>
  <c r="B25" i="3"/>
  <c r="B18" i="27" l="1"/>
  <c r="B19" i="16"/>
  <c r="B24" i="10"/>
  <c r="B12" i="19"/>
  <c r="B10" i="19" l="1"/>
  <c r="B23" i="13"/>
  <c r="B22" i="13" s="1"/>
  <c r="B28" i="3" l="1"/>
  <c r="B34" i="3"/>
  <c r="B27" i="3"/>
  <c r="B26" i="3"/>
  <c r="C26" i="3"/>
  <c r="B7" i="13"/>
  <c r="B20" i="13" s="1"/>
  <c r="B53" i="27"/>
  <c r="B20" i="27"/>
  <c r="G16" i="16" l="1"/>
  <c r="G15" i="16"/>
  <c r="B10" i="22"/>
  <c r="B32" i="13"/>
  <c r="B37" i="13" s="1"/>
  <c r="B10" i="12"/>
  <c r="B6" i="12"/>
  <c r="B39" i="13"/>
  <c r="B53" i="12" l="1"/>
  <c r="B10" i="10"/>
  <c r="G92" i="18"/>
  <c r="B50" i="2" l="1"/>
  <c r="B7" i="3"/>
  <c r="I18" i="21"/>
  <c r="I17" i="21"/>
  <c r="G17" i="16"/>
  <c r="G14" i="16" l="1"/>
  <c r="I16" i="21"/>
  <c r="I15" i="21"/>
  <c r="G13" i="16"/>
  <c r="G12" i="16"/>
  <c r="E99" i="18" l="1"/>
  <c r="E100" i="18" s="1"/>
  <c r="E101" i="18" s="1"/>
  <c r="E102" i="18" s="1"/>
  <c r="E103" i="18" s="1"/>
  <c r="E104" i="18" s="1"/>
  <c r="E105" i="18" s="1"/>
  <c r="E106" i="18" s="1"/>
  <c r="G88" i="18"/>
  <c r="F88" i="18"/>
  <c r="F78" i="18"/>
  <c r="G78" i="18" s="1"/>
  <c r="G79" i="18" s="1"/>
  <c r="G75" i="18"/>
  <c r="F74" i="18"/>
  <c r="F72" i="18"/>
  <c r="F75" i="18" s="1"/>
  <c r="G70" i="18"/>
  <c r="F68" i="18"/>
  <c r="F70" i="18" s="1"/>
  <c r="F65" i="18"/>
  <c r="F64" i="18"/>
  <c r="G62" i="18"/>
  <c r="F60" i="18"/>
  <c r="F59" i="18"/>
  <c r="F58" i="18"/>
  <c r="F57" i="18"/>
  <c r="E56" i="18"/>
  <c r="F56" i="18" s="1"/>
  <c r="E55" i="18"/>
  <c r="F55" i="18" s="1"/>
  <c r="E54" i="18"/>
  <c r="F54" i="18" s="1"/>
  <c r="E53" i="18"/>
  <c r="F53" i="18" s="1"/>
  <c r="E52" i="18"/>
  <c r="F52" i="18" s="1"/>
  <c r="E50" i="18"/>
  <c r="F50" i="18" s="1"/>
  <c r="F49" i="18"/>
  <c r="F47" i="18"/>
  <c r="F46" i="18"/>
  <c r="F40" i="18"/>
  <c r="G38" i="18"/>
  <c r="F37" i="18"/>
  <c r="F36" i="18"/>
  <c r="G34" i="18"/>
  <c r="F33" i="18"/>
  <c r="F32" i="18"/>
  <c r="F26" i="18"/>
  <c r="F24" i="18"/>
  <c r="F22" i="18"/>
  <c r="G21" i="18"/>
  <c r="C19" i="18"/>
  <c r="C17" i="18"/>
  <c r="C15" i="18"/>
  <c r="F13" i="18"/>
  <c r="F21" i="18" s="1"/>
  <c r="G10" i="18"/>
  <c r="G29" i="18" s="1"/>
  <c r="F9" i="18"/>
  <c r="F8" i="18"/>
  <c r="F10" i="18" s="1"/>
  <c r="F48" i="18" l="1"/>
  <c r="G76" i="18"/>
  <c r="G41" i="18"/>
  <c r="F38" i="18"/>
  <c r="F62" i="18"/>
  <c r="F76" i="18" s="1"/>
  <c r="F34" i="18"/>
  <c r="F12" i="18"/>
  <c r="F30" i="18"/>
  <c r="F29" i="18"/>
  <c r="G12" i="18"/>
  <c r="F79" i="18"/>
  <c r="G30" i="18"/>
  <c r="G81" i="18" s="1"/>
  <c r="G89" i="18" s="1"/>
  <c r="G93" i="18" s="1"/>
  <c r="B13" i="11"/>
  <c r="F41" i="18" l="1"/>
  <c r="F81" i="18" s="1"/>
  <c r="F89" i="18" s="1"/>
  <c r="B67" i="27"/>
  <c r="B52" i="27" s="1"/>
  <c r="E19" i="4" s="1"/>
  <c r="B39" i="10" l="1"/>
  <c r="B14" i="3" l="1"/>
  <c r="B17" i="3"/>
  <c r="F12" i="26"/>
  <c r="G12" i="26"/>
  <c r="I19" i="21" l="1"/>
  <c r="H20" i="21"/>
  <c r="B10" i="23" l="1"/>
  <c r="B14" i="23" l="1"/>
  <c r="C46" i="3" s="1"/>
  <c r="B6" i="27" l="1"/>
  <c r="B4" i="27" s="1"/>
  <c r="D19" i="4" s="1"/>
  <c r="B122" i="27" l="1"/>
  <c r="G16" i="26" l="1"/>
  <c r="G17" i="26" s="1"/>
  <c r="F16" i="26"/>
  <c r="H12" i="26"/>
  <c r="H16" i="26" s="1"/>
  <c r="E12" i="26"/>
  <c r="E16" i="26" s="1"/>
  <c r="D12" i="26"/>
  <c r="D16" i="26" s="1"/>
  <c r="C12" i="26"/>
  <c r="C16" i="26" s="1"/>
  <c r="C17" i="26" s="1"/>
  <c r="B16" i="26"/>
  <c r="F17" i="26" l="1"/>
  <c r="B17" i="26"/>
  <c r="H17" i="26"/>
  <c r="D17" i="26"/>
  <c r="E17" i="26"/>
  <c r="R26" i="24" l="1"/>
  <c r="R25" i="24"/>
  <c r="R24" i="24"/>
  <c r="Q22" i="24"/>
  <c r="Q21" i="24"/>
  <c r="R21" i="24" s="1"/>
  <c r="Q20" i="24"/>
  <c r="R20" i="24" s="1"/>
  <c r="Q19" i="24"/>
  <c r="R19" i="24" s="1"/>
  <c r="Q18" i="24"/>
  <c r="R17" i="24"/>
  <c r="R16" i="24"/>
  <c r="Q15" i="24"/>
  <c r="Q14" i="24"/>
  <c r="R14" i="24" s="1"/>
  <c r="Q13" i="24"/>
  <c r="R13" i="24" s="1"/>
  <c r="Q12" i="24"/>
  <c r="R12" i="24" s="1"/>
  <c r="Q11" i="24"/>
  <c r="R11" i="24" s="1"/>
  <c r="Q10" i="24"/>
  <c r="R10" i="24" s="1"/>
  <c r="Q9" i="24"/>
  <c r="R9" i="24" s="1"/>
  <c r="Q8" i="24"/>
  <c r="R8" i="24" s="1"/>
  <c r="Q7" i="24"/>
  <c r="R7" i="24" s="1"/>
  <c r="Q6" i="24"/>
  <c r="R6" i="24" s="1"/>
  <c r="Q5" i="24"/>
  <c r="R22" i="24" l="1"/>
  <c r="Q29" i="24"/>
  <c r="R29" i="24" s="1"/>
  <c r="Q23" i="24"/>
  <c r="Q27" i="24" s="1"/>
  <c r="Q28" i="24" s="1"/>
  <c r="R28" i="24" s="1"/>
  <c r="R5" i="24"/>
  <c r="R18" i="24"/>
  <c r="R15" i="24"/>
  <c r="R23" i="24" l="1"/>
  <c r="R27" i="24"/>
  <c r="B20" i="21" l="1"/>
  <c r="B37" i="2" s="1"/>
  <c r="G9" i="23" l="1"/>
  <c r="B26" i="19" l="1"/>
  <c r="D26" i="4" s="1"/>
  <c r="B23" i="19"/>
  <c r="D25" i="4" s="1"/>
  <c r="D18" i="4"/>
  <c r="D17" i="4"/>
  <c r="B7" i="19"/>
  <c r="D16" i="4" s="1"/>
  <c r="B6" i="3" l="1"/>
  <c r="B5" i="3" s="1"/>
  <c r="B5" i="19"/>
  <c r="B21" i="19"/>
  <c r="B28" i="19" l="1"/>
  <c r="E44" i="3" l="1"/>
  <c r="F24" i="4"/>
  <c r="E24" i="4"/>
  <c r="B43" i="3"/>
  <c r="B48" i="1" l="1"/>
  <c r="B38" i="2"/>
  <c r="E10" i="23" l="1"/>
  <c r="E14" i="23" s="1"/>
  <c r="G11" i="16"/>
  <c r="G10" i="16"/>
  <c r="G9" i="16"/>
  <c r="G8" i="16"/>
  <c r="G7" i="16"/>
  <c r="G6" i="16"/>
  <c r="E19" i="16"/>
  <c r="I14" i="21"/>
  <c r="I13" i="21"/>
  <c r="I12" i="21"/>
  <c r="I11" i="21"/>
  <c r="I10" i="21"/>
  <c r="I9" i="21"/>
  <c r="I8" i="21"/>
  <c r="I7" i="21"/>
  <c r="I6" i="21"/>
  <c r="I20" i="21" l="1"/>
  <c r="G25" i="4"/>
  <c r="E31" i="1" s="1"/>
  <c r="E60" i="2" l="1"/>
  <c r="F10" i="23"/>
  <c r="F14" i="23" s="1"/>
  <c r="D10" i="23"/>
  <c r="D20" i="21"/>
  <c r="D19" i="16"/>
  <c r="B46" i="3"/>
  <c r="G10" i="23" l="1"/>
  <c r="G14" i="23" s="1"/>
  <c r="D14" i="23"/>
  <c r="B48" i="12" l="1"/>
  <c r="B57" i="12" s="1"/>
  <c r="B41" i="12"/>
  <c r="B6" i="10" l="1"/>
  <c r="B4" i="10" l="1"/>
  <c r="B82" i="10" l="1"/>
  <c r="E20" i="4"/>
  <c r="E20" i="21" l="1"/>
  <c r="F20" i="21"/>
  <c r="G20" i="21"/>
  <c r="B8" i="14"/>
  <c r="B13" i="14"/>
  <c r="B27" i="14"/>
  <c r="B14" i="14" l="1"/>
  <c r="B20" i="14" s="1"/>
  <c r="B32" i="14" s="1"/>
  <c r="B59" i="12" l="1"/>
  <c r="D33" i="3" l="1"/>
  <c r="C33" i="3"/>
  <c r="B33" i="3"/>
  <c r="E34" i="3"/>
  <c r="B32" i="1" s="1"/>
  <c r="D8" i="3"/>
  <c r="E9" i="3"/>
  <c r="B8" i="1" s="1"/>
  <c r="B8" i="2" l="1"/>
  <c r="B53" i="2"/>
  <c r="B63" i="2" l="1"/>
  <c r="B62" i="2" l="1"/>
  <c r="B28" i="2"/>
  <c r="E7" i="3"/>
  <c r="E47" i="3"/>
  <c r="B51" i="1" s="1"/>
  <c r="B57" i="1" s="1"/>
  <c r="E46" i="3"/>
  <c r="B50" i="1" s="1"/>
  <c r="E45" i="3"/>
  <c r="B49" i="1" s="1"/>
  <c r="E43" i="3"/>
  <c r="B47" i="1" s="1"/>
  <c r="E35" i="3"/>
  <c r="B33" i="1" s="1"/>
  <c r="B31" i="1" s="1"/>
  <c r="E32" i="3"/>
  <c r="B29" i="1" s="1"/>
  <c r="E31" i="3"/>
  <c r="B28" i="1" s="1"/>
  <c r="E30" i="3"/>
  <c r="B27" i="1" s="1"/>
  <c r="E29" i="3"/>
  <c r="B26" i="1" s="1"/>
  <c r="E28" i="3"/>
  <c r="B25" i="1" s="1"/>
  <c r="E27" i="3"/>
  <c r="B24" i="1" s="1"/>
  <c r="E26" i="3"/>
  <c r="B23" i="1" s="1"/>
  <c r="E25" i="3"/>
  <c r="B22" i="1" s="1"/>
  <c r="E23" i="3"/>
  <c r="B19" i="1" s="1"/>
  <c r="E22" i="3"/>
  <c r="B18" i="1" s="1"/>
  <c r="E21" i="3"/>
  <c r="B17" i="1" s="1"/>
  <c r="E20" i="3"/>
  <c r="E19" i="3"/>
  <c r="E18" i="3"/>
  <c r="E16" i="3"/>
  <c r="E15" i="3"/>
  <c r="D48" i="3"/>
  <c r="C48" i="3"/>
  <c r="B48" i="3"/>
  <c r="D39" i="3"/>
  <c r="D36" i="3"/>
  <c r="C36" i="3"/>
  <c r="E33" i="3"/>
  <c r="D24" i="3"/>
  <c r="C24" i="3"/>
  <c r="B24" i="3"/>
  <c r="D17" i="3"/>
  <c r="C17" i="3"/>
  <c r="D14" i="3"/>
  <c r="C14" i="3"/>
  <c r="D11" i="3"/>
  <c r="C11" i="3"/>
  <c r="D5" i="3"/>
  <c r="C5" i="3"/>
  <c r="F21" i="4"/>
  <c r="F15" i="4"/>
  <c r="F10" i="4" s="1"/>
  <c r="E15" i="4"/>
  <c r="E10" i="4" s="1"/>
  <c r="F32" i="4"/>
  <c r="D32" i="4"/>
  <c r="G12" i="4"/>
  <c r="E15" i="1" s="1"/>
  <c r="G11" i="4"/>
  <c r="E14" i="1" s="1"/>
  <c r="G8" i="4"/>
  <c r="E9" i="1" s="1"/>
  <c r="G7" i="4"/>
  <c r="E7" i="1" s="1"/>
  <c r="G6" i="4"/>
  <c r="E5" i="1" s="1"/>
  <c r="B21" i="1" l="1"/>
  <c r="B53" i="1"/>
  <c r="B68" i="2"/>
  <c r="B13" i="3"/>
  <c r="C13" i="3"/>
  <c r="D13" i="3"/>
  <c r="D42" i="3" s="1"/>
  <c r="D49" i="3" s="1"/>
  <c r="E17" i="3"/>
  <c r="B16" i="1" s="1"/>
  <c r="E9" i="2"/>
  <c r="E7" i="2"/>
  <c r="E5" i="2"/>
  <c r="B54" i="2"/>
  <c r="B52" i="2" s="1"/>
  <c r="B24" i="2"/>
  <c r="B16" i="2"/>
  <c r="B19" i="2"/>
  <c r="B23" i="2"/>
  <c r="B20" i="2"/>
  <c r="B40" i="2"/>
  <c r="B15" i="2"/>
  <c r="B22" i="2"/>
  <c r="B26" i="2"/>
  <c r="B14" i="2"/>
  <c r="B21" i="2"/>
  <c r="B25" i="2"/>
  <c r="B70" i="2"/>
  <c r="B69" i="2" s="1"/>
  <c r="E14" i="2"/>
  <c r="E15" i="2"/>
  <c r="E24" i="3"/>
  <c r="E48" i="3"/>
  <c r="E14" i="3"/>
  <c r="B15" i="1" s="1"/>
  <c r="B17" i="11"/>
  <c r="B19" i="11" s="1"/>
  <c r="B69" i="12"/>
  <c r="B72" i="12" s="1"/>
  <c r="B44" i="12"/>
  <c r="D13" i="4" s="1"/>
  <c r="G13" i="4" s="1"/>
  <c r="E16" i="1" s="1"/>
  <c r="B70" i="13"/>
  <c r="B67" i="13"/>
  <c r="B64" i="13"/>
  <c r="B54" i="13"/>
  <c r="B52" i="13" s="1"/>
  <c r="B57" i="13" s="1"/>
  <c r="B40" i="3"/>
  <c r="E41" i="3"/>
  <c r="B12" i="3"/>
  <c r="B28" i="13"/>
  <c r="B37" i="3" s="1"/>
  <c r="E38" i="3"/>
  <c r="B10" i="3"/>
  <c r="B40" i="14"/>
  <c r="B59" i="13" l="1"/>
  <c r="B73" i="13" s="1"/>
  <c r="B14" i="1"/>
  <c r="B60" i="2"/>
  <c r="B41" i="1"/>
  <c r="B33" i="2"/>
  <c r="B37" i="1"/>
  <c r="F27" i="4"/>
  <c r="F33" i="4" s="1"/>
  <c r="D20" i="4"/>
  <c r="G20" i="4" s="1"/>
  <c r="E25" i="1" s="1"/>
  <c r="D9" i="4"/>
  <c r="G9" i="4" s="1"/>
  <c r="B13" i="2"/>
  <c r="E13" i="3"/>
  <c r="C40" i="3"/>
  <c r="C39" i="3" s="1"/>
  <c r="E22" i="4"/>
  <c r="E21" i="4" s="1"/>
  <c r="D23" i="4"/>
  <c r="G23" i="4" s="1"/>
  <c r="E29" i="1" s="1"/>
  <c r="B44" i="13"/>
  <c r="B39" i="3"/>
  <c r="B39" i="12"/>
  <c r="B46" i="12" s="1"/>
  <c r="E16" i="2"/>
  <c r="B30" i="13"/>
  <c r="E12" i="3"/>
  <c r="B12" i="1" s="1"/>
  <c r="B11" i="1" s="1"/>
  <c r="B11" i="3"/>
  <c r="E11" i="3" s="1"/>
  <c r="B8" i="3"/>
  <c r="E37" i="3"/>
  <c r="B36" i="1" s="1"/>
  <c r="B36" i="3"/>
  <c r="E36" i="3" s="1"/>
  <c r="B12" i="2"/>
  <c r="B18" i="2"/>
  <c r="B42" i="3" l="1"/>
  <c r="B35" i="1"/>
  <c r="E11" i="2"/>
  <c r="E11" i="1"/>
  <c r="G19" i="4"/>
  <c r="E39" i="3"/>
  <c r="E40" i="3"/>
  <c r="B11" i="2"/>
  <c r="B46" i="13"/>
  <c r="B48" i="13" s="1"/>
  <c r="D14" i="4"/>
  <c r="G14" i="4" s="1"/>
  <c r="B32" i="2"/>
  <c r="B31" i="2" s="1"/>
  <c r="E54" i="2"/>
  <c r="E58" i="2"/>
  <c r="B56" i="2"/>
  <c r="C10" i="3"/>
  <c r="B75" i="13"/>
  <c r="E27" i="4"/>
  <c r="B59" i="2" l="1"/>
  <c r="B58" i="2" s="1"/>
  <c r="B65" i="2" s="1"/>
  <c r="B40" i="1"/>
  <c r="B39" i="1" s="1"/>
  <c r="E17" i="2"/>
  <c r="E17" i="1"/>
  <c r="E52" i="2"/>
  <c r="E23" i="1"/>
  <c r="E5" i="3"/>
  <c r="B5" i="1" s="1"/>
  <c r="E6" i="3"/>
  <c r="B5" i="2" s="1"/>
  <c r="C8" i="3"/>
  <c r="E10" i="3"/>
  <c r="B9" i="1" s="1"/>
  <c r="B7" i="1" s="1"/>
  <c r="G18" i="4"/>
  <c r="E21" i="1" s="1"/>
  <c r="G17" i="4"/>
  <c r="E20" i="1" s="1"/>
  <c r="B43" i="1" l="1"/>
  <c r="B49" i="3"/>
  <c r="E21" i="2"/>
  <c r="D24" i="4"/>
  <c r="C42" i="3"/>
  <c r="C49" i="3" s="1"/>
  <c r="E8" i="3"/>
  <c r="G16" i="4"/>
  <c r="E19" i="1" s="1"/>
  <c r="E18" i="1" s="1"/>
  <c r="E13" i="1" s="1"/>
  <c r="D15" i="4"/>
  <c r="E20" i="2"/>
  <c r="B9" i="2"/>
  <c r="B7" i="2" s="1"/>
  <c r="G28" i="4"/>
  <c r="E47" i="1" s="1"/>
  <c r="G31" i="4"/>
  <c r="E39" i="2" s="1"/>
  <c r="B39" i="2" s="1"/>
  <c r="B42" i="2" s="1"/>
  <c r="G29" i="4"/>
  <c r="E48" i="1" s="1"/>
  <c r="E32" i="4"/>
  <c r="G32" i="4" s="1"/>
  <c r="G30" i="4"/>
  <c r="E49" i="1" s="1"/>
  <c r="B67" i="2" l="1"/>
  <c r="B72" i="2" s="1"/>
  <c r="B74" i="2" s="1"/>
  <c r="E51" i="1"/>
  <c r="E57" i="1" s="1"/>
  <c r="B55" i="1"/>
  <c r="B58" i="1" s="1"/>
  <c r="E49" i="3"/>
  <c r="G26" i="4"/>
  <c r="E32" i="1" s="1"/>
  <c r="E30" i="1" s="1"/>
  <c r="B35" i="2"/>
  <c r="B44" i="2" s="1"/>
  <c r="E33" i="4"/>
  <c r="D10" i="4"/>
  <c r="G15" i="4"/>
  <c r="E19" i="2"/>
  <c r="E18" i="2" s="1"/>
  <c r="E13" i="2" s="1"/>
  <c r="E35" i="2" s="1"/>
  <c r="E42" i="3"/>
  <c r="E68" i="2"/>
  <c r="E40" i="2"/>
  <c r="E38" i="2"/>
  <c r="B76" i="2" l="1"/>
  <c r="E53" i="1"/>
  <c r="E61" i="2"/>
  <c r="E59" i="2" s="1"/>
  <c r="E72" i="2"/>
  <c r="G10" i="4"/>
  <c r="G24" i="4"/>
  <c r="E42" i="2"/>
  <c r="E44" i="2" s="1"/>
  <c r="F44" i="2" s="1"/>
  <c r="B61" i="12" l="1"/>
  <c r="D22" i="4" l="1"/>
  <c r="B63" i="12"/>
  <c r="B65" i="12" s="1"/>
  <c r="G22" i="4" l="1"/>
  <c r="E28" i="1" s="1"/>
  <c r="E27" i="1" s="1"/>
  <c r="E43" i="1" s="1"/>
  <c r="D21" i="4"/>
  <c r="E55" i="1" l="1"/>
  <c r="B45" i="1"/>
  <c r="G21" i="4"/>
  <c r="D27" i="4"/>
  <c r="E57" i="2"/>
  <c r="E56" i="2" s="1"/>
  <c r="E65" i="2" s="1"/>
  <c r="E74" i="2" s="1"/>
  <c r="E76" i="2" s="1"/>
  <c r="E58" i="1" l="1"/>
  <c r="G27" i="4"/>
  <c r="D33" i="4"/>
  <c r="G33" i="4" l="1"/>
</calcChain>
</file>

<file path=xl/sharedStrings.xml><?xml version="1.0" encoding="utf-8"?>
<sst xmlns="http://schemas.openxmlformats.org/spreadsheetml/2006/main" count="1588" uniqueCount="873">
  <si>
    <t>Bevételi előirányzat</t>
  </si>
  <si>
    <t>Kiadási előirányzat</t>
  </si>
  <si>
    <t>Megnevezés</t>
  </si>
  <si>
    <t>Eredeti</t>
  </si>
  <si>
    <t xml:space="preserve">Eredeti </t>
  </si>
  <si>
    <t>Állami támogatás</t>
  </si>
  <si>
    <t>Személyi juttatások</t>
  </si>
  <si>
    <t>Működési célú támogatások (államháztartáson belülről)</t>
  </si>
  <si>
    <t>Vissza nem térítendő támogatások</t>
  </si>
  <si>
    <t>Munkaadókat terhelő járulékok és szociális hozzájárulási adó</t>
  </si>
  <si>
    <t>Felhalmozási célú támogatások államháztartáson belülről</t>
  </si>
  <si>
    <t>Közhatalmi bevételek</t>
  </si>
  <si>
    <t>Dologi kiadások</t>
  </si>
  <si>
    <t>Vagyoni típusú adók</t>
  </si>
  <si>
    <t>Ellátottak pénzbeli juttatásai</t>
  </si>
  <si>
    <t>Késedelmi pótlék</t>
  </si>
  <si>
    <t>Egyéb működési kiadások</t>
  </si>
  <si>
    <t>Elvonások és befizetések</t>
  </si>
  <si>
    <t>Előző évi elszámolásból származó kiadások</t>
  </si>
  <si>
    <t>Visszatérítendő támogatások és kölcsönök</t>
  </si>
  <si>
    <t>Működési bevételek</t>
  </si>
  <si>
    <t>Egyéb működési célú támogatások (vissza nem térítendő)</t>
  </si>
  <si>
    <t>Áru és készletértékesítés (a döntést követő 3 hónap utáni föld- és ingatlan értékesítés)</t>
  </si>
  <si>
    <t>Működési tartalékok</t>
  </si>
  <si>
    <t>Szolgáltatások ellenértéke</t>
  </si>
  <si>
    <t xml:space="preserve"> - Általános tartalék</t>
  </si>
  <si>
    <t>Közvetített szolgáltatások ellenértéke</t>
  </si>
  <si>
    <t xml:space="preserve"> - Működési tartalék</t>
  </si>
  <si>
    <t>Tulajdonosi bevételek</t>
  </si>
  <si>
    <t xml:space="preserve"> - Működési céltartalék </t>
  </si>
  <si>
    <t>Ellátási díjak</t>
  </si>
  <si>
    <t>ÁFA bevétel</t>
  </si>
  <si>
    <t>Beruházási kiadások</t>
  </si>
  <si>
    <t>Egyéb működési bevétel</t>
  </si>
  <si>
    <t>Felújítási kiadások</t>
  </si>
  <si>
    <t>Felhalmozási bevételek</t>
  </si>
  <si>
    <t>Ingatlanértékesítés</t>
  </si>
  <si>
    <t>Egyéb felhalmozási kiadások</t>
  </si>
  <si>
    <t>Működési célú átvett pénzeszközök (államháztartáson kívülről)</t>
  </si>
  <si>
    <t>Egyéb felhalmozási célú támogatások (vissza nem térítendő)</t>
  </si>
  <si>
    <t>Felhalmozási tartalékok</t>
  </si>
  <si>
    <t xml:space="preserve">Vissza nem térítendő támogatások </t>
  </si>
  <si>
    <t xml:space="preserve"> - Felhalmozási tartalék</t>
  </si>
  <si>
    <t>Felhalmozási célú átvett pénzeszközök (államháztartáson kívülről)</t>
  </si>
  <si>
    <t>Hiteltörlesztés</t>
  </si>
  <si>
    <t>Előző évi költségvetési maradványának igénybevétele</t>
  </si>
  <si>
    <t>Irányítószervi támogatás folyósítás</t>
  </si>
  <si>
    <t>Irányító szervi támogatás folyósítása</t>
  </si>
  <si>
    <t>BEVÉTELEK MINDÖSSZESEN</t>
  </si>
  <si>
    <t>KIADÁSOK MINDÖSSZESEN</t>
  </si>
  <si>
    <t>FINANSZÍROZÁSI BEVÉTELEK ÖSSZESEN</t>
  </si>
  <si>
    <t>KÖLTSÉGVETÉSI BEVÉTELEK ÖSSZESEN</t>
  </si>
  <si>
    <t>KÖLTSÉGVETÉSI KIADÁSOK ÖSSZESEN</t>
  </si>
  <si>
    <t>FINANSZÍROZÁSI KIADÁSOK ÖSSZESEN</t>
  </si>
  <si>
    <t>Felhalmozási kiadásokra átcsoportosított (-)</t>
  </si>
  <si>
    <t>Áru- és készletértékesítésből</t>
  </si>
  <si>
    <t>Irányítószervi támogatás</t>
  </si>
  <si>
    <t xml:space="preserve">Irányítószervi támogatás </t>
  </si>
  <si>
    <t>Finanszírozási kiadások</t>
  </si>
  <si>
    <t>Beruházás</t>
  </si>
  <si>
    <t>Felújítás</t>
  </si>
  <si>
    <t>Felhalmozási célú átvett pénzeszközök (államháztartáson belülről)</t>
  </si>
  <si>
    <t>Egyéb felhalmozási kiadás</t>
  </si>
  <si>
    <t>Vissza nem térítendő támogatás</t>
  </si>
  <si>
    <t>Mindösszesen</t>
  </si>
  <si>
    <t>Áru- és készletértékesítés (a döntést követő 3 hónap utáni föld- és ingatlan
értékesítés)</t>
  </si>
  <si>
    <t>Működési bevételekből átcsoportosított (+)</t>
  </si>
  <si>
    <t>Hiány finanszírozása belső forrásból</t>
  </si>
  <si>
    <t>Bevételek</t>
  </si>
  <si>
    <t>Önkormányzat</t>
  </si>
  <si>
    <t>Tatai Közös Önkormányzati Hivatal</t>
  </si>
  <si>
    <t>Összesen</t>
  </si>
  <si>
    <t xml:space="preserve"> - állami támogatás működésre</t>
  </si>
  <si>
    <t xml:space="preserve"> - állami támogatás felhalmozásra</t>
  </si>
  <si>
    <t>Működési célú támogatások államháztartáson belülről</t>
  </si>
  <si>
    <t>Közhatalmi bevétel</t>
  </si>
  <si>
    <t xml:space="preserve"> - Építményadó</t>
  </si>
  <si>
    <t xml:space="preserve"> - Telekadó</t>
  </si>
  <si>
    <t>Termékek és szolgáltatások adói</t>
  </si>
  <si>
    <t xml:space="preserve"> - Iparűzési adó</t>
  </si>
  <si>
    <t xml:space="preserve"> - Gépjárműadó</t>
  </si>
  <si>
    <t xml:space="preserve"> - Idegenforgalmi adó</t>
  </si>
  <si>
    <t>Szolgáltatások ellenértéke (temető fenntartási hozzájárulás, sírhelydíj, nevezési díj)</t>
  </si>
  <si>
    <t>Tulajdonosi bevételek (használatba adásból, üzemeltetésbe adásból származó bevételek, stb.)</t>
  </si>
  <si>
    <t>Visszatérítendő támogatások és kölcsönök (igénylés és visszatérülés)</t>
  </si>
  <si>
    <t>Állami támogatás megelőlegezési hitelfelvétel</t>
  </si>
  <si>
    <t>Intézmények Gazdasági Hivatala
és a hozzá tartozó Intézményei</t>
  </si>
  <si>
    <t>Talajterhelési díj</t>
  </si>
  <si>
    <t>Kiadások</t>
  </si>
  <si>
    <t>Munkaadót terhelő járulékok és szociális hozzájárulási adó</t>
  </si>
  <si>
    <t xml:space="preserve"> - Működési tartalék </t>
  </si>
  <si>
    <t xml:space="preserve">Felhalmozási tartalékok </t>
  </si>
  <si>
    <t>MŰKÖDÉSI CÉLÚ BEVÉTELEK ÖSSZESEN</t>
  </si>
  <si>
    <t>FELHALMOZÁSI CÉLÚ BEVÉTELEK ÖSSZESEN</t>
  </si>
  <si>
    <t>FELHALMOZÁSI CÉLÚ KIADÁSOK ÖSSZESEN</t>
  </si>
  <si>
    <t>MŰKÖDÉSI CÉLÚ KIADÁSOK ÖSSZESEN</t>
  </si>
  <si>
    <t>Állami támogatás megelőlegezési hiteltörlesztés</t>
  </si>
  <si>
    <t>Irányítószervi támogatás folyósítása</t>
  </si>
  <si>
    <t>Bevétel</t>
  </si>
  <si>
    <t>Kiadás</t>
  </si>
  <si>
    <t>Működési kiadások</t>
  </si>
  <si>
    <t>Felhalmozási kiadások</t>
  </si>
  <si>
    <t>Dologi</t>
  </si>
  <si>
    <t>Államigazgatás</t>
  </si>
  <si>
    <t>Kötelező</t>
  </si>
  <si>
    <t>Köztemető fenntartás és működtetés</t>
  </si>
  <si>
    <t>Közterület rendjének fenntartása</t>
  </si>
  <si>
    <t>Erdőgazdálkodás</t>
  </si>
  <si>
    <t>Környezetszennyezés csökkentésének igazgatása</t>
  </si>
  <si>
    <t>Közvilágítás</t>
  </si>
  <si>
    <t>Szabadidős park, fürdő és strandszolgáltatás</t>
  </si>
  <si>
    <t>M.adókat
terh. jár.
és szochó</t>
  </si>
  <si>
    <t>Dologi
kiadások</t>
  </si>
  <si>
    <t>Egyéb
működési
kiadások</t>
  </si>
  <si>
    <t>Ellátottak
pénzbeli
juttatásai</t>
  </si>
  <si>
    <t>Egyéb fel-
halmozási
kiadások</t>
  </si>
  <si>
    <t>Felhalmo-
zási tarta-
lékok</t>
  </si>
  <si>
    <t>Hitel- és
kölcsön
törlesztés</t>
  </si>
  <si>
    <t>Költségvetési
szerveknek
folyósított
támogatás</t>
  </si>
  <si>
    <t>Kötelező összesen</t>
  </si>
  <si>
    <t>Államigazgatás összesen</t>
  </si>
  <si>
    <t>Tatai székhely</t>
  </si>
  <si>
    <t>Tatai székhely összesen</t>
  </si>
  <si>
    <t>Neszmélyi kirendeltség</t>
  </si>
  <si>
    <t>Dunaalmási kirendeltség</t>
  </si>
  <si>
    <t>Dunaszentmiklósi kirendeltség</t>
  </si>
  <si>
    <t>Kirendeltségek összesen</t>
  </si>
  <si>
    <t>Közös Hivatal összesen</t>
  </si>
  <si>
    <t>Költségvetési alcím megnevezése</t>
  </si>
  <si>
    <t>Feladat jellege</t>
  </si>
  <si>
    <t>ÁFA</t>
  </si>
  <si>
    <t>Kiadások összesen</t>
  </si>
  <si>
    <t>Tatai Kincseskert Óvoda Szivárvány Tagintézménye</t>
  </si>
  <si>
    <t>Tatai Geszti Óvoda</t>
  </si>
  <si>
    <t>Tatai Bartók Béla Óvoda</t>
  </si>
  <si>
    <t>Tatai Kertvárosi Óvoda</t>
  </si>
  <si>
    <t xml:space="preserve"> Tatai Kincseskert Óvoda</t>
  </si>
  <si>
    <t>Tatai Geszti Óvoda Bergengócia Tagintézménye</t>
  </si>
  <si>
    <t xml:space="preserve"> Tatai Csillagsziget Bölcsöde</t>
  </si>
  <si>
    <t>Tatai Vaszary J. Általános Iskola</t>
  </si>
  <si>
    <t>Vaszary J. Általános Iskola Jázmin utcai Tagintézménye</t>
  </si>
  <si>
    <t>Tatai Vaszary J. Általános Iskola ÖSSZESEN</t>
  </si>
  <si>
    <t>Tatai Kőkúti Általános Iskola</t>
  </si>
  <si>
    <t>Kőkúti Általános Iskola - Fazekas utcai Tagintézmény</t>
  </si>
  <si>
    <t>Tatai Kőkúti Általános Iskola ÖSSZESEN</t>
  </si>
  <si>
    <t>KEM-i Óvoda, Ált. Iskola, Speciális Szakiskola, Kollégium és Gyermekotthon</t>
  </si>
  <si>
    <t>Intézmények Gazdasági Hivatala</t>
  </si>
  <si>
    <t>Önként vállalt feladat</t>
  </si>
  <si>
    <t>ISKOLÁK és IGH ÖSSZESEN</t>
  </si>
  <si>
    <t>Tatai Kuny Domokos Múzeum</t>
  </si>
  <si>
    <t>Tata Móricz Zsigmond Városi Könyvtár</t>
  </si>
  <si>
    <t>Tatai Egészségügyi Alapellátó Intézmény</t>
  </si>
  <si>
    <t>IGH feladatkörébe tartozó kötelező feladatok</t>
  </si>
  <si>
    <t>IGH feladatkörébe tartozó önként vállalt  feladatok</t>
  </si>
  <si>
    <t>Pályázatok és azokhoz kapcsolódó feladatok</t>
  </si>
  <si>
    <t>A helyi gazdaság erőforrásaira épülő piac- és agrárlogisztikai fejlesztés Tatán TOP-1.1.3-15-KO1-2016-00003</t>
  </si>
  <si>
    <t>Intézmények Gazdasági Hivatala és a hozzá tartozó költségvetési szervek</t>
  </si>
  <si>
    <t>Tatai fiatalok életkezdési támogatása</t>
  </si>
  <si>
    <t xml:space="preserve">18. életévét betöltött tartósan beteg hozzátartozójának ápolását, gondozását végző személy részére </t>
  </si>
  <si>
    <t xml:space="preserve">Gyógyszer kiadások viseléséhez </t>
  </si>
  <si>
    <t>Lakhatáshoz kapcsolódó rendszeres kiadások viseléséhez</t>
  </si>
  <si>
    <t xml:space="preserve">Bursa Hungarica </t>
  </si>
  <si>
    <t>Rászorultságtól függő pénzbeli szociális, gyermekvédelmi ellátások összesen</t>
  </si>
  <si>
    <t>Köztemetés</t>
  </si>
  <si>
    <t>Természetben nyújtott ellátások összesen</t>
  </si>
  <si>
    <t>Önkormányzat által folyósított szociális, gyermekvédelmi ellátások összesen</t>
  </si>
  <si>
    <t>TATA VÁROS ÖNKORMÁNYZATA</t>
  </si>
  <si>
    <t>Működési célú támogatások államháztartáson belülre (vissza nem térítendő)</t>
  </si>
  <si>
    <t>Működési célú támogatások államháztartáson kívülre (vissza nem térítendő)</t>
  </si>
  <si>
    <t>Környezetvédelmi Alap</t>
  </si>
  <si>
    <t>Működési célú visszatérítendő támogatások, kölcsönök nyújtása államháztartáson kívülre</t>
  </si>
  <si>
    <t>TATAI KÖZÖS ÖNKORMÁNYZATI HIVATAL</t>
  </si>
  <si>
    <t>Felhalmozási célú visszatérítendő támogatások, kölcsönök nyújtása államháztartáson kívülre</t>
  </si>
  <si>
    <t>Működési célú visszatérítendő támogatások, kölcsönök nyújtása összesen</t>
  </si>
  <si>
    <t>MŰKÖDÉSI CÉLÚ TÁMOGATÁSOK (VISSZATÉRÍTENDŐ ÉS VISSZA NEM TÉRÍTENDŐ) ÖSSZESEN</t>
  </si>
  <si>
    <t>FELHALMOZÁSI CÉLÚ TÁMOGATÁSOK (VISSZATÉRÍTENDŐ ÉS VISSZA NEM TÉRÍTENDŐ) ÖSSZESEN</t>
  </si>
  <si>
    <t>Működési célú támogatások államháztartáson belülről (vissza nem térítendő)</t>
  </si>
  <si>
    <t>Működési célú visszatérítendő támogatások, kölcsönök visszatérülése államháztartáson kívülről</t>
  </si>
  <si>
    <t>Felhalmozási célú támogatások államháztartáson belülről (vissza nem térítendő)</t>
  </si>
  <si>
    <t>Felhalmozási célú visszatérítendő támogatások, kölcsönök visszatérülése államháztartáson kívülről</t>
  </si>
  <si>
    <t>Működési célú visszatérítendő támogatások, átvett pénzeszközök összesen</t>
  </si>
  <si>
    <t>Működési célú vissza nem térítendő támogatások összesen</t>
  </si>
  <si>
    <t>Felhalmozási célú vissza nem térítendő támogatások összesen</t>
  </si>
  <si>
    <t>Felhalmozási célú visszatérítendő támogatások összesen</t>
  </si>
  <si>
    <t>Önkormányzati költségvetési szervek engedélyezett létszáma</t>
  </si>
  <si>
    <t>Költségvetési szervek megnevezése</t>
  </si>
  <si>
    <t>Engedélyezett létszám (fő)</t>
  </si>
  <si>
    <t>Tatai Fürdő utcai Óvoda</t>
  </si>
  <si>
    <t>Tatai Geszti Óvoda - Agostyáni Tagintézménye</t>
  </si>
  <si>
    <t>Tatai Geszti Óvoda összesen</t>
  </si>
  <si>
    <t>Tatai Bartók Béla úti Óvoda</t>
  </si>
  <si>
    <t>Tatai Kincseskert Óvoda</t>
  </si>
  <si>
    <t>Tatai Kincseskert Óvoda - Szivárvány Tagintézménye</t>
  </si>
  <si>
    <t>Tatai Kincseskert Óvoda összesen</t>
  </si>
  <si>
    <t>Óvodák összesen</t>
  </si>
  <si>
    <t>Csillagsziget Bölcsőde</t>
  </si>
  <si>
    <t>Móricz Zsigmond Könyvtár</t>
  </si>
  <si>
    <t xml:space="preserve">Intézmények Gazdasági Hivatala </t>
  </si>
  <si>
    <t>Kuny Domokos Múzeum</t>
  </si>
  <si>
    <t>Hosszabb időtartamú közfoglalkoztatás</t>
  </si>
  <si>
    <t>Városi Önkormányzat Intézményei összesen</t>
  </si>
  <si>
    <t xml:space="preserve"> - Dunaszentmiklósi kirendeltség</t>
  </si>
  <si>
    <t xml:space="preserve"> - Dunaalmási kirendeltség</t>
  </si>
  <si>
    <t xml:space="preserve"> - Közös Hivatal székhely szerinti szervezeti egysége</t>
  </si>
  <si>
    <t xml:space="preserve"> - Neszmélyi kirendeltség</t>
  </si>
  <si>
    <t>Tatai Közös Önkormányzati Hivatal összesen</t>
  </si>
  <si>
    <t>Önkormányzati közfoglalkoztatottak éves létszám-előirányzata</t>
  </si>
  <si>
    <t>Átlagos létszám</t>
  </si>
  <si>
    <t>törlesztés</t>
  </si>
  <si>
    <t>kamat</t>
  </si>
  <si>
    <t>Tartozás 2020.</t>
  </si>
  <si>
    <t>Tartozás 2021.</t>
  </si>
  <si>
    <t>Tartozás 2022.</t>
  </si>
  <si>
    <t>Tartozás 2023.</t>
  </si>
  <si>
    <t>Tartozás 2024.</t>
  </si>
  <si>
    <t>2021.</t>
  </si>
  <si>
    <t>2022.</t>
  </si>
  <si>
    <t>2023.</t>
  </si>
  <si>
    <t>Tulajdonosi bevétel (használatba adásból, üzemeltetésbe adásból származó bevétel)</t>
  </si>
  <si>
    <t>Tárgyi eszközök, immateriális javak, és önkormányzati vagyonértékesítésből származó bevétel (ÁFA nélküli, csak önkormányzat)</t>
  </si>
  <si>
    <t>SAJÁT BEVÉTELEK</t>
  </si>
  <si>
    <t>Saját bevételek 50 %-a</t>
  </si>
  <si>
    <t>Hosszú lejáratú hitel tőke és kamatfizetési kötelezettsége</t>
  </si>
  <si>
    <t>Tárgyévben keletkezett, illetve keletkező, tárgyévet terhelő fizetési kötelezettség</t>
  </si>
  <si>
    <t>FIZETÉSI KÖTELEZETTSÉG ÖSSZESEN</t>
  </si>
  <si>
    <t>Járulék</t>
  </si>
  <si>
    <t>a helyi önkormányzatok feladatainak állami támogatásához</t>
  </si>
  <si>
    <t>Jogcímek megnevezése</t>
  </si>
  <si>
    <t>2.mell. I.</t>
  </si>
  <si>
    <t>A HELYI ÖNKORMÁNYZATOK MŰKÖDÉSÉNEK ÁLTALÁNOS TÁMOGATÁSA</t>
  </si>
  <si>
    <t>I.1.a)</t>
  </si>
  <si>
    <t>fő</t>
  </si>
  <si>
    <t>Önkormányzati Hivatal működésének támogatása beszámítás után</t>
  </si>
  <si>
    <t>I.1.b)</t>
  </si>
  <si>
    <t>I.1.ba)</t>
  </si>
  <si>
    <t>ha</t>
  </si>
  <si>
    <t>I.1.bb)</t>
  </si>
  <si>
    <t>km</t>
  </si>
  <si>
    <t>I.1.bc)</t>
  </si>
  <si>
    <t>m2</t>
  </si>
  <si>
    <t>I.1.bd)</t>
  </si>
  <si>
    <t>Település-üzemeltetéshez kapcsolódó feladatellátás támogatása összesen</t>
  </si>
  <si>
    <t>I.1.c)</t>
  </si>
  <si>
    <t>I.1.d)</t>
  </si>
  <si>
    <t>Lakott külterülettel kapcsolatos feladatok támogatása</t>
  </si>
  <si>
    <t>I.1.e)</t>
  </si>
  <si>
    <t>id.f.adóft</t>
  </si>
  <si>
    <t>I.1.</t>
  </si>
  <si>
    <t>II.1.</t>
  </si>
  <si>
    <t>Óvodapedagógusok, és az óvodapedagógusok nevelő munkáját közvetlenül segítők bértámogatása összesen</t>
  </si>
  <si>
    <t xml:space="preserve">II.2. </t>
  </si>
  <si>
    <t>Óvodaműködtetési támogatás</t>
  </si>
  <si>
    <t>Óvodaműködtetési támogatás összesen</t>
  </si>
  <si>
    <t>II.4.</t>
  </si>
  <si>
    <t>Kiegészítő támogatás az óvodapedagógusok minősítéséből adódó többletkiadásokhoz</t>
  </si>
  <si>
    <t>2.mell. II.</t>
  </si>
  <si>
    <t>III.1.</t>
  </si>
  <si>
    <t>III.3.</t>
  </si>
  <si>
    <t>III.3.a)</t>
  </si>
  <si>
    <t>III.3.b)</t>
  </si>
  <si>
    <t>fhely</t>
  </si>
  <si>
    <t>felad.egység</t>
  </si>
  <si>
    <t>Közösségi alapellátások - teljesítménytámogatás</t>
  </si>
  <si>
    <t>Ft/feladategység</t>
  </si>
  <si>
    <t>Óvodai és iskolai szoc. segítő tevékenység támogatása (család- és gyjóléti központ útján)</t>
  </si>
  <si>
    <t>III.4.</t>
  </si>
  <si>
    <t xml:space="preserve">III.5. </t>
  </si>
  <si>
    <t>Gyermekétkeztetés támogatása</t>
  </si>
  <si>
    <t>fő/év</t>
  </si>
  <si>
    <t>Gyermekétkeztetés támogatása összesen</t>
  </si>
  <si>
    <t>Felsőfőkú végzettségű kisgyermeknevelők, szaktanácsadók bértámogatása (szoc.hj.adóval)</t>
  </si>
  <si>
    <t xml:space="preserve">2.mell. III. </t>
  </si>
  <si>
    <t>A települési önkormányzatok szociális és gyermekjóléti feladatainak támogatása</t>
  </si>
  <si>
    <t>IV.</t>
  </si>
  <si>
    <t>A TELEPÜLÉSI ÖNKORMÁNYZATOK KULTURÁLIS FELADATAINAK TÁMOGATÁSA</t>
  </si>
  <si>
    <t>Kulturális illetménypótlék</t>
  </si>
  <si>
    <t>2.mell. IV.</t>
  </si>
  <si>
    <t>A települési önkormányzatok kulturális feladatainak támogatása</t>
  </si>
  <si>
    <t>2.mell. V.</t>
  </si>
  <si>
    <t>Csökkentések jogcímek szerint:</t>
  </si>
  <si>
    <t>MŰKÖDÉSI TARTALÉK</t>
  </si>
  <si>
    <t>Általános tartalék</t>
  </si>
  <si>
    <t>Működési tartalék</t>
  </si>
  <si>
    <t>Működési céltartalék</t>
  </si>
  <si>
    <t>FELHALMOZÁSI TARTALÉK</t>
  </si>
  <si>
    <t>Felhalmozási tartalék</t>
  </si>
  <si>
    <t>MINDÖSSZESEN</t>
  </si>
  <si>
    <t>Tata Város Önkormányzat Európai Uniós támogatással megvalósuló projektjei (E Ft-ban)*</t>
  </si>
  <si>
    <t>EU-s projekt neve</t>
  </si>
  <si>
    <t>Azonosítója</t>
  </si>
  <si>
    <t>A tatai Kőfaragó-ház kézműves és aktív öktoturisztikai látogatóközpontként való rehabilitációja és a Kálvária-domb egységes turisztikai termékcsomagként való bemutatása</t>
  </si>
  <si>
    <t>TOP-1.2.1-15-KO1-2016-00005</t>
  </si>
  <si>
    <t>Csillagsziget Bölcsőde felújítása Tatán</t>
  </si>
  <si>
    <t>TOP-1.4.1-15-KO1-2016-00020</t>
  </si>
  <si>
    <t>A helyi gazdaság erőforrásaira épülő piac- és agrárlogisztikai fejlesztés Tatán</t>
  </si>
  <si>
    <t>TOP-1.1.3-15-KO1-2016-00003</t>
  </si>
  <si>
    <t>Helyi alapanyagokra épülő minőségi közétkeztetésért - iskolai konyhák hálózatos fejlesztése Tatán</t>
  </si>
  <si>
    <t>TOP-1.1.3-15-KO1-2016-00002</t>
  </si>
  <si>
    <t>SKHU/1601/1.1/209</t>
  </si>
  <si>
    <t>SKHU/1601/2.2.1/109</t>
  </si>
  <si>
    <t>Nők munkaerő-piaci támogatása Tatán (a Tatai Közös Hivatal pályázata)</t>
  </si>
  <si>
    <t>EFOP-1.2.9-17-2017-00026</t>
  </si>
  <si>
    <t>A tatai Szivárvány Óvoda épületenergetikai megújítása</t>
  </si>
  <si>
    <t>TOP-3.2.1-16-KO1-2017-00007</t>
  </si>
  <si>
    <t>TOP-3.2.1-16-KO1-2017-00001</t>
  </si>
  <si>
    <t>Angolkert Malomkert – Angolkerti rehabilitáció III. üteme</t>
  </si>
  <si>
    <t>TOP-1.2.1-16-KO1-2017-00003</t>
  </si>
  <si>
    <t>TOP-3.1.1-16-KE1-2017-00004</t>
  </si>
  <si>
    <t>TOP-5.3.1-16-KO1-2017-00002</t>
  </si>
  <si>
    <t>Inkubátorház építése Tatán</t>
  </si>
  <si>
    <t>TOP-1.1.2-16-KO1-2017-00002</t>
  </si>
  <si>
    <t>EFOP-1.5.2-16-2017-00043</t>
  </si>
  <si>
    <t>A jövő nemzedék közösség és személyiség fejlesztése Tatán</t>
  </si>
  <si>
    <t>EFOP-3.3.2-16-2016-00195</t>
  </si>
  <si>
    <t>Programok az életen át tartó tanulás jegyében Tatán</t>
  </si>
  <si>
    <t>EFOP-3.7.3-16-2017-00254</t>
  </si>
  <si>
    <t>Bölcsődei szakemberek szakmai fejlesztése a Tatai járásban</t>
  </si>
  <si>
    <t>EFOP-1.9.9-17-2017-00006</t>
  </si>
  <si>
    <t>ÖNKORMÁNYZATI TÁMOGATÁSOK MINDÖSSZESEN</t>
  </si>
  <si>
    <t>KÖZÖS ÖNKORMÁNYZATI HIVATALI TÁMOGATÁSOK MINDÖSSZESEN</t>
  </si>
  <si>
    <t>KÖZÖS ÖNKORMÁNYZATI HIVATALI TÁMOGATÁSOK ÉS ÁTVETT PÉNZESZKÖZÖK MINDÖSSZESEN</t>
  </si>
  <si>
    <t>ÖNKORMÁNYZATI TÁMOGATÁSOK ÉS ÁTVETT PÉNZESZKÖZÖK MINDÖSSZESEN</t>
  </si>
  <si>
    <t>Személyi
juttatások</t>
  </si>
  <si>
    <t>Tatai Közös
Önkormányzati Hivatal</t>
  </si>
  <si>
    <t>Beruházás (ÁFA-val)</t>
  </si>
  <si>
    <t>Felújítás (ÁFA-val)</t>
  </si>
  <si>
    <t>Előző évi költségvetési maradvány igénybevétele</t>
  </si>
  <si>
    <t>Elvonások és befizetések bevételei</t>
  </si>
  <si>
    <t>Adó- és egyéb bírság</t>
  </si>
  <si>
    <t>Kamatbevétel, árfolyamnyereség</t>
  </si>
  <si>
    <t>Egyéb tárgyi eszközök értékesítése</t>
  </si>
  <si>
    <t>Oktatási és Kulturális Alap</t>
  </si>
  <si>
    <t>Felhalmozási célú támogatások államháztartáson belülre (vissza nem térítendő)</t>
  </si>
  <si>
    <t>Programok az életen át tartó tanulás jegyében Tatán EFOP-3.7.3-16-2017-00254</t>
  </si>
  <si>
    <t>Tartalék</t>
  </si>
  <si>
    <t>Összes
forrás</t>
  </si>
  <si>
    <t>Összes forrásból:</t>
  </si>
  <si>
    <t>Összes
kiadás</t>
  </si>
  <si>
    <t>Önerő</t>
  </si>
  <si>
    <t>EU-s forrás támogatási szerződés szerint</t>
  </si>
  <si>
    <t>1101-5101</t>
  </si>
  <si>
    <t>1102-5102</t>
  </si>
  <si>
    <t>1103-5103</t>
  </si>
  <si>
    <t>1104-5104</t>
  </si>
  <si>
    <t>1105-5105</t>
  </si>
  <si>
    <t>1106-5106</t>
  </si>
  <si>
    <t>Városüzemeltetés és vagyongazdálkodás</t>
  </si>
  <si>
    <t>1107-5107</t>
  </si>
  <si>
    <t>1108-5108</t>
  </si>
  <si>
    <t>Balatonvilágos üdülő</t>
  </si>
  <si>
    <t>1109-5109</t>
  </si>
  <si>
    <t>Balatonfüred üdülő</t>
  </si>
  <si>
    <t>1110-5110</t>
  </si>
  <si>
    <t>Fényes-fürdő üdülő</t>
  </si>
  <si>
    <t>Önként vállalt</t>
  </si>
  <si>
    <t>1111-5111</t>
  </si>
  <si>
    <t>Igazgatási és egyéb tevékenység</t>
  </si>
  <si>
    <t>Adóigazgatás</t>
  </si>
  <si>
    <t xml:space="preserve">Állampolgársági ügyek </t>
  </si>
  <si>
    <t>Munkáltatói kölcsön</t>
  </si>
  <si>
    <t>1401-5401</t>
  </si>
  <si>
    <t>Építés-hatóság</t>
  </si>
  <si>
    <t>Hitelek</t>
  </si>
  <si>
    <t>Adóbevételek</t>
  </si>
  <si>
    <t>1003-5003</t>
  </si>
  <si>
    <t>1004-5004</t>
  </si>
  <si>
    <t>1005-5005</t>
  </si>
  <si>
    <t>1007-5007</t>
  </si>
  <si>
    <t>Közfoglalkoztatás</t>
  </si>
  <si>
    <t>1008-5008</t>
  </si>
  <si>
    <t>Közutak építése, üzemeltetése, fenntartása</t>
  </si>
  <si>
    <t>1009-5009</t>
  </si>
  <si>
    <t>1010-5010</t>
  </si>
  <si>
    <t>Hulladékgazdálkodás</t>
  </si>
  <si>
    <t>1011-5011</t>
  </si>
  <si>
    <t>Szennyvízgazdálkodás</t>
  </si>
  <si>
    <t>1012-5012</t>
  </si>
  <si>
    <t>1013-5013</t>
  </si>
  <si>
    <t>Vízellátással kapcsolatos közmű építése, fenntartása, üzemeltetése</t>
  </si>
  <si>
    <t>1014-5014</t>
  </si>
  <si>
    <t>1015-5015</t>
  </si>
  <si>
    <t>Játszóterek fenntartása</t>
  </si>
  <si>
    <t>1016-5016</t>
  </si>
  <si>
    <t>Parkfenntartás</t>
  </si>
  <si>
    <t>1018-5018</t>
  </si>
  <si>
    <t>Közbeszerzések</t>
  </si>
  <si>
    <t>Építésügy</t>
  </si>
  <si>
    <t>1017-5017</t>
  </si>
  <si>
    <t>1019-5019</t>
  </si>
  <si>
    <t>Város- községgazdálkodás</t>
  </si>
  <si>
    <t>1020-5020</t>
  </si>
  <si>
    <t>Pályázati előkészítések</t>
  </si>
  <si>
    <t>1025-5025</t>
  </si>
  <si>
    <t>Egyéb szervezetek támogatása</t>
  </si>
  <si>
    <t>1026-1026</t>
  </si>
  <si>
    <t>Nemzeti ünnepek</t>
  </si>
  <si>
    <t>1029-5029</t>
  </si>
  <si>
    <t>1030-5030</t>
  </si>
  <si>
    <t>Városi ünnepek</t>
  </si>
  <si>
    <t>1031-5031</t>
  </si>
  <si>
    <t>Városi kitüntetések</t>
  </si>
  <si>
    <t>1032-5032</t>
  </si>
  <si>
    <t>Minimaraton</t>
  </si>
  <si>
    <t>1035-5035</t>
  </si>
  <si>
    <t>Kommunikációs tevékenység</t>
  </si>
  <si>
    <t>1036-5036</t>
  </si>
  <si>
    <t>1038-5038</t>
  </si>
  <si>
    <t>1021-5021</t>
  </si>
  <si>
    <t>Szociális ellátások támogatása</t>
  </si>
  <si>
    <t>Önkormányzati lakások és garázsok</t>
  </si>
  <si>
    <t>1022-5022</t>
  </si>
  <si>
    <t>1033-5033</t>
  </si>
  <si>
    <t>Nemzetközi feladatok</t>
  </si>
  <si>
    <t>1034-5034</t>
  </si>
  <si>
    <t>Sporttevékenység</t>
  </si>
  <si>
    <t>1037-5037</t>
  </si>
  <si>
    <t>Gyermek-és ifjúságügy</t>
  </si>
  <si>
    <t>1027-5027</t>
  </si>
  <si>
    <t>1028-5028</t>
  </si>
  <si>
    <t>Egészségvédelmi-, Szociális és Sportalap</t>
  </si>
  <si>
    <t>1024-5024</t>
  </si>
  <si>
    <t>Visszatérítendő támogatások</t>
  </si>
  <si>
    <t>1002-5002</t>
  </si>
  <si>
    <t>1001-5001</t>
  </si>
  <si>
    <t>1006-5006</t>
  </si>
  <si>
    <t>Önkormányzati vagyonnal való gazdálkodás</t>
  </si>
  <si>
    <t>1023-5023</t>
  </si>
  <si>
    <t>Önkormányzati feladatok ellátásának támogatása</t>
  </si>
  <si>
    <t>EFOP-1.5.2-16-2017-00043 Humán szolgáltatások fejlesztése Magyary Zoltán mintajárásban</t>
  </si>
  <si>
    <t>EFOP-1.9.9-17-2017-00006 Bölcsődei szakemberek szakmai fejlesztése a Tatai járásban</t>
  </si>
  <si>
    <t>EFOP-3.3.2-16-2016-00195 A jövő nemzedék közösség és személyiség fejlesztése Tatán</t>
  </si>
  <si>
    <t>EFOP-3.7.3-16-2017-00254 Programok az életen át tartó tanulás jegyében Tatán</t>
  </si>
  <si>
    <t>TOP-1.1.2-16-KO1-2017-00002 Inkubátorház építése Tatán</t>
  </si>
  <si>
    <t>TOP-1.1.3-15-KO1-2016-00002 Helyi alapanyagokra épülő közétkeztetés</t>
  </si>
  <si>
    <t>TOP-1.1.3-15-KO1-2016-00003 Helyi gazdaság erőforrásaira épülő piac és agrárlogisztikai fejlesztés Tatán</t>
  </si>
  <si>
    <t>TOP-1.2.1-15-KO1-2016-00005 A Tatai Kőfaragó-ház rehabilitációja</t>
  </si>
  <si>
    <t>TOP-1.2.1-16-KO1-2017-00003 Angolkert Malomkert - Angolkerti rehabilitáció III. üteme</t>
  </si>
  <si>
    <t>TOP-1.4.1-15-KO1-2016-00020 Csillagsziget Bölcsőde felújítása Tatán</t>
  </si>
  <si>
    <t>TOP-3.1.1-16-KO-2017-0004 Haranglábtól-Agostyánig, Tata Országgyűlés tértől Agostyán városrészig létesítendő kerékpárút I. ütem</t>
  </si>
  <si>
    <t>TOP-3.2.1-16-KO1-2017-00001 Tatai Kertvárosi Óvoda épületenergetikai megújítása</t>
  </si>
  <si>
    <t>TOP-3.2.1-16-KO1-2017-00007 A tatai Szivárvány Óvoda épületenergetikai megújítása</t>
  </si>
  <si>
    <t>TOP-5.3.1-16-KO1-2017-00002 Helyi identitás és kohézió erősítése Tata és környéke Borvidéken</t>
  </si>
  <si>
    <t>1112-5112</t>
  </si>
  <si>
    <t>1113-5113</t>
  </si>
  <si>
    <t>1114-5114</t>
  </si>
  <si>
    <t>1117-5117</t>
  </si>
  <si>
    <t>1118-5118</t>
  </si>
  <si>
    <t>1119-5119</t>
  </si>
  <si>
    <t>1120-5120</t>
  </si>
  <si>
    <t>Helyi alapanyagokra épülő közétkeztetés  TOP-1.1.3-15-KO1-2016-00002</t>
  </si>
  <si>
    <t>Angolkert Malomkert - Angolkerti rehabilitáció III. üteme - TOP-1.2.1-16-KO1-2017-0003</t>
  </si>
  <si>
    <t xml:space="preserve">A Tatai Kőfaragó-ház rehabilitációja - TOP-1.2.1-15-KO1-2016-00005                                                                              </t>
  </si>
  <si>
    <t>Csillagsziget Bölcsőde felújítása Tatán -TOP-1.4.1-15-KO1-2016-00020</t>
  </si>
  <si>
    <t>Magyarország Együttműködési Program CULTPLAY-Interaktív tematikus parkok létrehozása Interreg V-A Szlovákia</t>
  </si>
  <si>
    <t xml:space="preserve">Haranglából -Agostyánig, Tata Országgyűlés tértől Agostyán városrészig létesítendő kerékpárút I. ütem TOP-3.1.1-16-KO1-2017-00004 </t>
  </si>
  <si>
    <t>Magyarország Együttműködési Program KOMBI-Határon Átnyúló Integrált Kerékpárkölcsönző rendszer Interreg V-A Szlovákia</t>
  </si>
  <si>
    <t>Inkubátorház építés Tatán -TOP-1.1.2-16-KO1-2017-00002</t>
  </si>
  <si>
    <t>A tatai Szivárvány Óvoda épület energetikai megújítása TOP-3.2.1-16-KO1-2017-00007</t>
  </si>
  <si>
    <t>Tatai Kertvárosi Óvoda épületenergetikai megújítása TOP-3.2.1-16-KO1-2017-00001</t>
  </si>
  <si>
    <t>Önként vállalt összesen</t>
  </si>
  <si>
    <t>EFOP-1.2.9-17-2017-00026 Nők a családban és a munkahelyen</t>
  </si>
  <si>
    <t>Csillagsziget Bölcsőde felújítása Tatán - TOP-1.4.1-15-KO1-2016-00020</t>
  </si>
  <si>
    <t>Vis major támogatás</t>
  </si>
  <si>
    <t>2024.</t>
  </si>
  <si>
    <t>Már meglévő adósságot keletkeztető ügyletek</t>
  </si>
  <si>
    <t>Az Önkormányzat már meglévő adósságot keletkeztető ügyleteinek és azok fedezetére felhasználható saját bevételeink
alakulása (E Ft-ban)</t>
  </si>
  <si>
    <t>Tatai Kistérségi Többcélú Társulásnak támogatás (tagdíj, állami támogatás és önkormányzati támogatás)</t>
  </si>
  <si>
    <t>Rendőrségnek</t>
  </si>
  <si>
    <t>Tatai Televízió Közalapítvány támogatása</t>
  </si>
  <si>
    <t>Egészségügyi alapellátás támogatása 5 fogászati körzetre</t>
  </si>
  <si>
    <t>Közösségi közlekedés szolgáltatója részére működési költségtérítés</t>
  </si>
  <si>
    <t>Tatai Vadlúd Sokadalom támogatása</t>
  </si>
  <si>
    <t>Magyar Máltai Szeretetszolgálat Tatai Csoportja</t>
  </si>
  <si>
    <t>Magyar Vöröskereszt Tatai Szervezete</t>
  </si>
  <si>
    <t>Egészségvédelmi-, Szociális- és Sport Alap</t>
  </si>
  <si>
    <t>Színes Iskola Alapítvány tanulójának támogatása</t>
  </si>
  <si>
    <t>Agostyáni Tűzoltó Egyesület támogatása</t>
  </si>
  <si>
    <t>KEM Mentőalapítvány támogatása (tatai mentőállomás)</t>
  </si>
  <si>
    <t>Munkáltatói kölcsön nyújtása</t>
  </si>
  <si>
    <t>Értékvédelmi feladatok támogatása (homlokzat felújítási pályázat)</t>
  </si>
  <si>
    <t>Tatai Városgazda Nonprofit Kft. működési támogatás</t>
  </si>
  <si>
    <t>Rendház Kft. működési támogatás</t>
  </si>
  <si>
    <t>Tatai Városkapu Közhasznú Zrt. támogatása</t>
  </si>
  <si>
    <t>Tata és Környéke Turisztikai Egyesület - Turisztikai Desztinációs Menedzsment működési támogatása</t>
  </si>
  <si>
    <t>Tatai Öreg-tó Kft. részére tagi kölcsön biztosítása</t>
  </si>
  <si>
    <t>Magyar Máltai Szeretetszolgálat máltai játszókert</t>
  </si>
  <si>
    <t>Szociális Háló Közalapítvány támogatása</t>
  </si>
  <si>
    <t>Mozgáskorlátozottak KEM Egyesület támogatása</t>
  </si>
  <si>
    <t xml:space="preserve">OMS-Tata Vívó SE </t>
  </si>
  <si>
    <t>Tatai Sportegyesület támogatása</t>
  </si>
  <si>
    <t>Tatai Mecénás Közalapítvány támogatása</t>
  </si>
  <si>
    <t>TAC működési támogatása</t>
  </si>
  <si>
    <t>Tatai Kistérségi Többcélú Társulástól (belső ellenőrzéshez, infrastrukturális háttér biztosításához)</t>
  </si>
  <si>
    <t>Értékvédelmi feladatokra háztartásnak adott kölcsön visszatérülése</t>
  </si>
  <si>
    <t>Munkaügyi Központtól támogatás</t>
  </si>
  <si>
    <t>Kamatmentes szociális lakossági kölcsön visszatérítés</t>
  </si>
  <si>
    <t>Kölcsön visszatérülés Vis Major</t>
  </si>
  <si>
    <t>Magyarország Együttműködési program CULTPLAY - Interaktív tematikus parkok létrehozása - Interreg V-A Szlovákia</t>
  </si>
  <si>
    <t>Magyarország Együttműködési program KOMBI - Határon átnyúló integrált kerékpárkölcsönző rendszer - Interreg V-A Szlovákia</t>
  </si>
  <si>
    <t>Haranglábtól- Agostyánig, Tata Országgyűlés tértől Agostyán városrészig létesítendő kerékpárút I. ütem - TOP-3.1.1-16-KO1-2017-00004</t>
  </si>
  <si>
    <t>Tatai Kertvárosi Óvoda épületenergetikai megújítása - TOP-3.2.1-16-KO1-2017-00001</t>
  </si>
  <si>
    <t>A tatai Szivárvány Óvoda épületenergetikai megújítása - TOP-3.2.1-16-KO1-2017-00007</t>
  </si>
  <si>
    <t>Helyi identitás és kohézió erősítése Tata és környéke Borvidéken - TOP-5.3.1-16-KO1-2017-00002</t>
  </si>
  <si>
    <t>Munkáltatói kölcsön visszatérülés</t>
  </si>
  <si>
    <t>Működési célú vissza nem térítendő támogatás Dunaalmás Község Önkormányzatától</t>
  </si>
  <si>
    <t>Működési célú vissza nem térítendő támogatás Dunaszentmiklós Község Önkormányzatától</t>
  </si>
  <si>
    <t>Működési célú vissza nem térítendő támogatás Neszmély Község Önkormányzatától</t>
  </si>
  <si>
    <t>Helyi alapanyagokra épülő közétkeztetés - TOP-1.1.3-15-KO1-2016-00002</t>
  </si>
  <si>
    <t>Helyi gazdaság erőforrásaira épülő piac és agrárlogisztikai fejlesztés Tatán - TOP-1.1.3-15-KO1-2016-00003</t>
  </si>
  <si>
    <t>A Tatai Kőfaragó-ház rehabilitációja - TOP-1.2.1-15-KO1-2016-00005</t>
  </si>
  <si>
    <t>Angolkert Malomkert - Angolkerti rehabilitáció III. üteme - TOP-1.2.1-16-KO1-2017-00003</t>
  </si>
  <si>
    <t>A jövő nemzedék közösség és személyiség fejlesztése Tatán - EFOP-3.3.2-16-2016-00195</t>
  </si>
  <si>
    <t>Programok az életen át tartó tanulás jegyében Tatán - EFOP-3.7.3-16-2017-00254</t>
  </si>
  <si>
    <t>Karsztvízszint-emelkedés okozta azonnali intézkedést igénylő feladatok</t>
  </si>
  <si>
    <t>Humán szolgáltatások fejlesztése Magyary Zoltán mintajárásban - EFOP-1.5.2-16-2017-00043</t>
  </si>
  <si>
    <t>Bölcsődei szakemberek szakmai fejlesztése a Tatai járásban - EFOP-1.9.9-17-2017-00006</t>
  </si>
  <si>
    <t>Nők munkaerőpiaci támogatása Tatán - EFOP-1.2.9-17-2017-00026</t>
  </si>
  <si>
    <t>Kiadás, melyre a maradvány fordítódik</t>
  </si>
  <si>
    <t>Felhalmozási céltartalék</t>
  </si>
  <si>
    <t>(kiemelt előirányzatok szerinti részletezésben) E Ft-ban</t>
  </si>
  <si>
    <t>Humán szolgáltatások fejlesztése Magyary Zoltán mintajárásban</t>
  </si>
  <si>
    <t>Haranglábtól- Agostyánig, Tata Országgyűlés tértől Agostyán városrészig létesítendő kerékpárút I. ütem</t>
  </si>
  <si>
    <t>Tatai Kertvárosi Óvoda épületenergetikai megújítása</t>
  </si>
  <si>
    <t>Helyi identitás és kohézió erősítése Tata és környéke Borvidéken</t>
  </si>
  <si>
    <t>Támogatási
szerződés
kötés
időpontja</t>
  </si>
  <si>
    <t>*Adatok forrása: pályázati szintű projektanalitikák, benyújtott pályázatok és megkötött támogatási szerződések</t>
  </si>
  <si>
    <t>Tata Város Önkormányzata</t>
  </si>
  <si>
    <t>I.1.f) Beszámítás (a táblázat alatt részletezve)</t>
  </si>
  <si>
    <t>I.1.f)</t>
  </si>
  <si>
    <t>BESZÁMÍTÁS  ÖSSZESEN</t>
  </si>
  <si>
    <t>Támogató szolgáltatás - teljesítménytámogatás</t>
  </si>
  <si>
    <t>Közösségi alapellátások - alaptámogatás + kieg.támog. III.3. ob)</t>
  </si>
  <si>
    <t>III.4.a)</t>
  </si>
  <si>
    <t>III.4.b)</t>
  </si>
  <si>
    <t>III.5. aa)</t>
  </si>
  <si>
    <t>III.5. ab)</t>
  </si>
  <si>
    <t>Az intézményi gyermekétkeztetés üzemletetési támogatása</t>
  </si>
  <si>
    <t>III.5. b)</t>
  </si>
  <si>
    <t>2. melléklet jogcímeihez: ÁLLAMI TÁMOGATÁS MINDÖSSZESEN</t>
  </si>
  <si>
    <t>Törvény- javaslat hivatk.sz.</t>
  </si>
  <si>
    <t>Mutató</t>
  </si>
  <si>
    <t>Fajlagos összeg Ft/mutató</t>
  </si>
  <si>
    <t>12 hó</t>
  </si>
  <si>
    <t>Fő/számított létszám/év</t>
  </si>
  <si>
    <t>Helyi alapanyagokra épülő közétkeztetés - TOP-1.1.3.-15-KO1-2016-00002</t>
  </si>
  <si>
    <t>A Tatai Kőfaragó-ház rehabilitációja - TOP-1.2.1.-15-KO1-2016-00005</t>
  </si>
  <si>
    <t xml:space="preserve"> - Felhalmozási céltartalék</t>
  </si>
  <si>
    <t>MINDÖSSZESEN BEVÉTEL - IRÁNYÍTÓSZERVI TÁMOGATÁSSAL KORRIGÁLT</t>
  </si>
  <si>
    <t>Korrekció</t>
  </si>
  <si>
    <t>MINDÖSSZESEN KIADÁS - IRÁNYÍTÓSZERVI TÁMOGATÁSSAL KORRIGÁLT</t>
  </si>
  <si>
    <t>EGYENLEG</t>
  </si>
  <si>
    <t>KÖLTSÉGVETÉSI EGYENLEG</t>
  </si>
  <si>
    <t>Működési támogatások</t>
  </si>
  <si>
    <t>Bevételek mindösszesen</t>
  </si>
  <si>
    <t>Tatai Eötvös József Gimnázium és Kollégium</t>
  </si>
  <si>
    <t>mindösszesen</t>
  </si>
  <si>
    <t>Személyi juttatás</t>
  </si>
  <si>
    <t>M.adókat terhelő jár.</t>
  </si>
  <si>
    <t>Költségvetési  alcímek és szakfeladatok ÖSSZESEN</t>
  </si>
  <si>
    <t>Vaszary J. Általános Iskola ÖSSZESEN</t>
  </si>
  <si>
    <t>Vaszary J. Általános Iskola</t>
  </si>
  <si>
    <t>Tartozás 2025</t>
  </si>
  <si>
    <t>Tartozás 2026</t>
  </si>
  <si>
    <t>2025.</t>
  </si>
  <si>
    <t>2026.</t>
  </si>
  <si>
    <t>Arany János Tehetséggondozó Programhoz kapcsolódó szociális támogatás (EFOP-1.5.2-16-2017-00043 Humán szolgáltatások fejlesztése Magyary Zoltán mintajárásában)</t>
  </si>
  <si>
    <t>1501-5501</t>
  </si>
  <si>
    <t xml:space="preserve">Áru és készlet értéke- sítés </t>
  </si>
  <si>
    <t xml:space="preserve">Szolgál- tatások </t>
  </si>
  <si>
    <t>Közve- tített szolgál-tatás</t>
  </si>
  <si>
    <t>Át-vett műkö-dési célra</t>
  </si>
  <si>
    <t>Előző évi át-vétele</t>
  </si>
  <si>
    <t>Finan-szírozás</t>
  </si>
  <si>
    <t>Saját bevé-telek</t>
  </si>
  <si>
    <t>Át-vett fel-hal-mo-zási célra</t>
  </si>
  <si>
    <t>Fel- hal-mo-zási célra</t>
  </si>
  <si>
    <t>Fel-halmo-zási be-vé-tel</t>
  </si>
  <si>
    <t>Pénz-maradvány</t>
  </si>
  <si>
    <t>Pénz-
for-
ga-
lom nél-küli</t>
  </si>
  <si>
    <t>166 394 E Ft</t>
  </si>
  <si>
    <t>572 581 E Ft</t>
  </si>
  <si>
    <t>Megvaló-
sítás
tervezett
befejezése</t>
  </si>
  <si>
    <t>Tárgyévi kiadások előirányzata</t>
  </si>
  <si>
    <t>Haranglábtól- Agostyánig, Tata Országgyűlés tértől Agostyán városrészig létesítendő kerékpárút I. ütem - TOP-3.1.1-16-KE1-2017-00004</t>
  </si>
  <si>
    <t>Kötelezettséggel terhelt pénzmaradvány</t>
  </si>
  <si>
    <t>2016. évi negatív pénzmaradvány</t>
  </si>
  <si>
    <t>EFOP-1.5.2-16-2017-00043 Humán szolgáltatások fejlesztése Magyary Zoltán mintajárásban pályázathoz támogatás</t>
  </si>
  <si>
    <t xml:space="preserve">Elvonások és befizetések bevételei </t>
  </si>
  <si>
    <t>Elszámolás a központ költségvetéssel és költségvetési szerveinkkel</t>
  </si>
  <si>
    <t>Dunalmási kirendeltség</t>
  </si>
  <si>
    <t>Mindöszesen:</t>
  </si>
  <si>
    <t>Mindösszesen:</t>
  </si>
  <si>
    <t>M.adókat
terh. jár.
és szocho</t>
  </si>
  <si>
    <t>Neszmélyi kirendeltség összesen</t>
  </si>
  <si>
    <t>Dunaalmási kirendeltség összesen</t>
  </si>
  <si>
    <t>Dunaszentmiklósi kirendeltség összesen</t>
  </si>
  <si>
    <t>1,55 % kamat</t>
  </si>
  <si>
    <t>Tatai Atlétiaki Club támogatása bekötőút és parkoló kialakításához</t>
  </si>
  <si>
    <t>Felhalmozási célú támogatások államháztartáson kívülre (vissza nem térítendő)</t>
  </si>
  <si>
    <t>Bevétel 2020. év</t>
  </si>
  <si>
    <t>Irányító-szervi támogatás</t>
  </si>
  <si>
    <t>2020.
Eredeti</t>
  </si>
  <si>
    <t>2020. évi kapott visszatérítendő és vissza nem térítendő támogatások és pénzeszközátvételek alakulása Tata Város Önkormányzatánál és a Tatai Közös Önkormányzati Hivatalnál (E Ft-ban)</t>
  </si>
  <si>
    <t>Tata Város Önkormányzata és a Tatai Közös Önkormányzati Hivatal által adott visszatérítendő és vissza nem térítendő
támogatások 2020. évi alakulása (E Ft-ban)</t>
  </si>
  <si>
    <t>Tata Város Önkormányzata által folyósított 2020. évi ellátottak pénzbeli és természetbeni juttatásának
részletezése (E Ft-ban)</t>
  </si>
  <si>
    <t>2020. évi felújítási kiadások célonként (ÁFA-val) E Ft-ban</t>
  </si>
  <si>
    <t>2020. évi beruházási kiadások feladatonként (ÁFA-val) E Ft-ban</t>
  </si>
  <si>
    <t xml:space="preserve"> Tata Város Önkormányzatának 2020. évi közgazdasági mérlege (E Ft-ban)</t>
  </si>
  <si>
    <t>2020. évi működési célú bevételek és kiadások mérlege (E Ft-ban)</t>
  </si>
  <si>
    <t>2020. évi felhalmozási célú bevételek és kiadások mérlege (E Ft-ban)</t>
  </si>
  <si>
    <t>Tata Város Önkormányzata és az általa irányított költségvetési szervek 2020. évi bevételei forrásonként (E Ft-ban)</t>
  </si>
  <si>
    <t xml:space="preserve">Tata Város Önkormányzata és az általa irányított költségvetési szervek 2020. évi kiadásai </t>
  </si>
  <si>
    <t>Tata Város Önkormányzatának 2020. évi költségvetési terve (feladatok és kiemelt előirányzatok szerinti bontásban, E Ft-ban)</t>
  </si>
  <si>
    <t>Tatai Közös Önkormányzati Hivatal 2020. évi költségvetési terve (feladatok és kiemelt előirányzatok szerinti bontásban, E Ft-ban)</t>
  </si>
  <si>
    <t>Intézmények Gazdasági Hivatalához tartozó önállóan működő intézmények 2020. évi költségvetése E Ft-ban</t>
  </si>
  <si>
    <t>Intézmények Gazdasági Hivatalához tartozó  önállóan működő intézmények 2020. évi költségvetése E Ft-ban</t>
  </si>
  <si>
    <t>Egyéb 2020. évi igények</t>
  </si>
  <si>
    <t>Tata Város Önkormányzatának 2020. évi tartalékai (E Ft-ban)</t>
  </si>
  <si>
    <t>Gondnoksági feladatokhoz kapcsolódó nagy értékű tárgyi eszköz beszerzés, klímaberendezések pótlása, cseréje</t>
  </si>
  <si>
    <t>Polgármesteri Hivatal főépületének homlokzati felújítása</t>
  </si>
  <si>
    <t>Polgármesteri Hivatal hátsó udvari parkoló kialakítása</t>
  </si>
  <si>
    <t>Kisértékű tárgyi eszköz beszerzés (bútor, textília, függöny, egyéb)</t>
  </si>
  <si>
    <t>Balatonvilágosi üdülőbe mosogatógép és egyéb konyhai felszerelés</t>
  </si>
  <si>
    <t>Balatonvilágosi üdülő udvar átalakítása, kertépítés</t>
  </si>
  <si>
    <t>Balatonfüredi üdülőbe falra szerelhető klíma berendezés</t>
  </si>
  <si>
    <t>Microsoft Windows 10 Pro-64-bit (40 db)</t>
  </si>
  <si>
    <t>Microsoft Office 2019 Home&amp;Business (15 db)</t>
  </si>
  <si>
    <t>Pons Danubii Európai Területi Együttműködési Csoportosulás visszatérítendő kölcsön visszatérülése</t>
  </si>
  <si>
    <t>DDR4 memória (50 db)</t>
  </si>
  <si>
    <t>SSD (50db)</t>
  </si>
  <si>
    <t>27" monitor (20 db)</t>
  </si>
  <si>
    <t>Vezeték nélküli mikrofon (1 db)</t>
  </si>
  <si>
    <t>Hálózati eszközök (switch, extender)</t>
  </si>
  <si>
    <t>Projektor</t>
  </si>
  <si>
    <t>Internet elérés (50/50Mbit/sec)</t>
  </si>
  <si>
    <t>15,6" Core i3 notebook (8 db)</t>
  </si>
  <si>
    <t>Microsoft Office 2019 Home&amp;Business (8db)</t>
  </si>
  <si>
    <t>Dunaalmási Kirendeltség</t>
  </si>
  <si>
    <t>Tárgyi eszköz beszerzés</t>
  </si>
  <si>
    <t>Térfigyelő kamerarendszer bővítése (Kocsi út, Naszályi-Komáromi út, Szomódi út, Agostyán, Újhegy)</t>
  </si>
  <si>
    <t>Polgármesteri Hivatal hátsó udvar kerítés felújítás (IGH felé)</t>
  </si>
  <si>
    <t>Közterület-felügyelet részére egyéb kisértékű tárgyi eszköz beszerzés</t>
  </si>
  <si>
    <t>Volánbusz Zrt.-vel kötött megállapodás alapján tanulóbérlet</t>
  </si>
  <si>
    <t xml:space="preserve">Rendkívüli települési támogatás </t>
  </si>
  <si>
    <t>Tata Város Önkormányzata 2020. évi költségvetéséhez</t>
  </si>
  <si>
    <t>2020 jan-febr hónapokra előző év létszám alapján</t>
  </si>
  <si>
    <t>2020 márc-dec hónapokra tárgy év létszám alapján</t>
  </si>
  <si>
    <t>2020.évre összesen</t>
  </si>
  <si>
    <t>A zöldterület-gazdálkodással kapcsolatos feladatok ellátásának alaptámogatása</t>
  </si>
  <si>
    <t>Közvilágítás fenntartásának alaptámogatása</t>
  </si>
  <si>
    <t>Köztemető-fenntartással kapcsolatos feladatok alaptámogatása</t>
  </si>
  <si>
    <t>Közutak fenntartásának alaptámogatása</t>
  </si>
  <si>
    <t>A HELYI ÖNKORMÁNYZATOK MŰKÖDÉSÉNEK ÁLT. TÁM. ÖSSZESEN TÁMOGATÁSCSÖKKENTÉS NÉLKÜL</t>
  </si>
  <si>
    <t>A HELYI ÖNKORMÁNYZATOK MŰKÖDÉSÉNEK ÁLT. TÁM. ÖSSZESEN TÁMOGATÁSCSÖKKENTÉS UTÁN</t>
  </si>
  <si>
    <t>A  TELEPÜLÉSI  ÖNKORMÁNYZATOK  EGYES  KÖZNEVELÉSI  FELADATAINAK TÁMOGATÁSA</t>
  </si>
  <si>
    <t>Óvodapedagógusok átlagbérének és közterheinek elismert összege - 12 hónapra</t>
  </si>
  <si>
    <t>Óvodapedagógusok munkáját közvetlenül segítők bértámogatása - 12 hónapra</t>
  </si>
  <si>
    <t xml:space="preserve"> </t>
  </si>
  <si>
    <t>II.2.</t>
  </si>
  <si>
    <t>Óvodaműk. támogatás 8 hónapra: gyermekek nevelése a napi 8 órát eléri           2019. okt.1-jei tény létszám alapján</t>
  </si>
  <si>
    <t>Óvodaműk. támogatás 4 hónapra: gyermekek nevelése a napi 8 órát eléri.           2019. okt.1-jei tény létszám alapján</t>
  </si>
  <si>
    <t>Pedagógusok, akik 2018. dec. 31-ig megszerezték az alapfokú, Ped. II. kategóriát</t>
  </si>
  <si>
    <t>2.mell. III.</t>
  </si>
  <si>
    <t>TELEPÜLÉSI ÖNKORMÁNYZATOK SZOCIÁLIS,GYERMEKJÓLÉTI ÉS GYERMEKÉTKEZTETÉSI FELADATAINAK TÁMOGATÁSA</t>
  </si>
  <si>
    <t>A települési önkormányzatok szociális feladatainak egyéb támogatása 35 000 ft adóerőképesség alatt</t>
  </si>
  <si>
    <t>III.2.</t>
  </si>
  <si>
    <t>Egyes szociális és gyermekjóléti feladatok támogatása:</t>
  </si>
  <si>
    <t>III.2.a)</t>
  </si>
  <si>
    <t xml:space="preserve">Család- és gyermekjóléti szolgálat (2019.01.01. lakos alapján) </t>
  </si>
  <si>
    <t>2020 jan-febr hónapokra</t>
  </si>
  <si>
    <t>2020 márc-dec hónapokra</t>
  </si>
  <si>
    <t>2020. évre összesen</t>
  </si>
  <si>
    <t>III.2.b)</t>
  </si>
  <si>
    <t xml:space="preserve">Család- és gyermekjóléti központ (2019.01.01. lakos alapján)+1 fő EM </t>
  </si>
  <si>
    <t>III.2.c)</t>
  </si>
  <si>
    <t>Szociális étkeztetés - (társulással  65 360 forint/fő +10 %)</t>
  </si>
  <si>
    <t>III.2.da)</t>
  </si>
  <si>
    <t>III.2.db)</t>
  </si>
  <si>
    <t>III.2.f)</t>
  </si>
  <si>
    <t xml:space="preserve">Időskorúak nappali intézményi ellátása - (társulással 190 000 Ft/fő + 50%) </t>
  </si>
  <si>
    <t>III.2.g)</t>
  </si>
  <si>
    <t>Fogyatékosok személyek nappali intézményi ellátása -  (társulással  689 000 forint/fő +10 %)</t>
  </si>
  <si>
    <t>III.2.i)</t>
  </si>
  <si>
    <t>Hajléktalanok nappali intézményi ellátása -(társulással 239 100 Ft/fő + 20%) )</t>
  </si>
  <si>
    <t>III.2.k)</t>
  </si>
  <si>
    <t>Hajléktalanok átmeneti intézményei (átmeneti szállás, éjjeli menedékhely) (társulással 569 350 Ft/fő + 10%) )</t>
  </si>
  <si>
    <t>III.2.l)</t>
  </si>
  <si>
    <t>Támogató szolgáltatás - alaptámogatás</t>
  </si>
  <si>
    <t>III.2.m)</t>
  </si>
  <si>
    <t>III.2.n)</t>
  </si>
  <si>
    <t xml:space="preserve">A járásszékhely  önkormányzatokat  megillető  támogatás  éves  összegét  a  szociál-  és  nyugdíjpolitikáért felelős miniszter 2019. november 30-áig állapítja meg </t>
  </si>
  <si>
    <t>Egyes szociális és gyermekjóléti feladatok támogatása ÖSSZESEN</t>
  </si>
  <si>
    <t>Bölcsőde, mini bölcsőde támogatása</t>
  </si>
  <si>
    <t xml:space="preserve">Bölcsődei dajkák, középfokú végzettségű kisgyermeknevelők </t>
  </si>
  <si>
    <t>Bölcsödei üzemeltetési támogatás</t>
  </si>
  <si>
    <t>A  települési  önkormányzatok  által  biztosított  egyes  szociális  szakosított  ellátásokkal kapcsolatos feladatok támogatása  - Időskorúak Otthona</t>
  </si>
  <si>
    <t>Szakmai dolgozók átlagbérének támogatása</t>
  </si>
  <si>
    <t>Intézményüzemeltetés támogatás</t>
  </si>
  <si>
    <t>az  államháztartásért felelős  miniszter  2019.  december  15-éig  dönt ezért a 2019. májusi jóváhagyott összeggel terveztünk.</t>
  </si>
  <si>
    <t>Kistérségi Időskorúak Otthona állami támogatása összesen</t>
  </si>
  <si>
    <t>Dolgozók átlagbérének támogatása</t>
  </si>
  <si>
    <t>2019. dec15-éig miniszterek döntenek, ezért a 2019. májusijóváhagyott összeggel terveztünk.</t>
  </si>
  <si>
    <t>A rászoruló gyermekek szünidei étkeztetésének támogatása                      Fajlagos összeg az adóerőképesség függvénye</t>
  </si>
  <si>
    <t>IV.b)</t>
  </si>
  <si>
    <t>Szolidaritási hozzájárulás  34 000 ft adóerőképesség felett, a támogatáscsökkentés   beszámítás   alapját   meghaladó   része miatt</t>
  </si>
  <si>
    <t>3.mell. I.</t>
  </si>
  <si>
    <t xml:space="preserve">A HELYI ÖNKORMÁNYZATOK KIEGÉSZÍTŐ TÁMOGATÁSAI    -MŰKÖDÉSI CÉLÚ            </t>
  </si>
  <si>
    <t>I.5</t>
  </si>
  <si>
    <t>A települési önkormányzatok helyi közösségi közlekedésének támogatása -pályázat útján</t>
  </si>
  <si>
    <t>I.11.</t>
  </si>
  <si>
    <t>A költségvetési szerveknél foglalkoztatottak 2019. évi áthúzódó és 2020. évi kompenzációja</t>
  </si>
  <si>
    <t>Eredeti előirányzatként nem tervezhető - Kincstártól havonta pótelőirányzatként</t>
  </si>
  <si>
    <t>I.12.</t>
  </si>
  <si>
    <t>Szociális ágazati összevont pótlék és egészségügyi kiegészítő pótlék</t>
  </si>
  <si>
    <t>I.13.a)</t>
  </si>
  <si>
    <r>
      <rPr>
        <sz val="11"/>
        <color rgb="FF000000"/>
        <rFont val="Times New Roman"/>
        <family val="1"/>
        <charset val="238"/>
      </rPr>
      <t xml:space="preserve">Települési önkormányzatok kulturális feladatainak kiegészítő támogatása             </t>
    </r>
    <r>
      <rPr>
        <b/>
        <sz val="11"/>
        <color rgb="FF000000"/>
        <rFont val="Times New Roman"/>
        <family val="1"/>
        <charset val="238"/>
      </rPr>
      <t xml:space="preserve"> Megyei hatókörű városi múzeumok feladatainak támogatása</t>
    </r>
  </si>
  <si>
    <t xml:space="preserve">Eredeti előirányzatként nem tervezhető </t>
  </si>
  <si>
    <t>I.14.</t>
  </si>
  <si>
    <t xml:space="preserve">A HELYI ÖNKORMÁNYZATOK KIEGÉSZÍTŐ TÁMOGATÁSAI    -MŰKÖDÉSI CÉLÚ  ÖSSZESEN       </t>
  </si>
  <si>
    <t>BESZÁMÍTÁS KISZÁMÍTÁSA SORREND SZERINT</t>
  </si>
  <si>
    <t xml:space="preserve">Beszámitás max.összege/beszám.alapja   583.274.472,7  Ft   </t>
  </si>
  <si>
    <t>Támogatáscsökkentés összesen</t>
  </si>
  <si>
    <t>Képlet alapján számított összeg!</t>
  </si>
  <si>
    <t>kapunk elvonás után</t>
  </si>
  <si>
    <t xml:space="preserve">Juniorka Óvoda támogatása - köznevelési szerződés alapján </t>
  </si>
  <si>
    <t>Juniorka Bölcsőde támogatása - ellátási szerződés alapján</t>
  </si>
  <si>
    <t xml:space="preserve">Tatai Önkéntes Bűnmegelőző Polgárőr Egyesület </t>
  </si>
  <si>
    <t xml:space="preserve">Tatai Kistérségi Többcélú Társulásnak támogatás </t>
  </si>
  <si>
    <t>Fényes Fürdő területén fejlesztések végrehajtása</t>
  </si>
  <si>
    <t>Műfüves labdarúgó pályák építése</t>
  </si>
  <si>
    <t>Nem lakáscélú helyiségek felújítása</t>
  </si>
  <si>
    <t>Vaszary Villa állagmegóvás</t>
  </si>
  <si>
    <t>Ingatlanvásárlás, kisajátítás, egyéb bérlet</t>
  </si>
  <si>
    <t>3534 hrsz.-u ingatlan (Vértesszőlősi úti temető) vételár részlete</t>
  </si>
  <si>
    <t>Településrendezési eszközök felülvizsgálata</t>
  </si>
  <si>
    <t>Helyi egyedi értékek és védelmük felülvizsgálata</t>
  </si>
  <si>
    <t>Magyary Zoltán Népfőiskolai Társaság közművelődési támogatása ("25 éves a Népfőiskola" rendezvényeire)</t>
  </si>
  <si>
    <t>Magyarország-Szlovákia Együttműködési program TAPE - Innovációs labor kialakítása Interreg  V-A Szlovákia</t>
  </si>
  <si>
    <t>Kálvária szoborcsoport felújítása</t>
  </si>
  <si>
    <t>Halotthűtő a Kocsi úti temetőbe</t>
  </si>
  <si>
    <t>Kerítés felújítása a Környei úti temetőben</t>
  </si>
  <si>
    <t>Gyalogátkelőhelyek láthatóbbá tételének kiépítése</t>
  </si>
  <si>
    <t>Mikovényi-Jázmin-Gesztenye fasor körforgalom építés, zöldfelületi kivitelezés, 2019-évi áthúzódó számlaszerződés alapján</t>
  </si>
  <si>
    <t xml:space="preserve">Hidak felújítása (Berta-malmi, Cifra-malmi, Bartók Béla u, Alkotmány u.) </t>
  </si>
  <si>
    <t>Mart aszfaltos utak felújítása (Újvilág u., Mária u., Nyírfa u., Tulipán u., Balogh Ferenc u., Határ u., Újhegyi u., Fűzfa u. )</t>
  </si>
  <si>
    <t>Visszatérő forrásokkal kapcsolatos feladatok</t>
  </si>
  <si>
    <t>Árendás patak alsó szakasz rekonstrukció, mederkorrekció, mederkotrás</t>
  </si>
  <si>
    <t>Agostyán, Kossuth utca vízrendezés I. ütem</t>
  </si>
  <si>
    <t>Malom-patak mederrekonstrukció III. ütem</t>
  </si>
  <si>
    <t>ÁLLAMI TÁMOGATÁS MŰKÖDÉSRE</t>
  </si>
  <si>
    <t>ÁLLAMI TÁMOGATÁS FELHALMOZÁSRA</t>
  </si>
  <si>
    <t>ÁLLAMI TÁMOGATÁS MINDÖSSZESEN</t>
  </si>
  <si>
    <t>Tatán az Öreg-tó körüli utak és sétány felújításnak támogatása</t>
  </si>
  <si>
    <t>Tatán az Öreg-tó körüli utak és sétány felújítása</t>
  </si>
  <si>
    <t>Hulladékudvar kialakítás tervezése</t>
  </si>
  <si>
    <t>Közkutak létesítése</t>
  </si>
  <si>
    <t>Az Újhegyen Hársfa u., Szőlősor u. ivóvíz ellátás tervezés</t>
  </si>
  <si>
    <t>Székely B. u. közvilágítási terv és kivitelezés</t>
  </si>
  <si>
    <t>Járdák megvilágítása gyalogátkelőknél</t>
  </si>
  <si>
    <t>Csongor u. közvilágítás építés</t>
  </si>
  <si>
    <t>Mikovényi u. közvilágítás korszerűsítése</t>
  </si>
  <si>
    <t>Vértesszőlősi u. közvilágítás korszerűsítése</t>
  </si>
  <si>
    <t>Újhegyi út, Tavasz u. közvilágítás korszerűsítése</t>
  </si>
  <si>
    <t>Ady E. u. közvilágítás felújítás</t>
  </si>
  <si>
    <t>Eötvös u. - Tanoda tér közvilágítás építése</t>
  </si>
  <si>
    <t>Honvéd u. 1.számú főút szakaszának ledes korszerűsítése</t>
  </si>
  <si>
    <t>Játszóterek felújítása Május 1 u. 35. térvilágítás</t>
  </si>
  <si>
    <t>Keszthelyi u. 2.-8. játszótér felújítás</t>
  </si>
  <si>
    <t>Pezsgőgyári játszótér bekerítése</t>
  </si>
  <si>
    <t>Kazincbarcikai utcai játszótér bekerítése</t>
  </si>
  <si>
    <t xml:space="preserve">Tatai Városgazda Nonprofit Kft.-nek elektromos szemétfelszívó gép beszerzéséhez támogatása </t>
  </si>
  <si>
    <t>Környei úti körforgalom zöldterületi felújítása</t>
  </si>
  <si>
    <t>2019. évi működési maradvány</t>
  </si>
  <si>
    <t>Tatai Öreg-tó Kft.-től tagi kölcsön visszatérülése 2018-2020. év</t>
  </si>
  <si>
    <t xml:space="preserve">  - Tata Öreg tó Halászati Kft. 2018-2019. évi tagi kölcsön visszatérülés</t>
  </si>
  <si>
    <t>Zárolt működési tartalék</t>
  </si>
  <si>
    <t xml:space="preserve">  - Tatai Városkapu Közhasznú Zrt. (Fényes fürdő kölcsönének késedelmi kamata)</t>
  </si>
  <si>
    <t xml:space="preserve">  - Tatai Városkapu Közhasznú Zrt. (Fényes fürdő tagi kölcsön)</t>
  </si>
  <si>
    <t>Tatai Városkapu Közhasznú Zrt. (Fényes fürdő tagi kölcsön)</t>
  </si>
  <si>
    <t>Tata és Környéke Turisztikai Egyesület működési kölcsön visszatérülés</t>
  </si>
  <si>
    <t xml:space="preserve">  - Tata és Környéke Turisztikai Egyesület működési kölcsön </t>
  </si>
  <si>
    <t>II. János Pál pápa tér, út és parkoló tervezése</t>
  </si>
  <si>
    <t>Közterületi  hibabejelentő applikáció fejlesztése</t>
  </si>
  <si>
    <t>Vértesszőlősi úti zöld parkolónál (3540.hrsz.) gyalogos átkelőhely és bejáró létesítése</t>
  </si>
  <si>
    <t>Katolikus Karitász</t>
  </si>
  <si>
    <t>Építők parkjánál strand létesítése</t>
  </si>
  <si>
    <t>Lo presti forrás elvezetése a Hajdu utcai gyűjtőbe kormányhatározat alapján</t>
  </si>
  <si>
    <t>Alkotmány úti nyilvános illemhely korszerűsítése</t>
  </si>
  <si>
    <t>Akadálymentesítés, közlekedésbiztonság növelése (Járdák szegélysüllyesztése, taktilis jelek elhelyezése)</t>
  </si>
  <si>
    <t>Toldi M. játszótér tervezése, felújítás I. ütem</t>
  </si>
  <si>
    <t>Eszterházy csapadékcsatorna felújítása</t>
  </si>
  <si>
    <t>Tópart sétány Építők Parkjánál lévő szakaszának zöldterületi felújítása</t>
  </si>
  <si>
    <t>Önkormányzati bérlakások felújítása</t>
  </si>
  <si>
    <t>Táblakép és címer - Városháza Díszterem</t>
  </si>
  <si>
    <t>Éven belüli likvid hiteltörlesztés</t>
  </si>
  <si>
    <t>Tata Város Önkormányzatának 2019. évi maradvány igénybevétele cél szerinti tagolásban (E Ft-ban)</t>
  </si>
  <si>
    <t>2019. évi felhalmozási maradvány</t>
  </si>
  <si>
    <t>Tata Város Önkormányzatának 2019. maradvány igénybevétele cél szerinti tagolásban (E Ft-ban)</t>
  </si>
  <si>
    <t>Tata Város Önkormányzata költségvetési szerveinek 2019. évi maradvány igénybevétele cél szerinti tagolásban (E Ft-ban)</t>
  </si>
  <si>
    <t>2020-2026-ig a hosszú lejáratú felhalmozási hitel visszafizetéseket figyelembe véve (E Ft-ban)</t>
  </si>
  <si>
    <t>543 251 E Ft</t>
  </si>
  <si>
    <t>3 havi 0,19 %BUBOR+0,95%=1,14 %</t>
  </si>
  <si>
    <t>3 havi BUBOR 0,19%+0,92% =1,11%</t>
  </si>
  <si>
    <t xml:space="preserve"> Támogatás értékű működési célra</t>
  </si>
  <si>
    <t>Fejlesztési hitelfelvétel megkötött szerződés alapján</t>
  </si>
  <si>
    <t>Összegéről  az  államháztartásért  felelős miniszter 2019. december 15-éig dönt,ezért a 2019. májusi jóváhagyott összeggel terveztünk.</t>
  </si>
  <si>
    <t>Települési önkormányzatok nyilvános könyvtári és közművelődési feladatainak támogatása</t>
  </si>
  <si>
    <r>
      <t xml:space="preserve">2020. Eredeti előirányzat             </t>
    </r>
    <r>
      <rPr>
        <sz val="11"/>
        <color theme="1"/>
        <rFont val="Times New Roman"/>
        <family val="1"/>
        <charset val="238"/>
      </rPr>
      <t xml:space="preserve"> E Ft-ban</t>
    </r>
  </si>
  <si>
    <r>
      <t>Előirányzat</t>
    </r>
    <r>
      <rPr>
        <b/>
        <sz val="12"/>
        <color rgb="FF000000"/>
        <rFont val="Times New Roman"/>
        <family val="1"/>
        <charset val="238"/>
      </rPr>
      <t xml:space="preserve">           </t>
    </r>
    <r>
      <rPr>
        <b/>
        <sz val="16"/>
        <color rgb="FF000000"/>
        <rFont val="Times New Roman"/>
        <family val="1"/>
        <charset val="238"/>
      </rPr>
      <t>Ft-ban</t>
    </r>
  </si>
  <si>
    <r>
      <t>Önkormányzati Hivatal működésének támogatása (</t>
    </r>
    <r>
      <rPr>
        <sz val="12"/>
        <color rgb="FF000000"/>
        <rFont val="Times New Roman"/>
        <family val="1"/>
        <charset val="238"/>
      </rPr>
      <t>Közös Hiv. 26 628 fő lakos 2019.01.01-jén</t>
    </r>
    <r>
      <rPr>
        <sz val="11"/>
        <color theme="1"/>
        <rFont val="Times New Roman"/>
        <family val="1"/>
        <charset val="238"/>
      </rPr>
      <t>)</t>
    </r>
  </si>
  <si>
    <r>
      <t>Egyéb önkormányzati feladat támogatása (</t>
    </r>
    <r>
      <rPr>
        <sz val="12"/>
        <color rgb="FF000000"/>
        <rFont val="Times New Roman"/>
        <family val="1"/>
        <charset val="238"/>
      </rPr>
      <t>Tata-Agostyán lakosság: 23 169 fő</t>
    </r>
    <r>
      <rPr>
        <sz val="11"/>
        <color theme="1"/>
        <rFont val="Times New Roman"/>
        <family val="1"/>
        <charset val="238"/>
      </rPr>
      <t>)</t>
    </r>
  </si>
  <si>
    <r>
      <t xml:space="preserve">Üdülőhelyi feladatok támogatása </t>
    </r>
    <r>
      <rPr>
        <i/>
        <sz val="12"/>
        <color rgb="FF000000"/>
        <rFont val="Times New Roman"/>
        <family val="1"/>
        <charset val="238"/>
      </rPr>
      <t>(2018. évi beszám. adata)</t>
    </r>
  </si>
  <si>
    <r>
      <t xml:space="preserve">Házi segítségnyújtáshoz </t>
    </r>
    <r>
      <rPr>
        <b/>
        <i/>
        <sz val="12"/>
        <color rgb="FF000000"/>
        <rFont val="Times New Roman"/>
        <family val="1"/>
        <charset val="238"/>
      </rPr>
      <t xml:space="preserve">Szociális segítés </t>
    </r>
    <r>
      <rPr>
        <sz val="11"/>
        <color theme="1"/>
        <rFont val="Times New Roman"/>
        <family val="1"/>
        <charset val="238"/>
      </rPr>
      <t xml:space="preserve">- (társulással  25 000 FT +30%) </t>
    </r>
  </si>
  <si>
    <r>
      <t xml:space="preserve">Házi segítségnyújtáshoz </t>
    </r>
    <r>
      <rPr>
        <b/>
        <i/>
        <sz val="12"/>
        <color rgb="FF000000"/>
        <rFont val="Times New Roman"/>
        <family val="1"/>
        <charset val="238"/>
      </rPr>
      <t xml:space="preserve">Személyi gondozás </t>
    </r>
    <r>
      <rPr>
        <sz val="11"/>
        <color theme="1"/>
        <rFont val="Times New Roman"/>
        <family val="1"/>
        <charset val="238"/>
      </rPr>
      <t xml:space="preserve">- (társulással 330 000 Ft/fő + 30%) </t>
    </r>
  </si>
  <si>
    <t>Az Önkormányzat 2020. évi fejlesztési céljai, melyekhez fejlesztési célú hitel lehívása szükséges megkötött szerződés alapján (E Ft-ban)</t>
  </si>
  <si>
    <t xml:space="preserve"> Tatai Fürdő utcai Néphagyományőrző Óvoda</t>
  </si>
  <si>
    <t>Óvoda felújítási munkálatai (burkolatok cseréje, festés)</t>
  </si>
  <si>
    <t>Óvodai csoportszobák felújítása (burkolatok cseréje, festés)</t>
  </si>
  <si>
    <t>Óvodai csoportszobák felújítása (burkolatok cseréje, festés, belső ajtók cseréje)</t>
  </si>
  <si>
    <t>Tetőszigetelés</t>
  </si>
  <si>
    <t>Udvari játék cseréje</t>
  </si>
  <si>
    <t>Tatai Geszti Óvoda Agostyáni Tagintézménye</t>
  </si>
  <si>
    <t>Udvaron térburkolat lerakása</t>
  </si>
  <si>
    <t>Térkövezés (75 m2)</t>
  </si>
  <si>
    <t>Öntött gumiburkolat elkészítése (300 m2)</t>
  </si>
  <si>
    <t xml:space="preserve">Csoportszobákban bútorlapból falburkolat felhelyzése, beépített szekrények felújítása </t>
  </si>
  <si>
    <t>víz-, szennyvíz-, villanyhálózat felújítás (Öregvár, Német Nemzetiségi Múzeum, Deák F. utcai raktár) azonnali hibaelhárítások</t>
  </si>
  <si>
    <t>udvarrendezés, kerítés, kapualj felújítás (Német Nemzetiségi Múzeum)</t>
  </si>
  <si>
    <t>Leendő irodák kialakítása (volt rendelőintézet)</t>
  </si>
  <si>
    <t>Felújítási tervek (műemlékvédelem által elfogadott dokumentáció összeállítása, faldiagnosztika, 3D felmérés, statikai felmérések, gépészet felülvizsgálata) Öregvár</t>
  </si>
  <si>
    <t>Német Nemzetiségi Múzeum raktár épület szükséges felújítása (pályázat beadva 4 M Ft)</t>
  </si>
  <si>
    <t>Vár időszaki tereinek felújítása, festése</t>
  </si>
  <si>
    <t>Nagy értékű és kis értékű tárgyi eszközök beszerzése</t>
  </si>
  <si>
    <t>Árnyékoló terasz fölé, pancsoló fölé</t>
  </si>
  <si>
    <t xml:space="preserve">Árnyékolás/homlokzati üvegfelület </t>
  </si>
  <si>
    <t>Árnyékolás a homokozó fölé</t>
  </si>
  <si>
    <t>Felnőtt öltözőszekrény/irattartó szekrény</t>
  </si>
  <si>
    <t xml:space="preserve">Játszóudvar építkezés utáni felújítása, gyeptégla </t>
  </si>
  <si>
    <t>Autómata öntözőrendszer kiépítése</t>
  </si>
  <si>
    <t>Mosó és szárítógép</t>
  </si>
  <si>
    <t>Udvari játék / játszóvár</t>
  </si>
  <si>
    <t xml:space="preserve">Udvari mászóka </t>
  </si>
  <si>
    <t xml:space="preserve"> Műfű /100 négyzetméter/</t>
  </si>
  <si>
    <t>Kis értékű tárgyi eszközök beszerzése</t>
  </si>
  <si>
    <t>Klímaberendezés beszerzése</t>
  </si>
  <si>
    <t>Egyéb gépek, berendezések beszerzése</t>
  </si>
  <si>
    <t>Nagy értékű és kis értékű tárgyi eszközök, védőnői programok beszerzése</t>
  </si>
  <si>
    <t>Tatai vonatkozású műtárgyak</t>
  </si>
  <si>
    <t>Informatikai eszközök</t>
  </si>
  <si>
    <t>Német Nemzetiségi Múzeum malomkerék</t>
  </si>
  <si>
    <t>Állományvédelmi raktár (pályázat beadva 4 M Ft)</t>
  </si>
  <si>
    <t>Tűzjelző rendszer kiépítése Német Nemzetiségi Múzeum+ raktár</t>
  </si>
  <si>
    <t>Könyvbeszerzés</t>
  </si>
  <si>
    <t>Tatai Csillagsziget Bölcsöde</t>
  </si>
  <si>
    <r>
      <t>Tata Város Önkormányzata</t>
    </r>
    <r>
      <rPr>
        <sz val="11"/>
        <rFont val="Times New Roman"/>
        <family val="1"/>
        <charset val="238"/>
      </rPr>
      <t xml:space="preserve"> - választott tisztségviselők</t>
    </r>
  </si>
  <si>
    <t>Díjak, pótlékok, bírságok</t>
  </si>
  <si>
    <t>Helyi adók</t>
  </si>
  <si>
    <t>Pótlék bírság</t>
  </si>
  <si>
    <t>Előző év(ek)-ben keletkezett tárgyévet terhelő fizetési kötelezettség</t>
  </si>
  <si>
    <t xml:space="preserve">Fizetési kötelezettséggel csökkentett saját bevétel 50 %-a </t>
  </si>
  <si>
    <t xml:space="preserve"> Tatai Fürdő Utcai Néphagyományőrző Óvoda</t>
  </si>
  <si>
    <t>Tatabányai Szakképzési Centrum Bláthy Ottó Szakkgimnáziuma, Szakközépiskolája és Kollágiuma</t>
  </si>
  <si>
    <t xml:space="preserve"> Tatai Fürdő Utcai Néphagyományörző Óvoda</t>
  </si>
  <si>
    <t>Várkazán beszerzés</t>
  </si>
  <si>
    <t>Szoftver beszerzés</t>
  </si>
  <si>
    <t>1115-515</t>
  </si>
  <si>
    <t>1121-5121</t>
  </si>
  <si>
    <t>Magyarország-Szlovákia együtműködési program TAPE -Innovációs labor kialakítása INTERREG V-A Szlovákia</t>
  </si>
  <si>
    <t>1301-5301</t>
  </si>
  <si>
    <t>Dunszentmiklósi kirendeltség</t>
  </si>
  <si>
    <t>Polgármesteri Hivatal belső udvari szennyvízcsatorna felújítása</t>
  </si>
  <si>
    <t>Éven belüli likvid hitel</t>
  </si>
  <si>
    <t>Tárgyévi EU-s támogatás előirányzata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</si>
</sst>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0E]General"/>
    <numFmt numFmtId="165" formatCode="_-* #,##0.00\ _F_t_-;\-* #,##0.00\ _F_t_-;_-* \-??\ _F_t_-;_-@_-"/>
    <numFmt numFmtId="166" formatCode="#,##0_ ;\-#,##0\ "/>
    <numFmt numFmtId="167" formatCode="0.0"/>
    <numFmt numFmtId="168" formatCode="#,##0.0"/>
    <numFmt numFmtId="169" formatCode="#,##0&quot; &quot;[$Ft-40E];[Red]#,##0&quot; &quot;[$Ft-40E]"/>
  </numFmts>
  <fonts count="76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1"/>
      <name val="Times New Roman CE"/>
      <family val="1"/>
      <charset val="238"/>
    </font>
    <font>
      <sz val="11"/>
      <color theme="1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i/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 CE"/>
      <family val="1"/>
      <charset val="238"/>
    </font>
    <font>
      <b/>
      <u/>
      <sz val="11"/>
      <name val="Times New Roman CE"/>
      <family val="1"/>
      <charset val="238"/>
    </font>
    <font>
      <b/>
      <i/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name val="Times New Roman CE"/>
      <charset val="238"/>
    </font>
    <font>
      <sz val="10"/>
      <color theme="1"/>
      <name val="Arial CE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 CE"/>
      <charset val="238"/>
    </font>
    <font>
      <sz val="11"/>
      <color indexed="10"/>
      <name val="Times New Roman"/>
      <family val="1"/>
      <charset val="238"/>
    </font>
    <font>
      <sz val="8"/>
      <color theme="1"/>
      <name val="Times New Roman CE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6"/>
      <color rgb="FF000000"/>
      <name val="Times New Roman1"/>
      <charset val="238"/>
    </font>
    <font>
      <sz val="6"/>
      <color theme="1"/>
      <name val="Calibri"/>
      <family val="2"/>
      <charset val="238"/>
      <scheme val="minor"/>
    </font>
    <font>
      <sz val="6"/>
      <color rgb="FF000000"/>
      <name val="Times New Roman1"/>
      <charset val="238"/>
    </font>
    <font>
      <b/>
      <sz val="6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b/>
      <sz val="6"/>
      <color theme="1"/>
      <name val="Calibri"/>
      <family val="2"/>
      <charset val="238"/>
      <scheme val="minor"/>
    </font>
    <font>
      <sz val="6"/>
      <color theme="1"/>
      <name val="Times New Roman CE"/>
      <charset val="238"/>
    </font>
    <font>
      <b/>
      <sz val="8"/>
      <color theme="1"/>
      <name val="Times New Roman CE"/>
      <charset val="238"/>
    </font>
    <font>
      <sz val="12"/>
      <color rgb="FF000000"/>
      <name val="Times New Roman"/>
      <family val="1"/>
      <charset val="238"/>
    </font>
    <font>
      <b/>
      <sz val="14"/>
      <color rgb="FF000000"/>
      <name val="Times New Roman CE"/>
      <charset val="238"/>
    </font>
    <font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2"/>
      <color rgb="FF000000"/>
      <name val="Times New Roman CE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rgb="FF000000"/>
      <name val="Times New Roman CE"/>
      <charset val="238"/>
    </font>
    <font>
      <i/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2"/>
      <name val="Times New Roman CE"/>
      <charset val="238"/>
    </font>
    <font>
      <sz val="10"/>
      <color rgb="FF000000"/>
      <name val="Arial CE"/>
      <charset val="238"/>
    </font>
    <font>
      <b/>
      <i/>
      <sz val="11"/>
      <color rgb="FF000000"/>
      <name val="Times New Roman"/>
      <family val="1"/>
      <charset val="238"/>
    </font>
    <font>
      <sz val="8"/>
      <color rgb="FF000000"/>
      <name val="Times New Roman CE"/>
      <charset val="238"/>
    </font>
    <font>
      <b/>
      <sz val="16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E699"/>
      </patternFill>
    </fill>
    <fill>
      <patternFill patternType="solid">
        <fgColor theme="0"/>
        <bgColor rgb="FFC6E0B4"/>
      </patternFill>
    </fill>
  </fills>
  <borders count="1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" fillId="0" borderId="0"/>
    <xf numFmtId="0" fontId="8" fillId="0" borderId="0"/>
    <xf numFmtId="0" fontId="9" fillId="0" borderId="0"/>
    <xf numFmtId="0" fontId="18" fillId="0" borderId="0"/>
    <xf numFmtId="0" fontId="19" fillId="0" borderId="0"/>
    <xf numFmtId="0" fontId="8" fillId="0" borderId="0"/>
    <xf numFmtId="0" fontId="18" fillId="0" borderId="0"/>
    <xf numFmtId="164" fontId="23" fillId="0" borderId="0"/>
    <xf numFmtId="0" fontId="9" fillId="0" borderId="0"/>
    <xf numFmtId="0" fontId="25" fillId="0" borderId="0"/>
    <xf numFmtId="165" fontId="8" fillId="0" borderId="0" applyFill="0" applyBorder="0" applyAlignment="0" applyProtection="0"/>
    <xf numFmtId="0" fontId="26" fillId="0" borderId="0" applyNumberFormat="0" applyFill="0" applyBorder="0" applyAlignment="0" applyProtection="0"/>
    <xf numFmtId="0" fontId="8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18" fillId="0" borderId="0"/>
    <xf numFmtId="164" fontId="18" fillId="0" borderId="0" applyBorder="0" applyProtection="0"/>
    <xf numFmtId="0" fontId="65" fillId="0" borderId="0" applyNumberFormat="0" applyBorder="0" applyProtection="0"/>
  </cellStyleXfs>
  <cellXfs count="119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4" xfId="0" applyFont="1" applyBorder="1" applyAlignment="1">
      <alignment vertical="center"/>
    </xf>
    <xf numFmtId="0" fontId="10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2" applyFont="1" applyBorder="1" applyAlignment="1">
      <alignment vertical="center"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3" fontId="2" fillId="0" borderId="0" xfId="1" applyNumberFormat="1" applyFont="1" applyAlignment="1">
      <alignment vertical="center"/>
    </xf>
    <xf numFmtId="0" fontId="16" fillId="0" borderId="0" xfId="1" applyFont="1" applyAlignment="1">
      <alignment vertical="center" wrapText="1"/>
    </xf>
    <xf numFmtId="3" fontId="16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10" fillId="0" borderId="0" xfId="1" applyNumberFormat="1" applyFont="1" applyAlignment="1">
      <alignment vertical="center" wrapText="1"/>
    </xf>
    <xf numFmtId="3" fontId="4" fillId="0" borderId="0" xfId="1" applyNumberFormat="1" applyFont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3" fontId="14" fillId="0" borderId="6" xfId="0" applyNumberFormat="1" applyFont="1" applyBorder="1" applyAlignment="1">
      <alignment vertical="center" shrinkToFit="1"/>
    </xf>
    <xf numFmtId="3" fontId="14" fillId="0" borderId="15" xfId="0" applyNumberFormat="1" applyFont="1" applyBorder="1" applyAlignment="1">
      <alignment vertical="center" shrinkToFit="1"/>
    </xf>
    <xf numFmtId="3" fontId="14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7" fontId="4" fillId="0" borderId="0" xfId="0" applyNumberFormat="1" applyFont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5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3" fontId="13" fillId="0" borderId="0" xfId="9" applyNumberFormat="1" applyFont="1" applyAlignment="1">
      <alignment horizontal="left" vertical="center" wrapText="1"/>
    </xf>
    <xf numFmtId="0" fontId="13" fillId="0" borderId="0" xfId="9" applyFont="1" applyAlignment="1">
      <alignment vertical="center" wrapText="1"/>
    </xf>
    <xf numFmtId="166" fontId="13" fillId="0" borderId="0" xfId="11" applyNumberFormat="1" applyFont="1" applyAlignment="1">
      <alignment horizontal="left" vertical="center" wrapText="1"/>
    </xf>
    <xf numFmtId="166" fontId="14" fillId="0" borderId="0" xfId="9" applyNumberFormat="1" applyFont="1" applyAlignment="1">
      <alignment horizontal="left" vertical="center" wrapText="1"/>
    </xf>
    <xf numFmtId="3" fontId="14" fillId="0" borderId="0" xfId="9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3" fontId="14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3" fillId="0" borderId="0" xfId="9" applyFont="1" applyAlignment="1">
      <alignment vertical="center"/>
    </xf>
    <xf numFmtId="0" fontId="14" fillId="0" borderId="0" xfId="12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14" fillId="0" borderId="0" xfId="9" applyFont="1" applyAlignment="1">
      <alignment vertical="center"/>
    </xf>
    <xf numFmtId="0" fontId="13" fillId="4" borderId="0" xfId="9" applyFont="1" applyFill="1" applyAlignment="1">
      <alignment vertical="center"/>
    </xf>
    <xf numFmtId="3" fontId="13" fillId="0" borderId="0" xfId="9" applyNumberFormat="1" applyFont="1" applyAlignment="1">
      <alignment vertical="center"/>
    </xf>
    <xf numFmtId="0" fontId="17" fillId="0" borderId="0" xfId="9" applyFont="1" applyAlignment="1">
      <alignment vertical="center"/>
    </xf>
    <xf numFmtId="0" fontId="11" fillId="0" borderId="0" xfId="9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167" fontId="13" fillId="0" borderId="0" xfId="0" applyNumberFormat="1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29" fillId="0" borderId="0" xfId="0" applyFont="1" applyAlignment="1">
      <alignment vertical="center"/>
    </xf>
    <xf numFmtId="0" fontId="28" fillId="0" borderId="11" xfId="0" applyFont="1" applyBorder="1" applyAlignment="1">
      <alignment horizontal="center" vertical="center" wrapText="1"/>
    </xf>
    <xf numFmtId="49" fontId="13" fillId="0" borderId="0" xfId="14" applyNumberFormat="1" applyFont="1" applyAlignment="1">
      <alignment horizontal="center"/>
    </xf>
    <xf numFmtId="0" fontId="13" fillId="0" borderId="0" xfId="14" applyFont="1"/>
    <xf numFmtId="3" fontId="13" fillId="0" borderId="0" xfId="14" applyNumberFormat="1" applyFont="1"/>
    <xf numFmtId="3" fontId="14" fillId="0" borderId="0" xfId="14" applyNumberFormat="1" applyFont="1"/>
    <xf numFmtId="49" fontId="13" fillId="0" borderId="0" xfId="14" applyNumberFormat="1" applyFont="1" applyAlignment="1">
      <alignment horizontal="center" vertical="center"/>
    </xf>
    <xf numFmtId="49" fontId="13" fillId="0" borderId="0" xfId="14" applyNumberFormat="1" applyFont="1" applyAlignment="1">
      <alignment horizontal="center" vertical="center" wrapText="1"/>
    </xf>
    <xf numFmtId="0" fontId="13" fillId="0" borderId="0" xfId="14" applyFont="1" applyAlignment="1">
      <alignment vertical="center"/>
    </xf>
    <xf numFmtId="49" fontId="13" fillId="0" borderId="0" xfId="9" applyNumberFormat="1" applyFont="1" applyAlignment="1">
      <alignment horizontal="center" vertical="center"/>
    </xf>
    <xf numFmtId="0" fontId="14" fillId="0" borderId="0" xfId="14" applyFont="1" applyAlignment="1">
      <alignment horizontal="left" vertical="center"/>
    </xf>
    <xf numFmtId="3" fontId="14" fillId="0" borderId="0" xfId="14" applyNumberFormat="1" applyFont="1" applyAlignment="1">
      <alignment horizontal="right" vertical="center"/>
    </xf>
    <xf numFmtId="3" fontId="14" fillId="0" borderId="0" xfId="14" applyNumberFormat="1" applyFont="1" applyAlignment="1">
      <alignment horizontal="left" vertical="center"/>
    </xf>
    <xf numFmtId="0" fontId="31" fillId="0" borderId="0" xfId="16" applyFont="1" applyAlignment="1">
      <alignment vertical="center"/>
    </xf>
    <xf numFmtId="3" fontId="31" fillId="0" borderId="0" xfId="0" applyNumberFormat="1" applyFont="1" applyAlignment="1">
      <alignment vertical="center" wrapText="1"/>
    </xf>
    <xf numFmtId="0" fontId="32" fillId="0" borderId="0" xfId="16" applyFont="1" applyAlignment="1">
      <alignment vertical="center"/>
    </xf>
    <xf numFmtId="0" fontId="33" fillId="0" borderId="0" xfId="16" applyFont="1" applyAlignment="1">
      <alignment vertical="center"/>
    </xf>
    <xf numFmtId="3" fontId="31" fillId="0" borderId="0" xfId="16" applyNumberFormat="1" applyFont="1" applyAlignment="1">
      <alignment vertical="center" wrapText="1"/>
    </xf>
    <xf numFmtId="3" fontId="31" fillId="0" borderId="0" xfId="16" applyNumberFormat="1" applyFont="1" applyAlignment="1">
      <alignment vertical="center"/>
    </xf>
    <xf numFmtId="0" fontId="13" fillId="0" borderId="0" xfId="17" applyFont="1" applyAlignment="1">
      <alignment vertical="center" wrapText="1"/>
    </xf>
    <xf numFmtId="0" fontId="13" fillId="0" borderId="0" xfId="17" applyFont="1" applyAlignment="1">
      <alignment vertical="center"/>
    </xf>
    <xf numFmtId="0" fontId="13" fillId="0" borderId="0" xfId="17" applyFont="1" applyAlignment="1">
      <alignment horizontal="center" vertical="center" wrapText="1"/>
    </xf>
    <xf numFmtId="3" fontId="13" fillId="0" borderId="0" xfId="17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5" fillId="0" borderId="0" xfId="1" applyFont="1" applyAlignment="1">
      <alignment vertical="center"/>
    </xf>
    <xf numFmtId="3" fontId="33" fillId="0" borderId="0" xfId="16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14" fillId="0" borderId="10" xfId="0" applyNumberFormat="1" applyFont="1" applyBorder="1" applyAlignment="1">
      <alignment vertical="center"/>
    </xf>
    <xf numFmtId="3" fontId="7" fillId="0" borderId="0" xfId="0" applyNumberFormat="1" applyFont="1"/>
    <xf numFmtId="3" fontId="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27" xfId="0" applyFont="1" applyBorder="1" applyAlignment="1">
      <alignment vertical="center" wrapText="1"/>
    </xf>
    <xf numFmtId="0" fontId="4" fillId="0" borderId="27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7" xfId="0" applyFont="1" applyBorder="1" applyAlignment="1">
      <alignment horizontal="left" vertical="center" wrapText="1"/>
    </xf>
    <xf numFmtId="0" fontId="6" fillId="0" borderId="27" xfId="0" applyFont="1" applyBorder="1" applyAlignment="1">
      <alignment vertical="center"/>
    </xf>
    <xf numFmtId="0" fontId="6" fillId="0" borderId="35" xfId="0" applyFont="1" applyBorder="1" applyAlignment="1">
      <alignment vertical="center" wrapText="1"/>
    </xf>
    <xf numFmtId="0" fontId="4" fillId="0" borderId="36" xfId="0" applyFont="1" applyBorder="1" applyAlignment="1">
      <alignment vertical="center"/>
    </xf>
    <xf numFmtId="37" fontId="5" fillId="0" borderId="0" xfId="0" applyNumberFormat="1" applyFont="1" applyAlignment="1">
      <alignment vertical="center"/>
    </xf>
    <xf numFmtId="0" fontId="6" fillId="0" borderId="36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4" fillId="0" borderId="27" xfId="0" applyFont="1" applyBorder="1" applyAlignment="1">
      <alignment vertical="center" wrapText="1"/>
    </xf>
    <xf numFmtId="0" fontId="13" fillId="0" borderId="27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27" xfId="0" applyFont="1" applyBorder="1" applyAlignment="1">
      <alignment horizontal="left" vertical="center" wrapText="1"/>
    </xf>
    <xf numFmtId="0" fontId="13" fillId="0" borderId="27" xfId="0" applyFont="1" applyBorder="1" applyAlignment="1">
      <alignment vertical="center" wrapText="1"/>
    </xf>
    <xf numFmtId="0" fontId="13" fillId="0" borderId="27" xfId="0" applyFont="1" applyBorder="1" applyAlignment="1">
      <alignment vertical="center" shrinkToFit="1"/>
    </xf>
    <xf numFmtId="3" fontId="14" fillId="0" borderId="27" xfId="0" applyNumberFormat="1" applyFont="1" applyBorder="1" applyAlignment="1">
      <alignment vertical="center" shrinkToFit="1"/>
    </xf>
    <xf numFmtId="3" fontId="13" fillId="0" borderId="27" xfId="0" applyNumberFormat="1" applyFont="1" applyBorder="1" applyAlignment="1">
      <alignment vertical="center" shrinkToFit="1"/>
    </xf>
    <xf numFmtId="3" fontId="13" fillId="0" borderId="36" xfId="0" applyNumberFormat="1" applyFont="1" applyBorder="1" applyAlignment="1">
      <alignment vertical="center" shrinkToFit="1"/>
    </xf>
    <xf numFmtId="3" fontId="14" fillId="0" borderId="33" xfId="0" applyNumberFormat="1" applyFont="1" applyBorder="1" applyAlignment="1">
      <alignment vertical="center" shrinkToFit="1"/>
    </xf>
    <xf numFmtId="3" fontId="14" fillId="0" borderId="27" xfId="0" applyNumberFormat="1" applyFont="1" applyBorder="1" applyAlignment="1">
      <alignment vertical="center" wrapText="1"/>
    </xf>
    <xf numFmtId="3" fontId="14" fillId="0" borderId="36" xfId="0" applyNumberFormat="1" applyFont="1" applyBorder="1" applyAlignment="1">
      <alignment vertical="center" shrinkToFit="1"/>
    </xf>
    <xf numFmtId="0" fontId="2" fillId="0" borderId="31" xfId="1" applyFont="1" applyBorder="1" applyAlignment="1">
      <alignment vertical="center" wrapText="1"/>
    </xf>
    <xf numFmtId="0" fontId="36" fillId="0" borderId="0" xfId="0" applyFont="1" applyAlignment="1">
      <alignment vertical="center"/>
    </xf>
    <xf numFmtId="0" fontId="14" fillId="0" borderId="0" xfId="14" applyFont="1" applyAlignment="1">
      <alignment horizontal="center"/>
    </xf>
    <xf numFmtId="3" fontId="33" fillId="0" borderId="0" xfId="16" applyNumberFormat="1" applyFont="1" applyAlignment="1">
      <alignment vertical="center" wrapText="1"/>
    </xf>
    <xf numFmtId="3" fontId="14" fillId="0" borderId="0" xfId="14" applyNumberFormat="1" applyFont="1" applyAlignment="1">
      <alignment horizontal="center" vertical="center" wrapText="1"/>
    </xf>
    <xf numFmtId="0" fontId="14" fillId="0" borderId="0" xfId="14" applyFont="1" applyAlignment="1">
      <alignment horizontal="center" vertical="center"/>
    </xf>
    <xf numFmtId="3" fontId="14" fillId="0" borderId="0" xfId="9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49" fontId="2" fillId="0" borderId="41" xfId="1" applyNumberFormat="1" applyFont="1" applyBorder="1" applyAlignment="1">
      <alignment vertical="center" wrapText="1"/>
    </xf>
    <xf numFmtId="0" fontId="2" fillId="0" borderId="41" xfId="1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/>
    </xf>
    <xf numFmtId="0" fontId="13" fillId="0" borderId="0" xfId="0" applyFont="1"/>
    <xf numFmtId="0" fontId="37" fillId="0" borderId="0" xfId="0" applyFont="1"/>
    <xf numFmtId="0" fontId="24" fillId="0" borderId="0" xfId="0" applyFont="1"/>
    <xf numFmtId="3" fontId="24" fillId="0" borderId="0" xfId="0" applyNumberFormat="1" applyFont="1"/>
    <xf numFmtId="0" fontId="14" fillId="0" borderId="0" xfId="0" applyFont="1"/>
    <xf numFmtId="3" fontId="14" fillId="0" borderId="0" xfId="0" applyNumberFormat="1" applyFont="1"/>
    <xf numFmtId="0" fontId="36" fillId="0" borderId="0" xfId="0" applyFont="1" applyAlignment="1">
      <alignment vertical="center" wrapText="1"/>
    </xf>
    <xf numFmtId="3" fontId="36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3" fontId="14" fillId="0" borderId="0" xfId="0" applyNumberFormat="1" applyFont="1" applyAlignment="1">
      <alignment vertical="center" shrinkToFit="1"/>
    </xf>
    <xf numFmtId="0" fontId="14" fillId="0" borderId="0" xfId="12" applyFont="1" applyAlignment="1">
      <alignment vertical="center" wrapText="1"/>
    </xf>
    <xf numFmtId="3" fontId="14" fillId="0" borderId="0" xfId="12" applyNumberFormat="1" applyFont="1" applyAlignment="1">
      <alignment vertical="center"/>
    </xf>
    <xf numFmtId="3" fontId="28" fillId="0" borderId="42" xfId="0" applyNumberFormat="1" applyFont="1" applyBorder="1" applyAlignment="1">
      <alignment horizontal="right" vertical="center" wrapText="1"/>
    </xf>
    <xf numFmtId="3" fontId="24" fillId="0" borderId="42" xfId="0" applyNumberFormat="1" applyFont="1" applyBorder="1" applyAlignment="1">
      <alignment vertical="center"/>
    </xf>
    <xf numFmtId="49" fontId="13" fillId="0" borderId="0" xfId="9" applyNumberFormat="1" applyFont="1" applyAlignment="1">
      <alignment vertical="center"/>
    </xf>
    <xf numFmtId="49" fontId="11" fillId="0" borderId="0" xfId="9" applyNumberFormat="1" applyFont="1" applyAlignment="1">
      <alignment vertical="center"/>
    </xf>
    <xf numFmtId="49" fontId="14" fillId="0" borderId="0" xfId="9" applyNumberFormat="1" applyFont="1" applyAlignment="1">
      <alignment vertical="center"/>
    </xf>
    <xf numFmtId="49" fontId="17" fillId="0" borderId="0" xfId="9" applyNumberFormat="1" applyFont="1" applyAlignment="1">
      <alignment vertical="center"/>
    </xf>
    <xf numFmtId="0" fontId="13" fillId="0" borderId="47" xfId="0" applyFont="1" applyBorder="1" applyAlignment="1">
      <alignment vertical="center" wrapText="1"/>
    </xf>
    <xf numFmtId="49" fontId="7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vertical="center"/>
    </xf>
    <xf numFmtId="49" fontId="7" fillId="0" borderId="0" xfId="0" applyNumberFormat="1" applyFont="1"/>
    <xf numFmtId="0" fontId="1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36" fillId="0" borderId="9" xfId="0" applyFont="1" applyBorder="1" applyAlignment="1">
      <alignment vertical="center" wrapText="1"/>
    </xf>
    <xf numFmtId="0" fontId="4" fillId="0" borderId="4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47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47" xfId="0" applyFont="1" applyBorder="1" applyAlignment="1">
      <alignment vertical="center"/>
    </xf>
    <xf numFmtId="0" fontId="4" fillId="0" borderId="47" xfId="0" applyFont="1" applyBorder="1" applyAlignment="1">
      <alignment vertical="center" wrapText="1"/>
    </xf>
    <xf numFmtId="0" fontId="5" fillId="0" borderId="47" xfId="0" applyFont="1" applyBorder="1" applyAlignment="1">
      <alignment horizontal="left" vertical="center" wrapText="1"/>
    </xf>
    <xf numFmtId="49" fontId="5" fillId="0" borderId="47" xfId="0" applyNumberFormat="1" applyFont="1" applyBorder="1" applyAlignment="1">
      <alignment vertical="center"/>
    </xf>
    <xf numFmtId="49" fontId="4" fillId="0" borderId="41" xfId="0" applyNumberFormat="1" applyFont="1" applyBorder="1" applyAlignment="1">
      <alignment vertical="center"/>
    </xf>
    <xf numFmtId="49" fontId="4" fillId="0" borderId="47" xfId="0" applyNumberFormat="1" applyFont="1" applyBorder="1" applyAlignment="1">
      <alignment horizontal="left" vertical="center" wrapText="1"/>
    </xf>
    <xf numFmtId="0" fontId="4" fillId="0" borderId="31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49" fontId="2" fillId="0" borderId="47" xfId="1" applyNumberFormat="1" applyFont="1" applyBorder="1" applyAlignment="1">
      <alignment vertical="center" wrapText="1"/>
    </xf>
    <xf numFmtId="49" fontId="5" fillId="0" borderId="47" xfId="1" applyNumberFormat="1" applyFont="1" applyBorder="1" applyAlignment="1">
      <alignment vertical="center" wrapText="1"/>
    </xf>
    <xf numFmtId="49" fontId="10" fillId="0" borderId="47" xfId="1" applyNumberFormat="1" applyFont="1" applyBorder="1" applyAlignment="1">
      <alignment vertical="center" wrapText="1"/>
    </xf>
    <xf numFmtId="0" fontId="13" fillId="0" borderId="47" xfId="0" applyFont="1" applyBorder="1" applyAlignment="1">
      <alignment vertical="center"/>
    </xf>
    <xf numFmtId="0" fontId="2" fillId="0" borderId="47" xfId="1" applyFont="1" applyBorder="1" applyAlignment="1">
      <alignment vertical="center" wrapText="1"/>
    </xf>
    <xf numFmtId="3" fontId="14" fillId="0" borderId="47" xfId="0" applyNumberFormat="1" applyFont="1" applyBorder="1" applyAlignment="1">
      <alignment vertical="center" wrapText="1"/>
    </xf>
    <xf numFmtId="0" fontId="2" fillId="0" borderId="47" xfId="1" applyFont="1" applyBorder="1" applyAlignment="1">
      <alignment horizontal="left" vertical="center" wrapText="1"/>
    </xf>
    <xf numFmtId="0" fontId="2" fillId="0" borderId="47" xfId="1" applyFont="1" applyBorder="1" applyAlignment="1">
      <alignment horizontal="center" vertical="center" wrapText="1"/>
    </xf>
    <xf numFmtId="49" fontId="5" fillId="0" borderId="41" xfId="1" applyNumberFormat="1" applyFont="1" applyBorder="1" applyAlignment="1">
      <alignment vertical="center" wrapText="1"/>
    </xf>
    <xf numFmtId="0" fontId="2" fillId="0" borderId="41" xfId="1" applyFont="1" applyBorder="1" applyAlignment="1">
      <alignment horizontal="left" vertical="center" wrapText="1"/>
    </xf>
    <xf numFmtId="0" fontId="2" fillId="0" borderId="41" xfId="1" applyFont="1" applyBorder="1" applyAlignment="1">
      <alignment horizontal="center" vertical="center" wrapText="1"/>
    </xf>
    <xf numFmtId="0" fontId="5" fillId="0" borderId="47" xfId="1" applyFont="1" applyBorder="1" applyAlignment="1">
      <alignment vertical="center" wrapText="1"/>
    </xf>
    <xf numFmtId="0" fontId="10" fillId="0" borderId="47" xfId="1" applyFont="1" applyBorder="1" applyAlignment="1">
      <alignment vertical="center" wrapText="1"/>
    </xf>
    <xf numFmtId="0" fontId="12" fillId="0" borderId="47" xfId="0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4" fillId="0" borderId="47" xfId="0" applyNumberFormat="1" applyFont="1" applyBorder="1" applyAlignment="1">
      <alignment horizontal="right" vertical="center" wrapText="1"/>
    </xf>
    <xf numFmtId="3" fontId="13" fillId="0" borderId="47" xfId="0" applyNumberFormat="1" applyFont="1" applyBorder="1" applyAlignment="1">
      <alignment horizontal="right" vertical="center" wrapText="1"/>
    </xf>
    <xf numFmtId="3" fontId="13" fillId="0" borderId="47" xfId="0" applyNumberFormat="1" applyFont="1" applyBorder="1" applyAlignment="1">
      <alignment vertical="center"/>
    </xf>
    <xf numFmtId="3" fontId="11" fillId="0" borderId="47" xfId="0" applyNumberFormat="1" applyFont="1" applyBorder="1" applyAlignment="1">
      <alignment horizontal="right" vertical="center" wrapText="1"/>
    </xf>
    <xf numFmtId="3" fontId="11" fillId="0" borderId="47" xfId="0" applyNumberFormat="1" applyFont="1" applyBorder="1" applyAlignment="1">
      <alignment vertical="center"/>
    </xf>
    <xf numFmtId="3" fontId="14" fillId="0" borderId="47" xfId="0" applyNumberFormat="1" applyFont="1" applyBorder="1" applyAlignment="1">
      <alignment vertical="center"/>
    </xf>
    <xf numFmtId="3" fontId="14" fillId="0" borderId="41" xfId="0" applyNumberFormat="1" applyFont="1" applyBorder="1" applyAlignment="1">
      <alignment horizontal="right" vertical="center" wrapText="1"/>
    </xf>
    <xf numFmtId="3" fontId="14" fillId="0" borderId="44" xfId="0" applyNumberFormat="1" applyFont="1" applyBorder="1" applyAlignment="1">
      <alignment vertical="center"/>
    </xf>
    <xf numFmtId="3" fontId="14" fillId="0" borderId="43" xfId="0" applyNumberFormat="1" applyFont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3" fontId="14" fillId="0" borderId="43" xfId="0" applyNumberFormat="1" applyFont="1" applyBorder="1" applyAlignment="1">
      <alignment horizontal="right" vertical="center" wrapText="1"/>
    </xf>
    <xf numFmtId="3" fontId="13" fillId="0" borderId="44" xfId="0" applyNumberFormat="1" applyFont="1" applyBorder="1" applyAlignment="1">
      <alignment horizontal="right" vertical="center" wrapText="1"/>
    </xf>
    <xf numFmtId="3" fontId="14" fillId="0" borderId="44" xfId="0" applyNumberFormat="1" applyFont="1" applyBorder="1" applyAlignment="1">
      <alignment horizontal="right" vertical="center" wrapText="1"/>
    </xf>
    <xf numFmtId="3" fontId="13" fillId="0" borderId="44" xfId="0" applyNumberFormat="1" applyFont="1" applyBorder="1" applyAlignment="1">
      <alignment vertical="center"/>
    </xf>
    <xf numFmtId="3" fontId="11" fillId="0" borderId="44" xfId="0" applyNumberFormat="1" applyFont="1" applyBorder="1" applyAlignment="1">
      <alignment horizontal="right" vertical="center" wrapText="1"/>
    </xf>
    <xf numFmtId="3" fontId="11" fillId="0" borderId="44" xfId="0" applyNumberFormat="1" applyFont="1" applyBorder="1" applyAlignment="1">
      <alignment vertical="center"/>
    </xf>
    <xf numFmtId="3" fontId="13" fillId="0" borderId="56" xfId="0" applyNumberFormat="1" applyFont="1" applyBorder="1" applyAlignment="1">
      <alignment vertical="center"/>
    </xf>
    <xf numFmtId="3" fontId="14" fillId="0" borderId="13" xfId="0" applyNumberFormat="1" applyFont="1" applyBorder="1" applyAlignment="1">
      <alignment vertical="center"/>
    </xf>
    <xf numFmtId="3" fontId="14" fillId="0" borderId="56" xfId="0" applyNumberFormat="1" applyFont="1" applyBorder="1" applyAlignment="1">
      <alignment vertical="center"/>
    </xf>
    <xf numFmtId="3" fontId="13" fillId="0" borderId="52" xfId="0" applyNumberFormat="1" applyFont="1" applyBorder="1" applyAlignment="1">
      <alignment vertical="center"/>
    </xf>
    <xf numFmtId="3" fontId="14" fillId="0" borderId="41" xfId="0" applyNumberFormat="1" applyFont="1" applyBorder="1" applyAlignment="1">
      <alignment vertical="center"/>
    </xf>
    <xf numFmtId="3" fontId="14" fillId="0" borderId="52" xfId="0" applyNumberFormat="1" applyFont="1" applyBorder="1" applyAlignment="1">
      <alignment vertical="center"/>
    </xf>
    <xf numFmtId="3" fontId="4" fillId="0" borderId="44" xfId="0" applyNumberFormat="1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43" xfId="0" applyNumberFormat="1" applyFont="1" applyBorder="1" applyAlignment="1">
      <alignment vertical="center" wrapText="1"/>
    </xf>
    <xf numFmtId="37" fontId="4" fillId="0" borderId="44" xfId="0" applyNumberFormat="1" applyFont="1" applyBorder="1" applyAlignment="1">
      <alignment vertical="center" wrapText="1"/>
    </xf>
    <xf numFmtId="37" fontId="5" fillId="0" borderId="44" xfId="0" applyNumberFormat="1" applyFont="1" applyBorder="1" applyAlignment="1">
      <alignment vertical="center" wrapText="1"/>
    </xf>
    <xf numFmtId="3" fontId="5" fillId="0" borderId="44" xfId="0" applyNumberFormat="1" applyFont="1" applyBorder="1" applyAlignment="1">
      <alignment vertical="center" wrapText="1"/>
    </xf>
    <xf numFmtId="3" fontId="6" fillId="0" borderId="44" xfId="0" applyNumberFormat="1" applyFont="1" applyBorder="1" applyAlignment="1">
      <alignment vertical="center" wrapText="1"/>
    </xf>
    <xf numFmtId="3" fontId="6" fillId="0" borderId="56" xfId="0" applyNumberFormat="1" applyFont="1" applyBorder="1" applyAlignment="1">
      <alignment vertical="center" wrapText="1"/>
    </xf>
    <xf numFmtId="3" fontId="4" fillId="0" borderId="13" xfId="0" applyNumberFormat="1" applyFont="1" applyBorder="1" applyAlignment="1">
      <alignment vertical="center" wrapText="1"/>
    </xf>
    <xf numFmtId="0" fontId="4" fillId="0" borderId="56" xfId="0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14" fillId="0" borderId="6" xfId="9" applyFont="1" applyBorder="1" applyAlignment="1">
      <alignment horizontal="center" vertical="center" wrapText="1"/>
    </xf>
    <xf numFmtId="0" fontId="14" fillId="0" borderId="6" xfId="9" applyFont="1" applyBorder="1" applyAlignment="1">
      <alignment vertical="center" wrapText="1"/>
    </xf>
    <xf numFmtId="0" fontId="13" fillId="0" borderId="49" xfId="0" applyFont="1" applyBorder="1" applyAlignment="1">
      <alignment vertical="center" wrapText="1"/>
    </xf>
    <xf numFmtId="0" fontId="14" fillId="2" borderId="6" xfId="9" applyFont="1" applyFill="1" applyBorder="1" applyAlignment="1">
      <alignment vertical="center" wrapText="1"/>
    </xf>
    <xf numFmtId="0" fontId="14" fillId="0" borderId="30" xfId="9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left" vertical="center" wrapText="1"/>
    </xf>
    <xf numFmtId="0" fontId="14" fillId="0" borderId="49" xfId="0" applyFont="1" applyBorder="1" applyAlignment="1">
      <alignment vertical="center" wrapText="1"/>
    </xf>
    <xf numFmtId="0" fontId="17" fillId="0" borderId="49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20" xfId="12" applyFont="1" applyBorder="1" applyAlignment="1">
      <alignment vertical="center" wrapText="1"/>
    </xf>
    <xf numFmtId="0" fontId="13" fillId="0" borderId="49" xfId="12" applyFont="1" applyBorder="1" applyAlignment="1">
      <alignment vertical="center" wrapText="1"/>
    </xf>
    <xf numFmtId="0" fontId="17" fillId="0" borderId="49" xfId="12" applyFont="1" applyBorder="1" applyAlignment="1">
      <alignment vertical="center" wrapText="1"/>
    </xf>
    <xf numFmtId="0" fontId="13" fillId="3" borderId="49" xfId="12" applyFont="1" applyFill="1" applyBorder="1" applyAlignment="1">
      <alignment vertical="center" wrapText="1"/>
    </xf>
    <xf numFmtId="0" fontId="14" fillId="0" borderId="49" xfId="12" applyFont="1" applyBorder="1" applyAlignment="1">
      <alignment vertical="center" wrapText="1"/>
    </xf>
    <xf numFmtId="0" fontId="14" fillId="0" borderId="61" xfId="12" applyFont="1" applyBorder="1" applyAlignment="1">
      <alignment vertical="center" wrapText="1"/>
    </xf>
    <xf numFmtId="0" fontId="14" fillId="0" borderId="6" xfId="12" applyFont="1" applyBorder="1" applyAlignment="1">
      <alignment vertical="center" wrapText="1"/>
    </xf>
    <xf numFmtId="0" fontId="13" fillId="0" borderId="61" xfId="12" applyFont="1" applyBorder="1" applyAlignment="1">
      <alignment vertical="center" wrapText="1"/>
    </xf>
    <xf numFmtId="3" fontId="13" fillId="0" borderId="47" xfId="12" applyNumberFormat="1" applyFont="1" applyBorder="1" applyAlignment="1">
      <alignment vertical="center"/>
    </xf>
    <xf numFmtId="3" fontId="17" fillId="0" borderId="47" xfId="12" applyNumberFormat="1" applyFont="1" applyBorder="1" applyAlignment="1">
      <alignment vertical="center"/>
    </xf>
    <xf numFmtId="3" fontId="14" fillId="0" borderId="47" xfId="12" applyNumberFormat="1" applyFont="1" applyBorder="1" applyAlignment="1">
      <alignment vertical="center"/>
    </xf>
    <xf numFmtId="3" fontId="14" fillId="0" borderId="47" xfId="12" applyNumberFormat="1" applyFont="1" applyBorder="1" applyAlignment="1">
      <alignment horizontal="center" vertical="center"/>
    </xf>
    <xf numFmtId="3" fontId="14" fillId="0" borderId="21" xfId="12" applyNumberFormat="1" applyFont="1" applyBorder="1" applyAlignment="1">
      <alignment vertical="center"/>
    </xf>
    <xf numFmtId="0" fontId="14" fillId="0" borderId="6" xfId="12" applyFont="1" applyBorder="1" applyAlignment="1">
      <alignment horizontal="center" vertical="center" wrapText="1"/>
    </xf>
    <xf numFmtId="3" fontId="14" fillId="0" borderId="10" xfId="12" applyNumberFormat="1" applyFont="1" applyBorder="1" applyAlignment="1">
      <alignment horizontal="center" vertical="center"/>
    </xf>
    <xf numFmtId="3" fontId="14" fillId="0" borderId="62" xfId="12" applyNumberFormat="1" applyFont="1" applyBorder="1" applyAlignment="1">
      <alignment vertical="center"/>
    </xf>
    <xf numFmtId="3" fontId="14" fillId="0" borderId="21" xfId="12" applyNumberFormat="1" applyFont="1" applyBorder="1" applyAlignment="1">
      <alignment horizontal="center" vertical="center"/>
    </xf>
    <xf numFmtId="3" fontId="14" fillId="0" borderId="10" xfId="12" applyNumberFormat="1" applyFont="1" applyBorder="1" applyAlignment="1">
      <alignment vertical="center"/>
    </xf>
    <xf numFmtId="3" fontId="13" fillId="0" borderId="62" xfId="12" applyNumberFormat="1" applyFont="1" applyBorder="1" applyAlignment="1">
      <alignment vertical="center"/>
    </xf>
    <xf numFmtId="0" fontId="14" fillId="0" borderId="62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justify" vertical="center" wrapText="1"/>
    </xf>
    <xf numFmtId="0" fontId="14" fillId="0" borderId="49" xfId="0" applyFont="1" applyBorder="1" applyAlignment="1">
      <alignment horizontal="justify" vertical="center" wrapText="1"/>
    </xf>
    <xf numFmtId="49" fontId="13" fillId="0" borderId="49" xfId="0" applyNumberFormat="1" applyFont="1" applyBorder="1" applyAlignment="1">
      <alignment horizontal="justify" vertical="center" wrapText="1"/>
    </xf>
    <xf numFmtId="0" fontId="14" fillId="0" borderId="6" xfId="0" applyFont="1" applyBorder="1" applyAlignment="1">
      <alignment horizontal="justify" vertical="center" wrapText="1"/>
    </xf>
    <xf numFmtId="0" fontId="13" fillId="0" borderId="30" xfId="0" applyFont="1" applyBorder="1" applyAlignment="1">
      <alignment vertical="center"/>
    </xf>
    <xf numFmtId="2" fontId="13" fillId="0" borderId="24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2" fontId="14" fillId="0" borderId="10" xfId="0" applyNumberFormat="1" applyFont="1" applyBorder="1" applyAlignment="1">
      <alignment horizontal="center" vertical="center"/>
    </xf>
    <xf numFmtId="0" fontId="24" fillId="0" borderId="6" xfId="0" applyFont="1" applyBorder="1"/>
    <xf numFmtId="0" fontId="24" fillId="0" borderId="6" xfId="0" applyFont="1" applyBorder="1" applyAlignment="1">
      <alignment horizontal="center"/>
    </xf>
    <xf numFmtId="3" fontId="14" fillId="0" borderId="55" xfId="14" applyNumberFormat="1" applyFont="1" applyBorder="1" applyAlignment="1">
      <alignment horizontal="right" vertical="center"/>
    </xf>
    <xf numFmtId="3" fontId="13" fillId="0" borderId="51" xfId="9" applyNumberFormat="1" applyFont="1" applyBorder="1" applyAlignment="1">
      <alignment horizontal="right" vertical="center"/>
    </xf>
    <xf numFmtId="3" fontId="14" fillId="0" borderId="48" xfId="9" applyNumberFormat="1" applyFont="1" applyBorder="1" applyAlignment="1">
      <alignment horizontal="right" vertical="center"/>
    </xf>
    <xf numFmtId="0" fontId="13" fillId="0" borderId="47" xfId="14" applyFont="1" applyBorder="1" applyAlignment="1">
      <alignment vertical="center" wrapText="1"/>
    </xf>
    <xf numFmtId="3" fontId="13" fillId="0" borderId="51" xfId="14" applyNumberFormat="1" applyFont="1" applyBorder="1" applyAlignment="1">
      <alignment horizontal="right" vertical="center" wrapText="1"/>
    </xf>
    <xf numFmtId="3" fontId="14" fillId="0" borderId="51" xfId="14" applyNumberFormat="1" applyFont="1" applyBorder="1" applyAlignment="1">
      <alignment horizontal="right" vertical="center" wrapText="1"/>
    </xf>
    <xf numFmtId="3" fontId="13" fillId="2" borderId="51" xfId="9" applyNumberFormat="1" applyFont="1" applyFill="1" applyBorder="1" applyAlignment="1">
      <alignment horizontal="right" vertical="center" wrapText="1"/>
    </xf>
    <xf numFmtId="3" fontId="20" fillId="2" borderId="51" xfId="10" applyNumberFormat="1" applyFont="1" applyFill="1" applyBorder="1" applyAlignment="1">
      <alignment horizontal="right" vertical="center" wrapText="1"/>
    </xf>
    <xf numFmtId="3" fontId="28" fillId="0" borderId="43" xfId="0" applyNumberFormat="1" applyFont="1" applyBorder="1" applyAlignment="1">
      <alignment horizontal="right" vertical="center" wrapText="1"/>
    </xf>
    <xf numFmtId="3" fontId="33" fillId="0" borderId="0" xfId="16" applyNumberFormat="1" applyFont="1" applyBorder="1" applyAlignment="1">
      <alignment vertical="center" wrapText="1"/>
    </xf>
    <xf numFmtId="3" fontId="33" fillId="0" borderId="3" xfId="0" applyNumberFormat="1" applyFont="1" applyBorder="1" applyAlignment="1">
      <alignment horizontal="center" vertical="center" wrapText="1"/>
    </xf>
    <xf numFmtId="3" fontId="33" fillId="0" borderId="38" xfId="0" applyNumberFormat="1" applyFont="1" applyBorder="1" applyAlignment="1">
      <alignment vertical="center" wrapText="1"/>
    </xf>
    <xf numFmtId="3" fontId="32" fillId="0" borderId="50" xfId="0" applyNumberFormat="1" applyFont="1" applyBorder="1" applyAlignment="1">
      <alignment vertical="center" wrapText="1"/>
    </xf>
    <xf numFmtId="3" fontId="33" fillId="0" borderId="50" xfId="0" applyNumberFormat="1" applyFont="1" applyBorder="1" applyAlignment="1">
      <alignment vertical="center" wrapText="1"/>
    </xf>
    <xf numFmtId="3" fontId="31" fillId="0" borderId="50" xfId="0" applyNumberFormat="1" applyFont="1" applyBorder="1" applyAlignment="1">
      <alignment vertical="center" wrapText="1"/>
    </xf>
    <xf numFmtId="3" fontId="31" fillId="0" borderId="50" xfId="0" applyNumberFormat="1" applyFont="1" applyBorder="1" applyAlignment="1">
      <alignment vertical="center"/>
    </xf>
    <xf numFmtId="3" fontId="33" fillId="0" borderId="3" xfId="0" applyNumberFormat="1" applyFont="1" applyBorder="1" applyAlignment="1">
      <alignment vertical="center" wrapText="1"/>
    </xf>
    <xf numFmtId="3" fontId="13" fillId="0" borderId="60" xfId="0" applyNumberFormat="1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3" fontId="28" fillId="0" borderId="60" xfId="0" applyNumberFormat="1" applyFont="1" applyBorder="1" applyAlignment="1">
      <alignment horizontal="right" vertical="center" wrapText="1"/>
    </xf>
    <xf numFmtId="3" fontId="29" fillId="0" borderId="60" xfId="0" applyNumberFormat="1" applyFont="1" applyBorder="1" applyAlignment="1">
      <alignment horizontal="right" vertical="center" wrapText="1"/>
    </xf>
    <xf numFmtId="49" fontId="0" fillId="0" borderId="0" xfId="0" applyNumberFormat="1"/>
    <xf numFmtId="49" fontId="27" fillId="0" borderId="0" xfId="0" applyNumberFormat="1" applyFont="1"/>
    <xf numFmtId="0" fontId="17" fillId="0" borderId="49" xfId="0" applyFont="1" applyBorder="1" applyAlignment="1">
      <alignment horizontal="justify" vertical="center" wrapText="1"/>
    </xf>
    <xf numFmtId="0" fontId="13" fillId="0" borderId="49" xfId="0" applyFont="1" applyFill="1" applyBorder="1" applyAlignment="1">
      <alignment vertical="center" wrapText="1"/>
    </xf>
    <xf numFmtId="4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49" fontId="13" fillId="0" borderId="0" xfId="0" applyNumberFormat="1" applyFont="1" applyFill="1" applyAlignment="1">
      <alignment vertical="center"/>
    </xf>
    <xf numFmtId="0" fontId="14" fillId="0" borderId="27" xfId="0" applyFont="1" applyFill="1" applyBorder="1" applyAlignment="1">
      <alignment vertical="center" wrapText="1"/>
    </xf>
    <xf numFmtId="3" fontId="14" fillId="0" borderId="47" xfId="0" applyNumberFormat="1" applyFont="1" applyFill="1" applyBorder="1" applyAlignment="1">
      <alignment horizontal="right" vertical="center" wrapText="1"/>
    </xf>
    <xf numFmtId="3" fontId="14" fillId="0" borderId="44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/>
    </xf>
    <xf numFmtId="0" fontId="13" fillId="0" borderId="27" xfId="0" applyFont="1" applyFill="1" applyBorder="1" applyAlignment="1">
      <alignment vertical="center"/>
    </xf>
    <xf numFmtId="3" fontId="13" fillId="0" borderId="47" xfId="0" applyNumberFormat="1" applyFont="1" applyFill="1" applyBorder="1" applyAlignment="1">
      <alignment horizontal="right" vertical="center" wrapText="1"/>
    </xf>
    <xf numFmtId="3" fontId="13" fillId="0" borderId="44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14" fillId="0" borderId="0" xfId="14" applyFont="1" applyBorder="1" applyAlignment="1">
      <alignment horizontal="left" vertical="center"/>
    </xf>
    <xf numFmtId="3" fontId="14" fillId="0" borderId="0" xfId="14" applyNumberFormat="1" applyFont="1" applyBorder="1" applyAlignment="1">
      <alignment horizontal="right" vertical="center"/>
    </xf>
    <xf numFmtId="3" fontId="14" fillId="0" borderId="51" xfId="14" applyNumberFormat="1" applyFont="1" applyBorder="1" applyAlignment="1">
      <alignment horizontal="right" vertical="center"/>
    </xf>
    <xf numFmtId="3" fontId="14" fillId="0" borderId="42" xfId="14" applyNumberFormat="1" applyFont="1" applyBorder="1" applyAlignment="1">
      <alignment horizontal="right" vertical="center"/>
    </xf>
    <xf numFmtId="3" fontId="13" fillId="0" borderId="66" xfId="9" applyNumberFormat="1" applyFont="1" applyBorder="1" applyAlignment="1">
      <alignment horizontal="right" vertical="center" wrapText="1"/>
    </xf>
    <xf numFmtId="3" fontId="14" fillId="0" borderId="40" xfId="14" applyNumberFormat="1" applyFont="1" applyBorder="1" applyAlignment="1">
      <alignment horizontal="right" vertical="center"/>
    </xf>
    <xf numFmtId="3" fontId="14" fillId="0" borderId="53" xfId="14" applyNumberFormat="1" applyFont="1" applyBorder="1" applyAlignment="1">
      <alignment horizontal="right" vertical="center"/>
    </xf>
    <xf numFmtId="0" fontId="2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3" fontId="14" fillId="0" borderId="10" xfId="0" applyNumberFormat="1" applyFont="1" applyBorder="1" applyAlignment="1">
      <alignment vertical="center" shrinkToFit="1"/>
    </xf>
    <xf numFmtId="0" fontId="6" fillId="0" borderId="47" xfId="0" applyFont="1" applyBorder="1" applyAlignment="1">
      <alignment horizontal="left" vertical="center"/>
    </xf>
    <xf numFmtId="0" fontId="6" fillId="0" borderId="47" xfId="0" applyFont="1" applyBorder="1" applyAlignment="1">
      <alignment vertical="center" wrapText="1"/>
    </xf>
    <xf numFmtId="0" fontId="6" fillId="0" borderId="47" xfId="0" applyFont="1" applyBorder="1" applyAlignment="1">
      <alignment vertical="center"/>
    </xf>
    <xf numFmtId="0" fontId="10" fillId="0" borderId="47" xfId="2" applyFont="1" applyBorder="1" applyAlignment="1">
      <alignment vertical="center" wrapText="1"/>
    </xf>
    <xf numFmtId="0" fontId="11" fillId="0" borderId="47" xfId="3" applyFont="1" applyBorder="1" applyAlignment="1">
      <alignment vertical="center" wrapText="1"/>
    </xf>
    <xf numFmtId="0" fontId="14" fillId="0" borderId="66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7" fillId="2" borderId="0" xfId="0" applyFont="1" applyFill="1"/>
    <xf numFmtId="0" fontId="10" fillId="0" borderId="0" xfId="1" applyFont="1" applyFill="1" applyAlignment="1">
      <alignment horizontal="center" vertical="center"/>
    </xf>
    <xf numFmtId="3" fontId="10" fillId="0" borderId="0" xfId="1" applyNumberFormat="1" applyFont="1" applyFill="1" applyAlignment="1">
      <alignment horizontal="right" vertical="center"/>
    </xf>
    <xf numFmtId="3" fontId="10" fillId="0" borderId="0" xfId="1" applyNumberFormat="1" applyFont="1" applyFill="1" applyAlignment="1">
      <alignment vertical="center"/>
    </xf>
    <xf numFmtId="0" fontId="45" fillId="0" borderId="0" xfId="0" applyFont="1" applyAlignment="1">
      <alignment vertical="center"/>
    </xf>
    <xf numFmtId="0" fontId="46" fillId="2" borderId="0" xfId="6" applyFont="1" applyFill="1" applyAlignment="1">
      <alignment vertical="center"/>
    </xf>
    <xf numFmtId="0" fontId="46" fillId="0" borderId="0" xfId="6" applyFont="1" applyAlignment="1">
      <alignment horizontal="right" vertical="center"/>
    </xf>
    <xf numFmtId="0" fontId="46" fillId="0" borderId="0" xfId="6" applyFont="1" applyAlignment="1">
      <alignment horizontal="left" vertical="center" wrapText="1"/>
    </xf>
    <xf numFmtId="0" fontId="46" fillId="0" borderId="0" xfId="6" applyFont="1" applyAlignment="1">
      <alignment horizontal="center" vertical="center"/>
    </xf>
    <xf numFmtId="3" fontId="46" fillId="0" borderId="0" xfId="6" applyNumberFormat="1" applyFont="1" applyAlignment="1">
      <alignment horizontal="center" vertical="center"/>
    </xf>
    <xf numFmtId="0" fontId="46" fillId="0" borderId="0" xfId="6" applyFont="1" applyAlignment="1">
      <alignment vertical="center"/>
    </xf>
    <xf numFmtId="3" fontId="44" fillId="0" borderId="0" xfId="6" applyNumberFormat="1" applyFont="1" applyAlignment="1">
      <alignment horizontal="right" vertical="center"/>
    </xf>
    <xf numFmtId="0" fontId="49" fillId="0" borderId="0" xfId="0" applyFont="1" applyAlignment="1">
      <alignment vertical="center"/>
    </xf>
    <xf numFmtId="0" fontId="45" fillId="0" borderId="0" xfId="0" applyFont="1" applyAlignment="1">
      <alignment horizontal="left" vertical="center" wrapText="1"/>
    </xf>
    <xf numFmtId="0" fontId="50" fillId="2" borderId="0" xfId="0" applyFont="1" applyFill="1" applyAlignment="1">
      <alignment vertical="center"/>
    </xf>
    <xf numFmtId="0" fontId="45" fillId="2" borderId="0" xfId="0" applyFont="1" applyFill="1" applyAlignment="1">
      <alignment vertical="center"/>
    </xf>
    <xf numFmtId="0" fontId="46" fillId="2" borderId="0" xfId="6" applyFont="1" applyFill="1" applyAlignment="1">
      <alignment horizontal="center" vertical="center"/>
    </xf>
    <xf numFmtId="0" fontId="27" fillId="0" borderId="0" xfId="0" applyFont="1"/>
    <xf numFmtId="49" fontId="14" fillId="0" borderId="49" xfId="4" applyNumberFormat="1" applyFont="1" applyBorder="1" applyAlignment="1">
      <alignment horizontal="left" vertical="center" wrapText="1"/>
    </xf>
    <xf numFmtId="0" fontId="51" fillId="0" borderId="0" xfId="0" applyFont="1" applyAlignment="1">
      <alignment vertical="center"/>
    </xf>
    <xf numFmtId="3" fontId="13" fillId="0" borderId="0" xfId="0" applyNumberFormat="1" applyFont="1" applyFill="1" applyAlignment="1">
      <alignment vertical="center"/>
    </xf>
    <xf numFmtId="49" fontId="17" fillId="0" borderId="0" xfId="0" applyNumberFormat="1" applyFont="1" applyFill="1" applyAlignment="1">
      <alignment vertical="center"/>
    </xf>
    <xf numFmtId="0" fontId="2" fillId="2" borderId="41" xfId="1" applyFont="1" applyFill="1" applyBorder="1" applyAlignment="1">
      <alignment vertical="center" wrapText="1"/>
    </xf>
    <xf numFmtId="0" fontId="2" fillId="2" borderId="47" xfId="1" applyFont="1" applyFill="1" applyBorder="1" applyAlignment="1">
      <alignment vertical="center" wrapText="1"/>
    </xf>
    <xf numFmtId="49" fontId="20" fillId="0" borderId="50" xfId="4" applyNumberFormat="1" applyFont="1" applyBorder="1" applyAlignment="1">
      <alignment horizontal="left" vertical="center" wrapText="1"/>
    </xf>
    <xf numFmtId="49" fontId="20" fillId="2" borderId="68" xfId="10" applyNumberFormat="1" applyFont="1" applyFill="1" applyBorder="1" applyAlignment="1">
      <alignment vertical="center" wrapText="1"/>
    </xf>
    <xf numFmtId="0" fontId="28" fillId="2" borderId="26" xfId="0" applyFont="1" applyFill="1" applyBorder="1" applyAlignment="1">
      <alignment vertical="center" wrapText="1"/>
    </xf>
    <xf numFmtId="3" fontId="14" fillId="2" borderId="1" xfId="14" applyNumberFormat="1" applyFont="1" applyFill="1" applyBorder="1" applyAlignment="1">
      <alignment horizontal="center" vertical="center" wrapText="1"/>
    </xf>
    <xf numFmtId="3" fontId="21" fillId="0" borderId="77" xfId="5" applyNumberFormat="1" applyFont="1" applyBorder="1" applyAlignment="1">
      <alignment vertical="center"/>
    </xf>
    <xf numFmtId="3" fontId="20" fillId="0" borderId="75" xfId="5" applyNumberFormat="1" applyFont="1" applyBorder="1" applyAlignment="1">
      <alignment vertical="center"/>
    </xf>
    <xf numFmtId="0" fontId="20" fillId="0" borderId="76" xfId="5" applyFont="1" applyBorder="1" applyAlignment="1">
      <alignment vertical="center"/>
    </xf>
    <xf numFmtId="3" fontId="20" fillId="0" borderId="74" xfId="5" applyNumberFormat="1" applyFont="1" applyBorder="1" applyAlignment="1">
      <alignment vertical="center"/>
    </xf>
    <xf numFmtId="3" fontId="20" fillId="0" borderId="76" xfId="5" applyNumberFormat="1" applyFont="1" applyBorder="1" applyAlignment="1">
      <alignment vertical="center"/>
    </xf>
    <xf numFmtId="3" fontId="21" fillId="0" borderId="74" xfId="5" applyNumberFormat="1" applyFont="1" applyBorder="1" applyAlignment="1">
      <alignment vertical="center"/>
    </xf>
    <xf numFmtId="3" fontId="21" fillId="0" borderId="75" xfId="5" applyNumberFormat="1" applyFont="1" applyBorder="1" applyAlignment="1">
      <alignment vertical="center"/>
    </xf>
    <xf numFmtId="3" fontId="21" fillId="0" borderId="76" xfId="5" applyNumberFormat="1" applyFont="1" applyBorder="1" applyAlignment="1">
      <alignment vertical="center"/>
    </xf>
    <xf numFmtId="49" fontId="46" fillId="0" borderId="75" xfId="6" applyNumberFormat="1" applyFont="1" applyBorder="1" applyAlignment="1">
      <alignment horizontal="center" vertical="center"/>
    </xf>
    <xf numFmtId="3" fontId="46" fillId="0" borderId="75" xfId="6" applyNumberFormat="1" applyFont="1" applyBorder="1" applyAlignment="1">
      <alignment horizontal="right" vertical="center"/>
    </xf>
    <xf numFmtId="0" fontId="46" fillId="0" borderId="76" xfId="6" applyFont="1" applyBorder="1" applyAlignment="1">
      <alignment vertical="center"/>
    </xf>
    <xf numFmtId="3" fontId="44" fillId="0" borderId="75" xfId="6" applyNumberFormat="1" applyFont="1" applyBorder="1" applyAlignment="1">
      <alignment vertical="center"/>
    </xf>
    <xf numFmtId="0" fontId="44" fillId="2" borderId="0" xfId="6" applyFont="1" applyFill="1" applyAlignment="1">
      <alignment vertical="center"/>
    </xf>
    <xf numFmtId="0" fontId="44" fillId="0" borderId="0" xfId="6" applyFont="1" applyAlignment="1">
      <alignment vertical="center"/>
    </xf>
    <xf numFmtId="3" fontId="45" fillId="0" borderId="0" xfId="0" applyNumberFormat="1" applyFont="1" applyAlignment="1">
      <alignment vertical="center"/>
    </xf>
    <xf numFmtId="0" fontId="14" fillId="0" borderId="8" xfId="0" applyFont="1" applyBorder="1" applyAlignment="1">
      <alignment horizontal="center" vertical="center"/>
    </xf>
    <xf numFmtId="3" fontId="14" fillId="0" borderId="69" xfId="14" applyNumberFormat="1" applyFont="1" applyBorder="1" applyAlignment="1">
      <alignment horizontal="center" vertical="center" wrapText="1"/>
    </xf>
    <xf numFmtId="3" fontId="14" fillId="0" borderId="66" xfId="14" applyNumberFormat="1" applyFont="1" applyBorder="1" applyAlignment="1">
      <alignment horizontal="center" vertical="center" wrapText="1"/>
    </xf>
    <xf numFmtId="3" fontId="13" fillId="0" borderId="77" xfId="0" applyNumberFormat="1" applyFont="1" applyBorder="1" applyAlignment="1">
      <alignment vertical="center"/>
    </xf>
    <xf numFmtId="3" fontId="13" fillId="0" borderId="50" xfId="0" applyNumberFormat="1" applyFont="1" applyBorder="1" applyAlignment="1">
      <alignment vertical="center"/>
    </xf>
    <xf numFmtId="3" fontId="13" fillId="0" borderId="70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0" fontId="14" fillId="0" borderId="58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20" fillId="0" borderId="74" xfId="5" applyFont="1" applyBorder="1" applyAlignment="1">
      <alignment horizontal="center" vertical="center"/>
    </xf>
    <xf numFmtId="0" fontId="21" fillId="0" borderId="75" xfId="5" applyFont="1" applyBorder="1" applyAlignment="1">
      <alignment horizontal="center" vertical="center"/>
    </xf>
    <xf numFmtId="49" fontId="20" fillId="0" borderId="75" xfId="5" applyNumberFormat="1" applyFont="1" applyBorder="1" applyAlignment="1">
      <alignment horizontal="center" vertical="center"/>
    </xf>
    <xf numFmtId="164" fontId="21" fillId="5" borderId="9" xfId="19" applyFont="1" applyFill="1" applyBorder="1" applyAlignment="1">
      <alignment horizontal="center" vertical="center" wrapText="1"/>
    </xf>
    <xf numFmtId="3" fontId="14" fillId="0" borderId="77" xfId="14" applyNumberFormat="1" applyFont="1" applyBorder="1" applyAlignment="1">
      <alignment horizontal="center" vertical="center" wrapText="1"/>
    </xf>
    <xf numFmtId="3" fontId="14" fillId="0" borderId="18" xfId="14" applyNumberFormat="1" applyFont="1" applyBorder="1" applyAlignment="1">
      <alignment horizontal="center" vertical="center" wrapText="1"/>
    </xf>
    <xf numFmtId="0" fontId="14" fillId="0" borderId="47" xfId="14" applyFont="1" applyBorder="1" applyAlignment="1">
      <alignment horizontal="left" vertical="center"/>
    </xf>
    <xf numFmtId="0" fontId="14" fillId="0" borderId="9" xfId="14" applyFont="1" applyBorder="1" applyAlignment="1">
      <alignment horizontal="left" vertical="center"/>
    </xf>
    <xf numFmtId="3" fontId="14" fillId="0" borderId="66" xfId="14" applyNumberFormat="1" applyFont="1" applyBorder="1" applyAlignment="1">
      <alignment horizontal="right" vertical="center"/>
    </xf>
    <xf numFmtId="0" fontId="14" fillId="0" borderId="41" xfId="14" applyFont="1" applyBorder="1" applyAlignment="1">
      <alignment horizontal="left" vertical="center"/>
    </xf>
    <xf numFmtId="3" fontId="14" fillId="0" borderId="75" xfId="14" applyNumberFormat="1" applyFont="1" applyBorder="1" applyAlignment="1">
      <alignment horizontal="center" vertical="center" wrapText="1"/>
    </xf>
    <xf numFmtId="3" fontId="14" fillId="0" borderId="75" xfId="14" applyNumberFormat="1" applyFont="1" applyBorder="1" applyAlignment="1">
      <alignment horizontal="center" vertical="center"/>
    </xf>
    <xf numFmtId="0" fontId="14" fillId="0" borderId="74" xfId="14" applyFont="1" applyBorder="1" applyAlignment="1">
      <alignment horizontal="left" vertical="center"/>
    </xf>
    <xf numFmtId="0" fontId="13" fillId="2" borderId="9" xfId="9" applyFont="1" applyFill="1" applyBorder="1" applyAlignment="1">
      <alignment vertical="center" wrapText="1"/>
    </xf>
    <xf numFmtId="3" fontId="13" fillId="0" borderId="65" xfId="14" applyNumberFormat="1" applyFont="1" applyBorder="1" applyAlignment="1">
      <alignment horizontal="right" vertical="center"/>
    </xf>
    <xf numFmtId="3" fontId="14" fillId="0" borderId="65" xfId="14" applyNumberFormat="1" applyFont="1" applyBorder="1" applyAlignment="1">
      <alignment horizontal="right" vertical="center"/>
    </xf>
    <xf numFmtId="0" fontId="14" fillId="0" borderId="74" xfId="14" applyFont="1" applyBorder="1" applyAlignment="1">
      <alignment horizontal="center" vertical="center"/>
    </xf>
    <xf numFmtId="3" fontId="14" fillId="0" borderId="9" xfId="14" applyNumberFormat="1" applyFont="1" applyBorder="1" applyAlignment="1">
      <alignment horizontal="left" vertical="center"/>
    </xf>
    <xf numFmtId="3" fontId="14" fillId="0" borderId="65" xfId="14" applyNumberFormat="1" applyFont="1" applyBorder="1" applyAlignment="1">
      <alignment horizontal="center" vertical="center" wrapText="1"/>
    </xf>
    <xf numFmtId="3" fontId="13" fillId="0" borderId="65" xfId="9" applyNumberFormat="1" applyFont="1" applyBorder="1" applyAlignment="1">
      <alignment horizontal="right" vertical="center"/>
    </xf>
    <xf numFmtId="3" fontId="13" fillId="0" borderId="18" xfId="9" applyNumberFormat="1" applyFont="1" applyBorder="1" applyAlignment="1">
      <alignment horizontal="right" vertical="center"/>
    </xf>
    <xf numFmtId="3" fontId="14" fillId="0" borderId="38" xfId="14" applyNumberFormat="1" applyFont="1" applyBorder="1" applyAlignment="1">
      <alignment horizontal="right" vertical="center"/>
    </xf>
    <xf numFmtId="3" fontId="14" fillId="0" borderId="50" xfId="14" applyNumberFormat="1" applyFont="1" applyBorder="1" applyAlignment="1">
      <alignment horizontal="right" vertical="center"/>
    </xf>
    <xf numFmtId="3" fontId="14" fillId="0" borderId="18" xfId="14" applyNumberFormat="1" applyFont="1" applyBorder="1" applyAlignment="1">
      <alignment horizontal="right" vertical="center"/>
    </xf>
    <xf numFmtId="49" fontId="13" fillId="2" borderId="47" xfId="10" applyNumberFormat="1" applyFont="1" applyFill="1" applyBorder="1" applyAlignment="1">
      <alignment horizontal="left" vertical="center" wrapText="1"/>
    </xf>
    <xf numFmtId="49" fontId="20" fillId="2" borderId="47" xfId="10" applyNumberFormat="1" applyFont="1" applyFill="1" applyBorder="1" applyAlignment="1">
      <alignment horizontal="left" vertical="center" wrapText="1"/>
    </xf>
    <xf numFmtId="3" fontId="14" fillId="2" borderId="75" xfId="14" applyNumberFormat="1" applyFont="1" applyFill="1" applyBorder="1" applyAlignment="1">
      <alignment horizontal="center" vertical="center" wrapText="1"/>
    </xf>
    <xf numFmtId="3" fontId="14" fillId="2" borderId="75" xfId="14" applyNumberFormat="1" applyFont="1" applyFill="1" applyBorder="1" applyAlignment="1">
      <alignment horizontal="center" vertical="center"/>
    </xf>
    <xf numFmtId="3" fontId="14" fillId="2" borderId="76" xfId="14" applyNumberFormat="1" applyFont="1" applyFill="1" applyBorder="1" applyAlignment="1">
      <alignment horizontal="center" vertical="center" wrapText="1"/>
    </xf>
    <xf numFmtId="3" fontId="14" fillId="2" borderId="66" xfId="14" applyNumberFormat="1" applyFont="1" applyFill="1" applyBorder="1" applyAlignment="1">
      <alignment horizontal="center" vertical="center" wrapText="1"/>
    </xf>
    <xf numFmtId="0" fontId="14" fillId="0" borderId="16" xfId="14" applyFont="1" applyBorder="1" applyAlignment="1">
      <alignment horizontal="left" vertical="center"/>
    </xf>
    <xf numFmtId="3" fontId="14" fillId="0" borderId="17" xfId="14" applyNumberFormat="1" applyFont="1" applyBorder="1" applyAlignment="1">
      <alignment horizontal="right" vertical="center"/>
    </xf>
    <xf numFmtId="0" fontId="13" fillId="0" borderId="74" xfId="14" applyFont="1" applyBorder="1" applyAlignment="1">
      <alignment vertical="center" wrapText="1"/>
    </xf>
    <xf numFmtId="3" fontId="13" fillId="0" borderId="75" xfId="14" applyNumberFormat="1" applyFont="1" applyBorder="1" applyAlignment="1">
      <alignment horizontal="right" vertical="center" wrapText="1"/>
    </xf>
    <xf numFmtId="3" fontId="14" fillId="0" borderId="76" xfId="9" applyNumberFormat="1" applyFont="1" applyBorder="1" applyAlignment="1">
      <alignment horizontal="right" vertical="center"/>
    </xf>
    <xf numFmtId="0" fontId="24" fillId="0" borderId="3" xfId="0" applyFont="1" applyBorder="1" applyAlignment="1">
      <alignment horizontal="center"/>
    </xf>
    <xf numFmtId="3" fontId="13" fillId="0" borderId="50" xfId="4" applyNumberFormat="1" applyFont="1" applyBorder="1" applyAlignment="1">
      <alignment vertical="center"/>
    </xf>
    <xf numFmtId="3" fontId="24" fillId="0" borderId="3" xfId="0" applyNumberFormat="1" applyFont="1" applyBorder="1"/>
    <xf numFmtId="0" fontId="28" fillId="2" borderId="77" xfId="0" applyFont="1" applyFill="1" applyBorder="1" applyAlignment="1">
      <alignment vertical="center" wrapText="1"/>
    </xf>
    <xf numFmtId="3" fontId="28" fillId="0" borderId="75" xfId="0" applyNumberFormat="1" applyFont="1" applyBorder="1" applyAlignment="1">
      <alignment horizontal="right" vertical="center" wrapText="1"/>
    </xf>
    <xf numFmtId="3" fontId="24" fillId="0" borderId="75" xfId="0" applyNumberFormat="1" applyFont="1" applyBorder="1" applyAlignment="1">
      <alignment vertical="center"/>
    </xf>
    <xf numFmtId="0" fontId="29" fillId="2" borderId="77" xfId="0" applyFont="1" applyFill="1" applyBorder="1" applyAlignment="1">
      <alignment vertical="center" wrapText="1"/>
    </xf>
    <xf numFmtId="3" fontId="29" fillId="0" borderId="75" xfId="0" applyNumberFormat="1" applyFont="1" applyBorder="1" applyAlignment="1">
      <alignment horizontal="right" vertical="center" wrapText="1"/>
    </xf>
    <xf numFmtId="3" fontId="7" fillId="0" borderId="75" xfId="0" applyNumberFormat="1" applyFont="1" applyBorder="1" applyAlignment="1">
      <alignment vertical="center"/>
    </xf>
    <xf numFmtId="3" fontId="28" fillId="0" borderId="64" xfId="0" applyNumberFormat="1" applyFont="1" applyBorder="1" applyAlignment="1">
      <alignment vertical="center"/>
    </xf>
    <xf numFmtId="3" fontId="28" fillId="0" borderId="55" xfId="0" applyNumberFormat="1" applyFont="1" applyBorder="1" applyAlignment="1">
      <alignment vertical="center"/>
    </xf>
    <xf numFmtId="0" fontId="14" fillId="0" borderId="77" xfId="0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justify" vertical="center" wrapText="1"/>
    </xf>
    <xf numFmtId="2" fontId="13" fillId="0" borderId="77" xfId="0" applyNumberFormat="1" applyFont="1" applyBorder="1" applyAlignment="1">
      <alignment horizontal="center" vertical="center" wrapText="1"/>
    </xf>
    <xf numFmtId="2" fontId="13" fillId="0" borderId="50" xfId="0" applyNumberFormat="1" applyFont="1" applyBorder="1" applyAlignment="1">
      <alignment horizontal="center" vertical="center" wrapText="1"/>
    </xf>
    <xf numFmtId="2" fontId="11" fillId="0" borderId="50" xfId="0" applyNumberFormat="1" applyFont="1" applyBorder="1" applyAlignment="1">
      <alignment horizontal="center" vertical="center" wrapText="1"/>
    </xf>
    <xf numFmtId="2" fontId="14" fillId="0" borderId="50" xfId="0" applyNumberFormat="1" applyFont="1" applyBorder="1" applyAlignment="1">
      <alignment horizontal="center" vertical="center" wrapText="1"/>
    </xf>
    <xf numFmtId="2" fontId="13" fillId="0" borderId="50" xfId="0" applyNumberFormat="1" applyFont="1" applyBorder="1" applyAlignment="1">
      <alignment horizontal="center" vertical="center"/>
    </xf>
    <xf numFmtId="0" fontId="13" fillId="0" borderId="67" xfId="0" applyFont="1" applyBorder="1" applyAlignment="1">
      <alignment horizontal="justify" vertical="center" wrapText="1"/>
    </xf>
    <xf numFmtId="2" fontId="13" fillId="0" borderId="18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3" fontId="14" fillId="0" borderId="73" xfId="0" applyNumberFormat="1" applyFont="1" applyBorder="1" applyAlignment="1">
      <alignment horizontal="center" vertical="center"/>
    </xf>
    <xf numFmtId="0" fontId="14" fillId="0" borderId="68" xfId="12" applyFont="1" applyBorder="1" applyAlignment="1">
      <alignment vertical="center" wrapText="1"/>
    </xf>
    <xf numFmtId="3" fontId="14" fillId="0" borderId="77" xfId="0" applyNumberFormat="1" applyFont="1" applyBorder="1" applyAlignment="1">
      <alignment vertical="center"/>
    </xf>
    <xf numFmtId="3" fontId="17" fillId="0" borderId="50" xfId="0" applyNumberFormat="1" applyFont="1" applyBorder="1" applyAlignment="1">
      <alignment vertical="center"/>
    </xf>
    <xf numFmtId="0" fontId="20" fillId="0" borderId="50" xfId="0" applyFont="1" applyBorder="1" applyAlignment="1">
      <alignment wrapText="1"/>
    </xf>
    <xf numFmtId="3" fontId="14" fillId="0" borderId="50" xfId="0" applyNumberFormat="1" applyFont="1" applyBorder="1" applyAlignment="1">
      <alignment vertical="center"/>
    </xf>
    <xf numFmtId="0" fontId="13" fillId="0" borderId="67" xfId="0" applyFont="1" applyBorder="1" applyAlignment="1">
      <alignment vertical="center" wrapText="1"/>
    </xf>
    <xf numFmtId="3" fontId="14" fillId="0" borderId="73" xfId="0" applyNumberFormat="1" applyFont="1" applyBorder="1" applyAlignment="1">
      <alignment vertical="center"/>
    </xf>
    <xf numFmtId="0" fontId="14" fillId="0" borderId="68" xfId="0" applyFont="1" applyBorder="1" applyAlignment="1">
      <alignment vertical="center" wrapText="1"/>
    </xf>
    <xf numFmtId="3" fontId="14" fillId="0" borderId="50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68" xfId="0" applyFont="1" applyBorder="1" applyAlignment="1">
      <alignment vertical="center" wrapText="1"/>
    </xf>
    <xf numFmtId="3" fontId="13" fillId="0" borderId="38" xfId="0" applyNumberFormat="1" applyFont="1" applyBorder="1" applyAlignment="1">
      <alignment horizontal="right" vertical="center"/>
    </xf>
    <xf numFmtId="3" fontId="13" fillId="0" borderId="50" xfId="0" applyNumberFormat="1" applyFont="1" applyBorder="1" applyAlignment="1">
      <alignment horizontal="right" vertical="center"/>
    </xf>
    <xf numFmtId="3" fontId="13" fillId="0" borderId="50" xfId="0" applyNumberFormat="1" applyFont="1" applyFill="1" applyBorder="1" applyAlignment="1">
      <alignment horizontal="right" vertical="center"/>
    </xf>
    <xf numFmtId="3" fontId="14" fillId="0" borderId="50" xfId="0" applyNumberFormat="1" applyFont="1" applyBorder="1" applyAlignment="1">
      <alignment horizontal="right" vertical="center"/>
    </xf>
    <xf numFmtId="3" fontId="17" fillId="0" borderId="50" xfId="0" applyNumberFormat="1" applyFont="1" applyBorder="1" applyAlignment="1">
      <alignment horizontal="right" vertical="center"/>
    </xf>
    <xf numFmtId="3" fontId="13" fillId="0" borderId="70" xfId="0" applyNumberFormat="1" applyFont="1" applyBorder="1" applyAlignment="1">
      <alignment horizontal="right" vertical="center"/>
    </xf>
    <xf numFmtId="3" fontId="14" fillId="0" borderId="3" xfId="0" applyNumberFormat="1" applyFont="1" applyBorder="1" applyAlignment="1">
      <alignment horizontal="right" vertical="center"/>
    </xf>
    <xf numFmtId="0" fontId="14" fillId="0" borderId="3" xfId="9" applyFont="1" applyBorder="1" applyAlignment="1">
      <alignment horizontal="center" vertical="center" wrapText="1"/>
    </xf>
    <xf numFmtId="3" fontId="14" fillId="0" borderId="3" xfId="9" applyNumberFormat="1" applyFont="1" applyBorder="1" applyAlignment="1">
      <alignment vertical="center"/>
    </xf>
    <xf numFmtId="0" fontId="52" fillId="0" borderId="30" xfId="0" applyFont="1" applyBorder="1"/>
    <xf numFmtId="3" fontId="13" fillId="0" borderId="38" xfId="9" applyNumberFormat="1" applyFont="1" applyBorder="1" applyAlignment="1">
      <alignment vertical="center"/>
    </xf>
    <xf numFmtId="0" fontId="13" fillId="0" borderId="68" xfId="9" applyFont="1" applyBorder="1" applyAlignment="1">
      <alignment vertical="center" wrapText="1"/>
    </xf>
    <xf numFmtId="0" fontId="14" fillId="0" borderId="73" xfId="9" applyFont="1" applyBorder="1" applyAlignment="1">
      <alignment horizontal="center" vertical="center" wrapText="1"/>
    </xf>
    <xf numFmtId="3" fontId="20" fillId="0" borderId="18" xfId="10" applyNumberFormat="1" applyFont="1" applyBorder="1" applyAlignment="1">
      <alignment vertical="center"/>
    </xf>
    <xf numFmtId="3" fontId="24" fillId="0" borderId="3" xfId="9" applyNumberFormat="1" applyFont="1" applyBorder="1" applyAlignment="1">
      <alignment vertical="center"/>
    </xf>
    <xf numFmtId="0" fontId="13" fillId="2" borderId="68" xfId="9" applyFont="1" applyFill="1" applyBorder="1" applyAlignment="1">
      <alignment vertical="center" wrapText="1"/>
    </xf>
    <xf numFmtId="0" fontId="13" fillId="2" borderId="80" xfId="9" applyFont="1" applyFill="1" applyBorder="1" applyAlignment="1">
      <alignment vertical="center" wrapText="1"/>
    </xf>
    <xf numFmtId="0" fontId="13" fillId="0" borderId="80" xfId="0" applyFont="1" applyBorder="1" applyAlignment="1">
      <alignment vertical="center" wrapText="1"/>
    </xf>
    <xf numFmtId="3" fontId="13" fillId="0" borderId="77" xfId="9" applyNumberFormat="1" applyFont="1" applyBorder="1" applyAlignment="1">
      <alignment vertical="center"/>
    </xf>
    <xf numFmtId="0" fontId="4" fillId="0" borderId="7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3" fontId="4" fillId="0" borderId="38" xfId="0" applyNumberFormat="1" applyFont="1" applyBorder="1" applyAlignment="1">
      <alignment vertical="center" wrapText="1"/>
    </xf>
    <xf numFmtId="3" fontId="4" fillId="0" borderId="81" xfId="0" applyNumberFormat="1" applyFont="1" applyBorder="1" applyAlignment="1">
      <alignment vertical="center" wrapText="1"/>
    </xf>
    <xf numFmtId="37" fontId="4" fillId="0" borderId="81" xfId="0" applyNumberFormat="1" applyFont="1" applyBorder="1" applyAlignment="1">
      <alignment vertical="center" wrapText="1"/>
    </xf>
    <xf numFmtId="37" fontId="5" fillId="0" borderId="81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6" fillId="0" borderId="81" xfId="0" applyNumberFormat="1" applyFont="1" applyBorder="1" applyAlignment="1">
      <alignment vertical="center" wrapText="1"/>
    </xf>
    <xf numFmtId="3" fontId="6" fillId="0" borderId="70" xfId="0" applyNumberFormat="1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3" fontId="4" fillId="0" borderId="70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14" fillId="0" borderId="18" xfId="0" applyFont="1" applyBorder="1" applyAlignment="1">
      <alignment horizontal="center" vertical="center" wrapText="1"/>
    </xf>
    <xf numFmtId="3" fontId="14" fillId="0" borderId="38" xfId="0" applyNumberFormat="1" applyFont="1" applyBorder="1" applyAlignment="1">
      <alignment horizontal="right" vertical="center" wrapText="1"/>
    </xf>
    <xf numFmtId="3" fontId="13" fillId="0" borderId="81" xfId="0" applyNumberFormat="1" applyFont="1" applyBorder="1" applyAlignment="1">
      <alignment horizontal="right" vertical="center" wrapText="1"/>
    </xf>
    <xf numFmtId="3" fontId="14" fillId="0" borderId="81" xfId="0" applyNumberFormat="1" applyFont="1" applyFill="1" applyBorder="1" applyAlignment="1">
      <alignment horizontal="right" vertical="center" wrapText="1"/>
    </xf>
    <xf numFmtId="3" fontId="13" fillId="0" borderId="81" xfId="0" applyNumberFormat="1" applyFont="1" applyFill="1" applyBorder="1" applyAlignment="1">
      <alignment horizontal="right" vertical="center" wrapText="1"/>
    </xf>
    <xf numFmtId="3" fontId="14" fillId="0" borderId="81" xfId="0" applyNumberFormat="1" applyFont="1" applyBorder="1" applyAlignment="1">
      <alignment horizontal="right" vertical="center" wrapText="1"/>
    </xf>
    <xf numFmtId="3" fontId="13" fillId="0" borderId="81" xfId="0" applyNumberFormat="1" applyFont="1" applyBorder="1" applyAlignment="1">
      <alignment vertical="center"/>
    </xf>
    <xf numFmtId="3" fontId="11" fillId="0" borderId="81" xfId="0" applyNumberFormat="1" applyFont="1" applyBorder="1" applyAlignment="1">
      <alignment horizontal="right" vertical="center" wrapText="1"/>
    </xf>
    <xf numFmtId="3" fontId="11" fillId="0" borderId="81" xfId="0" applyNumberFormat="1" applyFont="1" applyBorder="1" applyAlignment="1">
      <alignment vertical="center"/>
    </xf>
    <xf numFmtId="3" fontId="14" fillId="0" borderId="81" xfId="0" applyNumberFormat="1" applyFont="1" applyBorder="1" applyAlignment="1">
      <alignment vertical="center"/>
    </xf>
    <xf numFmtId="3" fontId="14" fillId="0" borderId="38" xfId="0" applyNumberFormat="1" applyFont="1" applyBorder="1" applyAlignment="1">
      <alignment vertical="center"/>
    </xf>
    <xf numFmtId="3" fontId="14" fillId="0" borderId="70" xfId="0" applyNumberFormat="1" applyFont="1" applyBorder="1" applyAlignment="1">
      <alignment vertical="center"/>
    </xf>
    <xf numFmtId="0" fontId="4" fillId="0" borderId="7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3" fontId="4" fillId="0" borderId="68" xfId="0" applyNumberFormat="1" applyFont="1" applyBorder="1" applyAlignment="1">
      <alignment vertical="center" wrapText="1"/>
    </xf>
    <xf numFmtId="3" fontId="4" fillId="0" borderId="80" xfId="0" applyNumberFormat="1" applyFont="1" applyBorder="1" applyAlignment="1">
      <alignment vertical="center" wrapText="1"/>
    </xf>
    <xf numFmtId="37" fontId="4" fillId="0" borderId="80" xfId="0" applyNumberFormat="1" applyFont="1" applyBorder="1" applyAlignment="1">
      <alignment vertical="center" wrapText="1"/>
    </xf>
    <xf numFmtId="37" fontId="5" fillId="0" borderId="80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6" fillId="0" borderId="80" xfId="0" applyNumberFormat="1" applyFont="1" applyBorder="1" applyAlignment="1">
      <alignment vertical="center" wrapText="1"/>
    </xf>
    <xf numFmtId="3" fontId="6" fillId="0" borderId="67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67" xfId="0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38" xfId="0" applyNumberFormat="1" applyFont="1" applyBorder="1" applyAlignment="1">
      <alignment vertical="center"/>
    </xf>
    <xf numFmtId="3" fontId="4" fillId="0" borderId="81" xfId="0" applyNumberFormat="1" applyFont="1" applyBorder="1" applyAlignment="1">
      <alignment vertical="center"/>
    </xf>
    <xf numFmtId="3" fontId="22" fillId="0" borderId="81" xfId="0" applyNumberFormat="1" applyFont="1" applyBorder="1" applyAlignment="1">
      <alignment vertical="center"/>
    </xf>
    <xf numFmtId="3" fontId="22" fillId="0" borderId="70" xfId="0" applyNumberFormat="1" applyFont="1" applyBorder="1" applyAlignment="1">
      <alignment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2" borderId="66" xfId="0" applyFont="1" applyFill="1" applyBorder="1"/>
    <xf numFmtId="0" fontId="24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/>
    </xf>
    <xf numFmtId="0" fontId="7" fillId="2" borderId="42" xfId="0" applyFont="1" applyFill="1" applyBorder="1"/>
    <xf numFmtId="0" fontId="24" fillId="0" borderId="66" xfId="0" applyFont="1" applyBorder="1" applyAlignment="1">
      <alignment horizontal="center" vertical="center"/>
    </xf>
    <xf numFmtId="164" fontId="21" fillId="5" borderId="74" xfId="19" applyFont="1" applyFill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3" fillId="2" borderId="75" xfId="0" applyFont="1" applyFill="1" applyBorder="1" applyAlignment="1">
      <alignment vertical="center" wrapText="1"/>
    </xf>
    <xf numFmtId="0" fontId="13" fillId="0" borderId="75" xfId="0" applyFont="1" applyBorder="1" applyAlignment="1">
      <alignment vertical="center" wrapText="1"/>
    </xf>
    <xf numFmtId="3" fontId="13" fillId="0" borderId="75" xfId="0" applyNumberFormat="1" applyFont="1" applyBorder="1" applyAlignment="1">
      <alignment vertical="center"/>
    </xf>
    <xf numFmtId="3" fontId="14" fillId="0" borderId="76" xfId="0" applyNumberFormat="1" applyFont="1" applyBorder="1" applyAlignment="1">
      <alignment vertical="center"/>
    </xf>
    <xf numFmtId="0" fontId="13" fillId="2" borderId="66" xfId="0" applyFont="1" applyFill="1" applyBorder="1" applyAlignment="1">
      <alignment vertical="center" wrapText="1"/>
    </xf>
    <xf numFmtId="0" fontId="46" fillId="2" borderId="74" xfId="6" applyFont="1" applyFill="1" applyBorder="1" applyAlignment="1">
      <alignment horizontal="center" vertical="center"/>
    </xf>
    <xf numFmtId="0" fontId="46" fillId="0" borderId="75" xfId="6" applyFont="1" applyBorder="1" applyAlignment="1">
      <alignment horizontal="left" vertical="center" wrapText="1"/>
    </xf>
    <xf numFmtId="3" fontId="44" fillId="0" borderId="11" xfId="6" applyNumberFormat="1" applyFont="1" applyBorder="1" applyAlignment="1">
      <alignment vertical="center"/>
    </xf>
    <xf numFmtId="3" fontId="44" fillId="0" borderId="12" xfId="6" applyNumberFormat="1" applyFont="1" applyBorder="1" applyAlignment="1">
      <alignment vertical="center"/>
    </xf>
    <xf numFmtId="3" fontId="44" fillId="0" borderId="63" xfId="6" applyNumberFormat="1" applyFont="1" applyBorder="1" applyAlignment="1">
      <alignment vertical="center"/>
    </xf>
    <xf numFmtId="3" fontId="44" fillId="0" borderId="25" xfId="6" applyNumberFormat="1" applyFont="1" applyBorder="1" applyAlignment="1">
      <alignment vertical="center"/>
    </xf>
    <xf numFmtId="3" fontId="44" fillId="0" borderId="57" xfId="6" applyNumberFormat="1" applyFont="1" applyBorder="1" applyAlignment="1">
      <alignment vertical="center"/>
    </xf>
    <xf numFmtId="3" fontId="44" fillId="0" borderId="28" xfId="6" applyNumberFormat="1" applyFont="1" applyBorder="1" applyAlignment="1">
      <alignment vertical="center"/>
    </xf>
    <xf numFmtId="3" fontId="7" fillId="0" borderId="38" xfId="9" applyNumberFormat="1" applyFont="1" applyBorder="1" applyAlignment="1">
      <alignment vertical="center"/>
    </xf>
    <xf numFmtId="3" fontId="13" fillId="0" borderId="72" xfId="9" applyNumberFormat="1" applyFont="1" applyBorder="1" applyAlignment="1">
      <alignment vertical="center"/>
    </xf>
    <xf numFmtId="0" fontId="54" fillId="0" borderId="0" xfId="0" applyFont="1"/>
    <xf numFmtId="0" fontId="54" fillId="0" borderId="0" xfId="0" applyFont="1" applyAlignment="1">
      <alignment horizontal="center"/>
    </xf>
    <xf numFmtId="3" fontId="55" fillId="0" borderId="0" xfId="0" applyNumberFormat="1" applyFont="1"/>
    <xf numFmtId="3" fontId="54" fillId="0" borderId="0" xfId="0" applyNumberFormat="1" applyFont="1"/>
    <xf numFmtId="0" fontId="58" fillId="0" borderId="0" xfId="0" applyFont="1" applyAlignment="1">
      <alignment horizontal="center" vertical="center" wrapText="1"/>
    </xf>
    <xf numFmtId="3" fontId="55" fillId="0" borderId="0" xfId="0" applyNumberFormat="1" applyFont="1" applyAlignment="1">
      <alignment horizontal="center"/>
    </xf>
    <xf numFmtId="3" fontId="0" fillId="0" borderId="0" xfId="0" applyNumberFormat="1"/>
    <xf numFmtId="0" fontId="62" fillId="0" borderId="0" xfId="0" applyFont="1"/>
    <xf numFmtId="0" fontId="62" fillId="0" borderId="0" xfId="0" applyFont="1" applyAlignment="1">
      <alignment horizontal="center"/>
    </xf>
    <xf numFmtId="3" fontId="62" fillId="0" borderId="0" xfId="0" applyNumberFormat="1" applyFont="1"/>
    <xf numFmtId="0" fontId="62" fillId="0" borderId="0" xfId="0" applyFont="1" applyFill="1"/>
    <xf numFmtId="0" fontId="62" fillId="0" borderId="0" xfId="0" applyFont="1" applyFill="1" applyAlignment="1">
      <alignment horizontal="center"/>
    </xf>
    <xf numFmtId="3" fontId="62" fillId="0" borderId="0" xfId="0" applyNumberFormat="1" applyFont="1" applyFill="1"/>
    <xf numFmtId="169" fontId="40" fillId="0" borderId="85" xfId="0" applyNumberFormat="1" applyFont="1" applyFill="1" applyBorder="1"/>
    <xf numFmtId="3" fontId="52" fillId="0" borderId="83" xfId="0" applyNumberFormat="1" applyFont="1" applyFill="1" applyBorder="1"/>
    <xf numFmtId="0" fontId="52" fillId="0" borderId="83" xfId="0" applyFont="1" applyFill="1" applyBorder="1" applyAlignment="1">
      <alignment horizontal="center"/>
    </xf>
    <xf numFmtId="3" fontId="52" fillId="0" borderId="84" xfId="0" applyNumberFormat="1" applyFont="1" applyFill="1" applyBorder="1"/>
    <xf numFmtId="0" fontId="52" fillId="0" borderId="84" xfId="0" applyFont="1" applyFill="1" applyBorder="1" applyAlignment="1">
      <alignment horizontal="center"/>
    </xf>
    <xf numFmtId="0" fontId="13" fillId="0" borderId="47" xfId="14" applyFont="1" applyBorder="1" applyAlignment="1">
      <alignment vertical="center" wrapText="1"/>
    </xf>
    <xf numFmtId="49" fontId="20" fillId="0" borderId="80" xfId="4" applyNumberFormat="1" applyFont="1" applyBorder="1" applyAlignment="1">
      <alignment horizontal="left" vertical="center" wrapText="1"/>
    </xf>
    <xf numFmtId="0" fontId="64" fillId="0" borderId="0" xfId="0" applyFont="1"/>
    <xf numFmtId="3" fontId="64" fillId="0" borderId="0" xfId="0" applyNumberFormat="1" applyFont="1"/>
    <xf numFmtId="3" fontId="13" fillId="0" borderId="89" xfId="9" applyNumberFormat="1" applyFont="1" applyBorder="1" applyAlignment="1">
      <alignment vertical="center"/>
    </xf>
    <xf numFmtId="0" fontId="13" fillId="0" borderId="80" xfId="12" applyFont="1" applyBorder="1" applyAlignment="1">
      <alignment vertical="center" wrapText="1"/>
    </xf>
    <xf numFmtId="3" fontId="13" fillId="0" borderId="47" xfId="12" applyNumberFormat="1" applyFont="1" applyFill="1" applyBorder="1" applyAlignment="1">
      <alignment vertical="center"/>
    </xf>
    <xf numFmtId="0" fontId="13" fillId="0" borderId="47" xfId="14" applyFont="1" applyBorder="1" applyAlignment="1">
      <alignment vertical="center" wrapText="1"/>
    </xf>
    <xf numFmtId="3" fontId="13" fillId="0" borderId="69" xfId="14" applyNumberFormat="1" applyFont="1" applyBorder="1" applyAlignment="1">
      <alignment vertical="center" wrapText="1"/>
    </xf>
    <xf numFmtId="3" fontId="13" fillId="0" borderId="53" xfId="14" applyNumberFormat="1" applyFont="1" applyBorder="1" applyAlignment="1">
      <alignment vertical="center" wrapText="1"/>
    </xf>
    <xf numFmtId="3" fontId="13" fillId="2" borderId="53" xfId="9" applyNumberFormat="1" applyFont="1" applyFill="1" applyBorder="1" applyAlignment="1">
      <alignment vertical="center" wrapText="1"/>
    </xf>
    <xf numFmtId="3" fontId="14" fillId="0" borderId="71" xfId="14" applyNumberFormat="1" applyFont="1" applyBorder="1" applyAlignment="1">
      <alignment horizontal="right" vertical="center"/>
    </xf>
    <xf numFmtId="3" fontId="13" fillId="0" borderId="38" xfId="9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49" fontId="31" fillId="0" borderId="81" xfId="0" applyNumberFormat="1" applyFont="1" applyBorder="1" applyAlignment="1">
      <alignment vertical="center" wrapText="1"/>
    </xf>
    <xf numFmtId="3" fontId="31" fillId="0" borderId="81" xfId="0" applyNumberFormat="1" applyFont="1" applyBorder="1" applyAlignment="1">
      <alignment vertical="center" wrapText="1"/>
    </xf>
    <xf numFmtId="3" fontId="17" fillId="0" borderId="81" xfId="0" applyNumberFormat="1" applyFont="1" applyBorder="1" applyAlignment="1">
      <alignment vertical="center" wrapText="1"/>
    </xf>
    <xf numFmtId="3" fontId="17" fillId="0" borderId="50" xfId="0" applyNumberFormat="1" applyFont="1" applyBorder="1" applyAlignment="1">
      <alignment vertical="center" wrapText="1"/>
    </xf>
    <xf numFmtId="49" fontId="31" fillId="0" borderId="90" xfId="0" applyNumberFormat="1" applyFont="1" applyBorder="1" applyAlignment="1">
      <alignment vertical="center" wrapText="1"/>
    </xf>
    <xf numFmtId="3" fontId="31" fillId="0" borderId="90" xfId="0" applyNumberFormat="1" applyFont="1" applyBorder="1" applyAlignment="1">
      <alignment vertical="center" wrapText="1"/>
    </xf>
    <xf numFmtId="3" fontId="13" fillId="0" borderId="90" xfId="0" applyNumberFormat="1" applyFont="1" applyBorder="1" applyAlignment="1">
      <alignment vertical="center"/>
    </xf>
    <xf numFmtId="49" fontId="31" fillId="0" borderId="91" xfId="0" applyNumberFormat="1" applyFont="1" applyBorder="1" applyAlignment="1">
      <alignment vertical="center" wrapText="1"/>
    </xf>
    <xf numFmtId="0" fontId="13" fillId="0" borderId="91" xfId="12" applyFont="1" applyBorder="1" applyAlignment="1">
      <alignment vertical="center" wrapText="1"/>
    </xf>
    <xf numFmtId="3" fontId="13" fillId="0" borderId="93" xfId="12" applyNumberFormat="1" applyFont="1" applyBorder="1" applyAlignment="1">
      <alignment vertical="center"/>
    </xf>
    <xf numFmtId="49" fontId="0" fillId="0" borderId="0" xfId="0" applyNumberFormat="1" applyFill="1"/>
    <xf numFmtId="0" fontId="14" fillId="0" borderId="91" xfId="9" applyFont="1" applyBorder="1" applyAlignment="1">
      <alignment vertical="center" wrapText="1"/>
    </xf>
    <xf numFmtId="0" fontId="13" fillId="0" borderId="91" xfId="9" applyFont="1" applyBorder="1" applyAlignment="1">
      <alignment vertical="center" wrapText="1"/>
    </xf>
    <xf numFmtId="0" fontId="14" fillId="2" borderId="91" xfId="9" applyFont="1" applyFill="1" applyBorder="1" applyAlignment="1">
      <alignment vertical="center" wrapText="1"/>
    </xf>
    <xf numFmtId="3" fontId="14" fillId="0" borderId="77" xfId="9" applyNumberFormat="1" applyFont="1" applyBorder="1" applyAlignment="1">
      <alignment vertical="center"/>
    </xf>
    <xf numFmtId="3" fontId="13" fillId="0" borderId="18" xfId="9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6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/>
    </xf>
    <xf numFmtId="3" fontId="4" fillId="0" borderId="45" xfId="0" applyNumberFormat="1" applyFont="1" applyBorder="1" applyAlignment="1">
      <alignment vertical="center"/>
    </xf>
    <xf numFmtId="0" fontId="4" fillId="0" borderId="47" xfId="0" applyFont="1" applyBorder="1" applyAlignment="1">
      <alignment horizontal="center" vertical="center"/>
    </xf>
    <xf numFmtId="3" fontId="4" fillId="0" borderId="94" xfId="0" applyNumberFormat="1" applyFont="1" applyBorder="1" applyAlignment="1">
      <alignment vertical="center"/>
    </xf>
    <xf numFmtId="3" fontId="5" fillId="0" borderId="94" xfId="0" applyNumberFormat="1" applyFont="1" applyBorder="1" applyAlignment="1">
      <alignment vertical="center"/>
    </xf>
    <xf numFmtId="3" fontId="6" fillId="0" borderId="94" xfId="0" applyNumberFormat="1" applyFont="1" applyBorder="1" applyAlignment="1">
      <alignment vertical="center"/>
    </xf>
    <xf numFmtId="0" fontId="6" fillId="0" borderId="47" xfId="0" applyFont="1" applyBorder="1" applyAlignment="1">
      <alignment horizontal="left" vertical="center" wrapText="1"/>
    </xf>
    <xf numFmtId="0" fontId="4" fillId="0" borderId="87" xfId="0" applyFont="1" applyBorder="1" applyAlignment="1">
      <alignment horizontal="left" vertical="center"/>
    </xf>
    <xf numFmtId="3" fontId="4" fillId="0" borderId="95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0" fontId="5" fillId="0" borderId="31" xfId="0" applyFont="1" applyBorder="1" applyAlignment="1">
      <alignment horizontal="left" vertical="center"/>
    </xf>
    <xf numFmtId="3" fontId="5" fillId="0" borderId="28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horizontal="left" vertical="center"/>
    </xf>
    <xf numFmtId="0" fontId="3" fillId="0" borderId="28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3" fontId="3" fillId="0" borderId="76" xfId="0" applyNumberFormat="1" applyFont="1" applyBorder="1" applyAlignment="1">
      <alignment vertical="center"/>
    </xf>
    <xf numFmtId="3" fontId="36" fillId="0" borderId="1" xfId="0" applyNumberFormat="1" applyFont="1" applyBorder="1" applyAlignment="1">
      <alignment vertical="center"/>
    </xf>
    <xf numFmtId="0" fontId="4" fillId="0" borderId="74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5" fillId="0" borderId="87" xfId="0" applyFont="1" applyBorder="1" applyAlignment="1">
      <alignment vertical="center"/>
    </xf>
    <xf numFmtId="3" fontId="5" fillId="0" borderId="95" xfId="0" applyNumberFormat="1" applyFont="1" applyBorder="1" applyAlignment="1">
      <alignment vertical="center"/>
    </xf>
    <xf numFmtId="3" fontId="5" fillId="0" borderId="45" xfId="0" applyNumberFormat="1" applyFont="1" applyBorder="1" applyAlignment="1">
      <alignment vertical="center"/>
    </xf>
    <xf numFmtId="49" fontId="4" fillId="0" borderId="87" xfId="0" applyNumberFormat="1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right" vertical="center"/>
    </xf>
    <xf numFmtId="3" fontId="2" fillId="0" borderId="0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10" fillId="0" borderId="0" xfId="1" applyNumberFormat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94" xfId="1" applyFont="1" applyBorder="1" applyAlignment="1">
      <alignment horizontal="center" vertical="center"/>
    </xf>
    <xf numFmtId="3" fontId="2" fillId="0" borderId="94" xfId="1" applyNumberFormat="1" applyFont="1" applyBorder="1" applyAlignment="1">
      <alignment vertical="center"/>
    </xf>
    <xf numFmtId="3" fontId="5" fillId="0" borderId="94" xfId="1" applyNumberFormat="1" applyFont="1" applyBorder="1" applyAlignment="1">
      <alignment vertical="center"/>
    </xf>
    <xf numFmtId="3" fontId="10" fillId="0" borderId="94" xfId="1" applyNumberFormat="1" applyFont="1" applyBorder="1" applyAlignment="1">
      <alignment vertical="center"/>
    </xf>
    <xf numFmtId="3" fontId="6" fillId="0" borderId="94" xfId="1" applyNumberFormat="1" applyFont="1" applyBorder="1" applyAlignment="1">
      <alignment vertical="center"/>
    </xf>
    <xf numFmtId="3" fontId="12" fillId="0" borderId="94" xfId="1" applyNumberFormat="1" applyFont="1" applyBorder="1" applyAlignment="1">
      <alignment vertical="center"/>
    </xf>
    <xf numFmtId="0" fontId="2" fillId="0" borderId="87" xfId="1" applyFont="1" applyBorder="1" applyAlignment="1">
      <alignment vertical="center" wrapText="1"/>
    </xf>
    <xf numFmtId="3" fontId="2" fillId="0" borderId="95" xfId="1" applyNumberFormat="1" applyFont="1" applyBorder="1" applyAlignment="1">
      <alignment vertical="center"/>
    </xf>
    <xf numFmtId="3" fontId="2" fillId="0" borderId="12" xfId="1" applyNumberFormat="1" applyFont="1" applyBorder="1" applyAlignment="1">
      <alignment vertical="center"/>
    </xf>
    <xf numFmtId="3" fontId="2" fillId="2" borderId="45" xfId="1" applyNumberFormat="1" applyFont="1" applyFill="1" applyBorder="1" applyAlignment="1">
      <alignment vertical="center"/>
    </xf>
    <xf numFmtId="3" fontId="2" fillId="2" borderId="94" xfId="1" applyNumberFormat="1" applyFont="1" applyFill="1" applyBorder="1" applyAlignment="1">
      <alignment vertical="center"/>
    </xf>
    <xf numFmtId="3" fontId="2" fillId="0" borderId="28" xfId="1" applyNumberFormat="1" applyFont="1" applyBorder="1" applyAlignment="1">
      <alignment vertical="center"/>
    </xf>
    <xf numFmtId="3" fontId="2" fillId="0" borderId="45" xfId="1" applyNumberFormat="1" applyFont="1" applyBorder="1" applyAlignment="1">
      <alignment horizontal="right" vertical="center"/>
    </xf>
    <xf numFmtId="3" fontId="5" fillId="0" borderId="45" xfId="1" applyNumberFormat="1" applyFont="1" applyBorder="1" applyAlignment="1">
      <alignment vertical="center"/>
    </xf>
    <xf numFmtId="3" fontId="4" fillId="0" borderId="94" xfId="1" applyNumberFormat="1" applyFont="1" applyBorder="1" applyAlignment="1">
      <alignment vertical="center"/>
    </xf>
    <xf numFmtId="49" fontId="10" fillId="0" borderId="87" xfId="1" applyNumberFormat="1" applyFont="1" applyBorder="1" applyAlignment="1">
      <alignment vertical="center" wrapText="1"/>
    </xf>
    <xf numFmtId="3" fontId="4" fillId="0" borderId="45" xfId="1" applyNumberFormat="1" applyFont="1" applyBorder="1" applyAlignment="1">
      <alignment vertical="center"/>
    </xf>
    <xf numFmtId="0" fontId="10" fillId="0" borderId="87" xfId="0" applyFont="1" applyBorder="1" applyAlignment="1">
      <alignment vertical="center"/>
    </xf>
    <xf numFmtId="3" fontId="10" fillId="0" borderId="95" xfId="1" applyNumberFormat="1" applyFont="1" applyBorder="1" applyAlignment="1">
      <alignment vertical="center"/>
    </xf>
    <xf numFmtId="3" fontId="4" fillId="2" borderId="0" xfId="1" applyNumberFormat="1" applyFont="1" applyFill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2" fillId="0" borderId="87" xfId="1" applyFont="1" applyBorder="1" applyAlignment="1">
      <alignment horizontal="center" vertical="center" wrapText="1"/>
    </xf>
    <xf numFmtId="0" fontId="2" fillId="0" borderId="95" xfId="1" applyFont="1" applyBorder="1" applyAlignment="1">
      <alignment horizontal="center" vertical="center"/>
    </xf>
    <xf numFmtId="0" fontId="2" fillId="0" borderId="74" xfId="1" applyFont="1" applyBorder="1" applyAlignment="1">
      <alignment horizontal="left" vertical="center" wrapText="1"/>
    </xf>
    <xf numFmtId="3" fontId="2" fillId="0" borderId="76" xfId="1" applyNumberFormat="1" applyFont="1" applyBorder="1" applyAlignment="1">
      <alignment vertical="center"/>
    </xf>
    <xf numFmtId="3" fontId="11" fillId="0" borderId="94" xfId="3" applyNumberFormat="1" applyFont="1" applyBorder="1" applyAlignment="1">
      <alignment vertical="center"/>
    </xf>
    <xf numFmtId="0" fontId="10" fillId="0" borderId="87" xfId="1" applyFont="1" applyBorder="1" applyAlignment="1">
      <alignment vertical="center" wrapText="1"/>
    </xf>
    <xf numFmtId="3" fontId="2" fillId="0" borderId="45" xfId="1" applyNumberFormat="1" applyFont="1" applyBorder="1" applyAlignment="1">
      <alignment vertical="center"/>
    </xf>
    <xf numFmtId="3" fontId="15" fillId="0" borderId="94" xfId="1" applyNumberFormat="1" applyFont="1" applyBorder="1" applyAlignment="1">
      <alignment vertical="center"/>
    </xf>
    <xf numFmtId="49" fontId="2" fillId="0" borderId="74" xfId="1" applyNumberFormat="1" applyFont="1" applyBorder="1" applyAlignment="1">
      <alignment vertical="center" wrapText="1"/>
    </xf>
    <xf numFmtId="3" fontId="4" fillId="2" borderId="94" xfId="1" applyNumberFormat="1" applyFont="1" applyFill="1" applyBorder="1" applyAlignment="1">
      <alignment vertical="center"/>
    </xf>
    <xf numFmtId="3" fontId="14" fillId="0" borderId="87" xfId="0" applyNumberFormat="1" applyFont="1" applyBorder="1" applyAlignment="1">
      <alignment vertical="center" wrapText="1"/>
    </xf>
    <xf numFmtId="3" fontId="2" fillId="0" borderId="12" xfId="2" applyNumberFormat="1" applyFont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3" fontId="2" fillId="0" borderId="94" xfId="1" applyNumberFormat="1" applyFont="1" applyFill="1" applyBorder="1" applyAlignment="1">
      <alignment vertical="center"/>
    </xf>
    <xf numFmtId="0" fontId="20" fillId="0" borderId="0" xfId="0" applyFont="1"/>
    <xf numFmtId="0" fontId="21" fillId="0" borderId="84" xfId="20" applyFont="1" applyBorder="1" applyAlignment="1" applyProtection="1">
      <alignment horizontal="center" vertical="center" wrapText="1"/>
    </xf>
    <xf numFmtId="0" fontId="20" fillId="5" borderId="0" xfId="0" applyFont="1" applyFill="1"/>
    <xf numFmtId="3" fontId="41" fillId="0" borderId="84" xfId="20" applyNumberFormat="1" applyFont="1" applyBorder="1" applyAlignment="1" applyProtection="1">
      <alignment horizontal="right"/>
    </xf>
    <xf numFmtId="3" fontId="66" fillId="0" borderId="84" xfId="20" applyNumberFormat="1" applyFont="1" applyBorder="1" applyAlignment="1" applyProtection="1">
      <alignment horizontal="right"/>
    </xf>
    <xf numFmtId="0" fontId="41" fillId="0" borderId="0" xfId="0" applyFont="1"/>
    <xf numFmtId="0" fontId="20" fillId="0" borderId="84" xfId="20" applyFont="1" applyBorder="1" applyAlignment="1" applyProtection="1">
      <alignment horizontal="left"/>
    </xf>
    <xf numFmtId="0" fontId="20" fillId="0" borderId="84" xfId="20" applyFont="1" applyBorder="1" applyProtection="1"/>
    <xf numFmtId="3" fontId="20" fillId="0" borderId="84" xfId="20" applyNumberFormat="1" applyFont="1" applyBorder="1" applyAlignment="1" applyProtection="1">
      <alignment horizontal="right"/>
    </xf>
    <xf numFmtId="0" fontId="20" fillId="0" borderId="84" xfId="0" applyFont="1" applyBorder="1"/>
    <xf numFmtId="3" fontId="20" fillId="0" borderId="84" xfId="0" applyNumberFormat="1" applyFont="1" applyBorder="1"/>
    <xf numFmtId="0" fontId="67" fillId="0" borderId="0" xfId="0" applyFont="1" applyAlignment="1">
      <alignment vertical="center"/>
    </xf>
    <xf numFmtId="49" fontId="59" fillId="0" borderId="92" xfId="0" applyNumberFormat="1" applyFont="1" applyBorder="1"/>
    <xf numFmtId="0" fontId="52" fillId="5" borderId="92" xfId="0" applyFont="1" applyFill="1" applyBorder="1"/>
    <xf numFmtId="3" fontId="52" fillId="5" borderId="92" xfId="0" applyNumberFormat="1" applyFont="1" applyFill="1" applyBorder="1" applyAlignment="1">
      <alignment horizontal="center"/>
    </xf>
    <xf numFmtId="3" fontId="60" fillId="5" borderId="92" xfId="0" applyNumberFormat="1" applyFont="1" applyFill="1" applyBorder="1" applyAlignment="1">
      <alignment horizontal="right"/>
    </xf>
    <xf numFmtId="49" fontId="60" fillId="0" borderId="92" xfId="0" applyNumberFormat="1" applyFont="1" applyBorder="1" applyAlignment="1">
      <alignment horizontal="left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3" fontId="60" fillId="0" borderId="92" xfId="0" applyNumberFormat="1" applyFont="1" applyBorder="1"/>
    <xf numFmtId="3" fontId="52" fillId="0" borderId="92" xfId="0" applyNumberFormat="1" applyFont="1" applyBorder="1"/>
    <xf numFmtId="0" fontId="61" fillId="0" borderId="92" xfId="0" applyFont="1" applyBorder="1"/>
    <xf numFmtId="0" fontId="52" fillId="5" borderId="92" xfId="0" applyFont="1" applyFill="1" applyBorder="1" applyAlignment="1">
      <alignment horizontal="center"/>
    </xf>
    <xf numFmtId="3" fontId="60" fillId="5" borderId="92" xfId="0" applyNumberFormat="1" applyFont="1" applyFill="1" applyBorder="1"/>
    <xf numFmtId="3" fontId="57" fillId="5" borderId="92" xfId="0" applyNumberFormat="1" applyFont="1" applyFill="1" applyBorder="1"/>
    <xf numFmtId="3" fontId="52" fillId="5" borderId="92" xfId="0" applyNumberFormat="1" applyFont="1" applyFill="1" applyBorder="1"/>
    <xf numFmtId="0" fontId="57" fillId="5" borderId="92" xfId="0" applyFont="1" applyFill="1" applyBorder="1"/>
    <xf numFmtId="0" fontId="57" fillId="5" borderId="92" xfId="0" applyFont="1" applyFill="1" applyBorder="1" applyAlignment="1">
      <alignment horizontal="center"/>
    </xf>
    <xf numFmtId="3" fontId="40" fillId="5" borderId="92" xfId="0" applyNumberFormat="1" applyFont="1" applyFill="1" applyBorder="1"/>
    <xf numFmtId="168" fontId="52" fillId="5" borderId="92" xfId="0" applyNumberFormat="1" applyFont="1" applyFill="1" applyBorder="1" applyAlignment="1">
      <alignment horizontal="right"/>
    </xf>
    <xf numFmtId="0" fontId="69" fillId="0" borderId="92" xfId="0" applyFont="1" applyBorder="1" applyAlignment="1">
      <alignment horizontal="center"/>
    </xf>
    <xf numFmtId="168" fontId="60" fillId="0" borderId="92" xfId="0" applyNumberFormat="1" applyFont="1" applyBorder="1"/>
    <xf numFmtId="3" fontId="57" fillId="0" borderId="92" xfId="0" applyNumberFormat="1" applyFont="1" applyBorder="1"/>
    <xf numFmtId="3" fontId="52" fillId="0" borderId="92" xfId="0" applyNumberFormat="1" applyFont="1" applyBorder="1" applyAlignment="1">
      <alignment horizontal="right" vertical="center"/>
    </xf>
    <xf numFmtId="49" fontId="40" fillId="0" borderId="92" xfId="0" applyNumberFormat="1" applyFont="1" applyBorder="1" applyAlignment="1">
      <alignment horizontal="left" vertical="center"/>
    </xf>
    <xf numFmtId="3" fontId="57" fillId="0" borderId="92" xfId="0" applyNumberFormat="1" applyFont="1" applyBorder="1" applyAlignment="1">
      <alignment horizontal="right" vertical="center"/>
    </xf>
    <xf numFmtId="167" fontId="52" fillId="0" borderId="92" xfId="0" applyNumberFormat="1" applyFont="1" applyBorder="1"/>
    <xf numFmtId="49" fontId="57" fillId="0" borderId="92" xfId="0" applyNumberFormat="1" applyFont="1" applyBorder="1"/>
    <xf numFmtId="0" fontId="70" fillId="0" borderId="92" xfId="0" applyFont="1" applyBorder="1"/>
    <xf numFmtId="0" fontId="57" fillId="0" borderId="92" xfId="0" applyFont="1" applyBorder="1" applyAlignment="1">
      <alignment horizontal="center"/>
    </xf>
    <xf numFmtId="3" fontId="40" fillId="0" borderId="92" xfId="0" applyNumberFormat="1" applyFont="1" applyBorder="1"/>
    <xf numFmtId="0" fontId="7" fillId="0" borderId="92" xfId="0" applyFont="1" applyBorder="1"/>
    <xf numFmtId="0" fontId="7" fillId="0" borderId="92" xfId="0" applyFont="1" applyBorder="1" applyAlignment="1">
      <alignment horizontal="center"/>
    </xf>
    <xf numFmtId="3" fontId="69" fillId="0" borderId="92" xfId="0" applyNumberFormat="1" applyFont="1" applyBorder="1" applyAlignment="1">
      <alignment horizontal="center"/>
    </xf>
    <xf numFmtId="3" fontId="57" fillId="5" borderId="92" xfId="0" applyNumberFormat="1" applyFont="1" applyFill="1" applyBorder="1" applyAlignment="1">
      <alignment horizontal="right"/>
    </xf>
    <xf numFmtId="0" fontId="7" fillId="5" borderId="92" xfId="0" applyFont="1" applyFill="1" applyBorder="1" applyAlignment="1">
      <alignment wrapText="1"/>
    </xf>
    <xf numFmtId="0" fontId="69" fillId="5" borderId="92" xfId="0" applyFont="1" applyFill="1" applyBorder="1" applyAlignment="1">
      <alignment horizontal="center" vertical="center" wrapText="1"/>
    </xf>
    <xf numFmtId="0" fontId="52" fillId="6" borderId="92" xfId="0" applyFont="1" applyFill="1" applyBorder="1"/>
    <xf numFmtId="0" fontId="52" fillId="6" borderId="92" xfId="0" applyFont="1" applyFill="1" applyBorder="1" applyAlignment="1">
      <alignment horizontal="center"/>
    </xf>
    <xf numFmtId="3" fontId="61" fillId="6" borderId="92" xfId="0" applyNumberFormat="1" applyFont="1" applyFill="1" applyBorder="1"/>
    <xf numFmtId="3" fontId="63" fillId="6" borderId="92" xfId="0" applyNumberFormat="1" applyFont="1" applyFill="1" applyBorder="1"/>
    <xf numFmtId="3" fontId="60" fillId="0" borderId="92" xfId="0" applyNumberFormat="1" applyFont="1" applyBorder="1" applyAlignment="1">
      <alignment horizontal="center"/>
    </xf>
    <xf numFmtId="49" fontId="60" fillId="6" borderId="92" xfId="0" applyNumberFormat="1" applyFont="1" applyFill="1" applyBorder="1" applyAlignment="1">
      <alignment horizontal="left" vertical="center" wrapText="1"/>
    </xf>
    <xf numFmtId="3" fontId="52" fillId="6" borderId="92" xfId="0" applyNumberFormat="1" applyFont="1" applyFill="1" applyBorder="1"/>
    <xf numFmtId="0" fontId="52" fillId="7" borderId="92" xfId="0" applyFont="1" applyFill="1" applyBorder="1"/>
    <xf numFmtId="0" fontId="52" fillId="7" borderId="92" xfId="0" applyFont="1" applyFill="1" applyBorder="1" applyAlignment="1">
      <alignment horizontal="center"/>
    </xf>
    <xf numFmtId="3" fontId="61" fillId="7" borderId="92" xfId="0" applyNumberFormat="1" applyFont="1" applyFill="1" applyBorder="1"/>
    <xf numFmtId="3" fontId="63" fillId="7" borderId="92" xfId="0" applyNumberFormat="1" applyFont="1" applyFill="1" applyBorder="1"/>
    <xf numFmtId="0" fontId="35" fillId="0" borderId="92" xfId="0" applyFont="1" applyBorder="1"/>
    <xf numFmtId="0" fontId="35" fillId="0" borderId="92" xfId="0" applyFont="1" applyBorder="1" applyAlignment="1">
      <alignment horizontal="center"/>
    </xf>
    <xf numFmtId="3" fontId="73" fillId="0" borderId="92" xfId="0" applyNumberFormat="1" applyFont="1" applyBorder="1" applyAlignment="1">
      <alignment horizontal="center"/>
    </xf>
    <xf numFmtId="0" fontId="57" fillId="0" borderId="47" xfId="0" applyFont="1" applyBorder="1" applyAlignment="1">
      <alignment horizontal="center" vertical="center" wrapText="1"/>
    </xf>
    <xf numFmtId="3" fontId="52" fillId="0" borderId="48" xfId="0" applyNumberFormat="1" applyFont="1" applyBorder="1"/>
    <xf numFmtId="0" fontId="61" fillId="0" borderId="47" xfId="0" applyFont="1" applyBorder="1"/>
    <xf numFmtId="3" fontId="57" fillId="0" borderId="48" xfId="0" applyNumberFormat="1" applyFont="1" applyBorder="1" applyAlignment="1">
      <alignment horizontal="right"/>
    </xf>
    <xf numFmtId="3" fontId="52" fillId="0" borderId="48" xfId="0" applyNumberFormat="1" applyFont="1" applyBorder="1" applyAlignment="1">
      <alignment horizontal="right"/>
    </xf>
    <xf numFmtId="0" fontId="59" fillId="0" borderId="47" xfId="0" applyFont="1" applyBorder="1"/>
    <xf numFmtId="0" fontId="57" fillId="0" borderId="47" xfId="0" applyFont="1" applyBorder="1"/>
    <xf numFmtId="3" fontId="52" fillId="0" borderId="48" xfId="0" applyNumberFormat="1" applyFont="1" applyBorder="1" applyAlignment="1">
      <alignment horizontal="right" vertical="center"/>
    </xf>
    <xf numFmtId="3" fontId="57" fillId="0" borderId="48" xfId="0" applyNumberFormat="1" applyFont="1" applyBorder="1" applyAlignment="1">
      <alignment horizontal="right" vertical="center"/>
    </xf>
    <xf numFmtId="3" fontId="60" fillId="0" borderId="48" xfId="0" applyNumberFormat="1" applyFont="1" applyBorder="1" applyAlignment="1">
      <alignment horizontal="left" vertical="center"/>
    </xf>
    <xf numFmtId="3" fontId="57" fillId="0" borderId="48" xfId="0" applyNumberFormat="1" applyFont="1" applyBorder="1"/>
    <xf numFmtId="0" fontId="61" fillId="5" borderId="47" xfId="0" applyFont="1" applyFill="1" applyBorder="1"/>
    <xf numFmtId="3" fontId="52" fillId="5" borderId="48" xfId="0" applyNumberFormat="1" applyFont="1" applyFill="1" applyBorder="1"/>
    <xf numFmtId="0" fontId="59" fillId="5" borderId="47" xfId="0" applyFont="1" applyFill="1" applyBorder="1"/>
    <xf numFmtId="0" fontId="57" fillId="5" borderId="47" xfId="0" applyFont="1" applyFill="1" applyBorder="1"/>
    <xf numFmtId="3" fontId="57" fillId="5" borderId="48" xfId="0" applyNumberFormat="1" applyFont="1" applyFill="1" applyBorder="1"/>
    <xf numFmtId="0" fontId="52" fillId="0" borderId="47" xfId="0" applyFont="1" applyBorder="1"/>
    <xf numFmtId="49" fontId="52" fillId="0" borderId="47" xfId="0" applyNumberFormat="1" applyFont="1" applyBorder="1" applyAlignment="1">
      <alignment vertical="center" wrapText="1"/>
    </xf>
    <xf numFmtId="49" fontId="52" fillId="0" borderId="47" xfId="0" applyNumberFormat="1" applyFont="1" applyBorder="1" applyAlignment="1">
      <alignment wrapText="1"/>
    </xf>
    <xf numFmtId="49" fontId="57" fillId="0" borderId="47" xfId="0" applyNumberFormat="1" applyFont="1" applyBorder="1" applyAlignment="1">
      <alignment vertical="center" wrapText="1"/>
    </xf>
    <xf numFmtId="3" fontId="7" fillId="0" borderId="48" xfId="0" applyNumberFormat="1" applyFont="1" applyBorder="1"/>
    <xf numFmtId="3" fontId="63" fillId="6" borderId="48" xfId="0" applyNumberFormat="1" applyFont="1" applyFill="1" applyBorder="1"/>
    <xf numFmtId="0" fontId="57" fillId="0" borderId="47" xfId="0" applyFont="1" applyBorder="1" applyAlignment="1">
      <alignment horizontal="left" vertical="center" wrapText="1"/>
    </xf>
    <xf numFmtId="0" fontId="57" fillId="6" borderId="47" xfId="0" applyFont="1" applyFill="1" applyBorder="1" applyAlignment="1">
      <alignment horizontal="center" vertical="center" wrapText="1"/>
    </xf>
    <xf numFmtId="3" fontId="52" fillId="6" borderId="48" xfId="0" applyNumberFormat="1" applyFont="1" applyFill="1" applyBorder="1"/>
    <xf numFmtId="0" fontId="52" fillId="7" borderId="47" xfId="0" applyFont="1" applyFill="1" applyBorder="1"/>
    <xf numFmtId="3" fontId="63" fillId="7" borderId="48" xfId="0" applyNumberFormat="1" applyFont="1" applyFill="1" applyBorder="1"/>
    <xf numFmtId="0" fontId="35" fillId="0" borderId="47" xfId="0" applyFont="1" applyBorder="1"/>
    <xf numFmtId="3" fontId="35" fillId="0" borderId="48" xfId="0" applyNumberFormat="1" applyFont="1" applyBorder="1"/>
    <xf numFmtId="3" fontId="74" fillId="0" borderId="48" xfId="0" applyNumberFormat="1" applyFont="1" applyBorder="1"/>
    <xf numFmtId="0" fontId="35" fillId="0" borderId="9" xfId="0" applyFont="1" applyBorder="1"/>
    <xf numFmtId="0" fontId="35" fillId="0" borderId="66" xfId="0" applyFont="1" applyBorder="1"/>
    <xf numFmtId="0" fontId="35" fillId="0" borderId="66" xfId="0" applyFont="1" applyBorder="1" applyAlignment="1">
      <alignment horizontal="center"/>
    </xf>
    <xf numFmtId="3" fontId="73" fillId="0" borderId="66" xfId="0" applyNumberFormat="1" applyFont="1" applyBorder="1" applyAlignment="1">
      <alignment horizontal="center"/>
    </xf>
    <xf numFmtId="3" fontId="75" fillId="0" borderId="1" xfId="0" applyNumberFormat="1" applyFont="1" applyBorder="1"/>
    <xf numFmtId="0" fontId="54" fillId="0" borderId="0" xfId="0" applyFont="1" applyAlignment="1">
      <alignment horizontal="left" vertical="center"/>
    </xf>
    <xf numFmtId="49" fontId="61" fillId="0" borderId="92" xfId="0" applyNumberFormat="1" applyFont="1" applyBorder="1" applyAlignment="1">
      <alignment horizontal="left" vertical="center" wrapText="1"/>
    </xf>
    <xf numFmtId="49" fontId="52" fillId="0" borderId="92" xfId="0" applyNumberFormat="1" applyFont="1" applyBorder="1" applyAlignment="1">
      <alignment horizontal="left" vertical="center" wrapText="1"/>
    </xf>
    <xf numFmtId="49" fontId="57" fillId="0" borderId="92" xfId="0" applyNumberFormat="1" applyFont="1" applyBorder="1" applyAlignment="1">
      <alignment horizontal="left" vertical="center" wrapText="1"/>
    </xf>
    <xf numFmtId="49" fontId="59" fillId="0" borderId="92" xfId="0" applyNumberFormat="1" applyFont="1" applyBorder="1" applyAlignment="1">
      <alignment horizontal="left" vertical="center"/>
    </xf>
    <xf numFmtId="49" fontId="61" fillId="0" borderId="92" xfId="0" applyNumberFormat="1" applyFont="1" applyBorder="1" applyAlignment="1">
      <alignment horizontal="left" vertical="center"/>
    </xf>
    <xf numFmtId="49" fontId="57" fillId="5" borderId="92" xfId="0" applyNumberFormat="1" applyFont="1" applyFill="1" applyBorder="1" applyAlignment="1">
      <alignment horizontal="left" vertical="center"/>
    </xf>
    <xf numFmtId="2" fontId="52" fillId="5" borderId="92" xfId="0" applyNumberFormat="1" applyFont="1" applyFill="1" applyBorder="1" applyAlignment="1">
      <alignment horizontal="left" vertical="center" wrapText="1"/>
    </xf>
    <xf numFmtId="49" fontId="52" fillId="5" borderId="92" xfId="0" applyNumberFormat="1" applyFont="1" applyFill="1" applyBorder="1" applyAlignment="1">
      <alignment horizontal="left" vertical="center" wrapText="1"/>
    </xf>
    <xf numFmtId="49" fontId="57" fillId="0" borderId="92" xfId="0" applyNumberFormat="1" applyFont="1" applyBorder="1" applyAlignment="1">
      <alignment horizontal="left" vertical="center"/>
    </xf>
    <xf numFmtId="49" fontId="52" fillId="0" borderId="92" xfId="0" applyNumberFormat="1" applyFont="1" applyBorder="1" applyAlignment="1">
      <alignment horizontal="left" vertical="center"/>
    </xf>
    <xf numFmtId="0" fontId="52" fillId="0" borderId="92" xfId="0" applyFont="1" applyBorder="1" applyAlignment="1">
      <alignment horizontal="left" vertical="center" wrapText="1"/>
    </xf>
    <xf numFmtId="49" fontId="52" fillId="5" borderId="92" xfId="0" applyNumberFormat="1" applyFont="1" applyFill="1" applyBorder="1" applyAlignment="1">
      <alignment horizontal="left" vertical="center"/>
    </xf>
    <xf numFmtId="49" fontId="71" fillId="0" borderId="92" xfId="0" applyNumberFormat="1" applyFont="1" applyBorder="1" applyAlignment="1">
      <alignment horizontal="left" vertical="center" wrapText="1"/>
    </xf>
    <xf numFmtId="49" fontId="21" fillId="0" borderId="92" xfId="0" applyNumberFormat="1" applyFont="1" applyBorder="1" applyAlignment="1">
      <alignment horizontal="left" vertical="center" wrapText="1"/>
    </xf>
    <xf numFmtId="49" fontId="72" fillId="0" borderId="92" xfId="0" applyNumberFormat="1" applyFont="1" applyBorder="1" applyAlignment="1">
      <alignment horizontal="left" vertical="center"/>
    </xf>
    <xf numFmtId="49" fontId="35" fillId="0" borderId="92" xfId="0" applyNumberFormat="1" applyFont="1" applyBorder="1" applyAlignment="1">
      <alignment horizontal="left" vertical="center" wrapText="1"/>
    </xf>
    <xf numFmtId="49" fontId="72" fillId="0" borderId="92" xfId="0" applyNumberFormat="1" applyFont="1" applyBorder="1" applyAlignment="1">
      <alignment horizontal="left" vertical="center" wrapText="1"/>
    </xf>
    <xf numFmtId="49" fontId="74" fillId="0" borderId="66" xfId="0" applyNumberFormat="1" applyFont="1" applyBorder="1" applyAlignment="1">
      <alignment horizontal="left" vertical="center" wrapText="1"/>
    </xf>
    <xf numFmtId="49" fontId="61" fillId="0" borderId="0" xfId="0" applyNumberFormat="1" applyFont="1" applyAlignment="1">
      <alignment horizontal="left" vertical="center"/>
    </xf>
    <xf numFmtId="49" fontId="56" fillId="0" borderId="0" xfId="0" applyNumberFormat="1" applyFont="1" applyAlignment="1">
      <alignment horizontal="left" vertical="center"/>
    </xf>
    <xf numFmtId="49" fontId="57" fillId="0" borderId="84" xfId="0" applyNumberFormat="1" applyFont="1" applyBorder="1" applyAlignment="1">
      <alignment horizontal="left" vertical="center"/>
    </xf>
    <xf numFmtId="49" fontId="56" fillId="0" borderId="84" xfId="0" applyNumberFormat="1" applyFont="1" applyFill="1" applyBorder="1" applyAlignment="1">
      <alignment horizontal="left" vertical="center"/>
    </xf>
    <xf numFmtId="49" fontId="63" fillId="0" borderId="84" xfId="0" applyNumberFormat="1" applyFont="1" applyFill="1" applyBorder="1" applyAlignment="1">
      <alignment horizontal="left" vertical="center"/>
    </xf>
    <xf numFmtId="3" fontId="60" fillId="0" borderId="92" xfId="0" applyNumberFormat="1" applyFont="1" applyBorder="1" applyAlignment="1">
      <alignment horizontal="center" vertical="center"/>
    </xf>
    <xf numFmtId="3" fontId="52" fillId="0" borderId="92" xfId="0" applyNumberFormat="1" applyFont="1" applyBorder="1" applyAlignment="1">
      <alignment vertical="center"/>
    </xf>
    <xf numFmtId="49" fontId="58" fillId="0" borderId="86" xfId="0" applyNumberFormat="1" applyFont="1" applyFill="1" applyBorder="1" applyAlignment="1">
      <alignment horizontal="left" vertical="center"/>
    </xf>
    <xf numFmtId="3" fontId="60" fillId="0" borderId="88" xfId="0" applyNumberFormat="1" applyFont="1" applyBorder="1" applyAlignment="1">
      <alignment horizontal="center" vertical="center" wrapText="1"/>
    </xf>
    <xf numFmtId="3" fontId="52" fillId="0" borderId="88" xfId="0" applyNumberFormat="1" applyFont="1" applyBorder="1" applyAlignment="1">
      <alignment horizontal="center" vertical="center" wrapText="1"/>
    </xf>
    <xf numFmtId="0" fontId="57" fillId="0" borderId="74" xfId="0" applyFont="1" applyBorder="1" applyAlignment="1">
      <alignment horizontal="center" vertical="center" wrapText="1"/>
    </xf>
    <xf numFmtId="49" fontId="60" fillId="0" borderId="75" xfId="0" applyNumberFormat="1" applyFont="1" applyBorder="1" applyAlignment="1">
      <alignment horizontal="left" vertical="center"/>
    </xf>
    <xf numFmtId="0" fontId="52" fillId="0" borderId="75" xfId="0" applyFont="1" applyBorder="1"/>
    <xf numFmtId="0" fontId="52" fillId="0" borderId="75" xfId="0" applyFont="1" applyBorder="1" applyAlignment="1">
      <alignment horizontal="center"/>
    </xf>
    <xf numFmtId="3" fontId="60" fillId="0" borderId="75" xfId="0" applyNumberFormat="1" applyFont="1" applyBorder="1"/>
    <xf numFmtId="3" fontId="52" fillId="0" borderId="75" xfId="0" applyNumberFormat="1" applyFont="1" applyBorder="1"/>
    <xf numFmtId="3" fontId="52" fillId="0" borderId="76" xfId="0" applyNumberFormat="1" applyFont="1" applyBorder="1"/>
    <xf numFmtId="0" fontId="17" fillId="2" borderId="91" xfId="9" applyFont="1" applyFill="1" applyBorder="1" applyAlignment="1">
      <alignment vertical="center" wrapText="1"/>
    </xf>
    <xf numFmtId="0" fontId="35" fillId="0" borderId="97" xfId="0" applyFont="1" applyBorder="1" applyAlignment="1">
      <alignment horizontal="right" vertical="center" wrapText="1"/>
    </xf>
    <xf numFmtId="0" fontId="35" fillId="0" borderId="97" xfId="0" applyFont="1" applyBorder="1"/>
    <xf numFmtId="0" fontId="17" fillId="2" borderId="98" xfId="9" applyFont="1" applyFill="1" applyBorder="1" applyAlignment="1">
      <alignment vertical="center" wrapText="1"/>
    </xf>
    <xf numFmtId="3" fontId="17" fillId="0" borderId="97" xfId="9" applyNumberFormat="1" applyFont="1" applyBorder="1" applyAlignment="1">
      <alignment vertical="center"/>
    </xf>
    <xf numFmtId="3" fontId="13" fillId="0" borderId="97" xfId="9" applyNumberFormat="1" applyFont="1" applyBorder="1" applyAlignment="1">
      <alignment vertical="center"/>
    </xf>
    <xf numFmtId="0" fontId="13" fillId="2" borderId="98" xfId="9" applyFont="1" applyFill="1" applyBorder="1" applyAlignment="1">
      <alignment vertical="center" wrapText="1"/>
    </xf>
    <xf numFmtId="0" fontId="13" fillId="2" borderId="91" xfId="9" applyFont="1" applyFill="1" applyBorder="1" applyAlignment="1">
      <alignment vertical="center" wrapText="1"/>
    </xf>
    <xf numFmtId="3" fontId="35" fillId="0" borderId="97" xfId="9" applyNumberFormat="1" applyFont="1" applyBorder="1" applyAlignment="1">
      <alignment vertical="center"/>
    </xf>
    <xf numFmtId="49" fontId="35" fillId="4" borderId="99" xfId="0" applyNumberFormat="1" applyFont="1" applyFill="1" applyBorder="1" applyAlignment="1">
      <alignment vertical="center" wrapText="1"/>
    </xf>
    <xf numFmtId="3" fontId="35" fillId="4" borderId="90" xfId="0" applyNumberFormat="1" applyFont="1" applyFill="1" applyBorder="1" applyAlignment="1">
      <alignment horizontal="right" wrapText="1"/>
    </xf>
    <xf numFmtId="3" fontId="14" fillId="0" borderId="97" xfId="9" applyNumberFormat="1" applyFont="1" applyBorder="1" applyAlignment="1">
      <alignment vertical="center"/>
    </xf>
    <xf numFmtId="49" fontId="13" fillId="2" borderId="91" xfId="10" applyNumberFormat="1" applyFont="1" applyFill="1" applyBorder="1" applyAlignment="1">
      <alignment horizontal="left" vertical="center" wrapText="1"/>
    </xf>
    <xf numFmtId="0" fontId="13" fillId="0" borderId="91" xfId="0" applyFont="1" applyBorder="1" applyAlignment="1">
      <alignment vertical="center" wrapText="1"/>
    </xf>
    <xf numFmtId="49" fontId="20" fillId="2" borderId="91" xfId="10" applyNumberFormat="1" applyFont="1" applyFill="1" applyBorder="1" applyAlignment="1">
      <alignment horizontal="left" vertical="center" wrapText="1"/>
    </xf>
    <xf numFmtId="49" fontId="20" fillId="2" borderId="91" xfId="10" applyNumberFormat="1" applyFont="1" applyFill="1" applyBorder="1" applyAlignment="1">
      <alignment vertical="center" wrapText="1"/>
    </xf>
    <xf numFmtId="3" fontId="13" fillId="0" borderId="97" xfId="9" applyNumberFormat="1" applyFont="1" applyBorder="1" applyAlignment="1">
      <alignment vertical="center" wrapText="1"/>
    </xf>
    <xf numFmtId="3" fontId="20" fillId="0" borderId="97" xfId="10" applyNumberFormat="1" applyFont="1" applyBorder="1" applyAlignment="1">
      <alignment vertical="center"/>
    </xf>
    <xf numFmtId="49" fontId="7" fillId="2" borderId="91" xfId="10" applyNumberFormat="1" applyFont="1" applyFill="1" applyBorder="1" applyAlignment="1">
      <alignment horizontal="left" vertical="center" wrapText="1"/>
    </xf>
    <xf numFmtId="3" fontId="7" fillId="0" borderId="97" xfId="10" applyNumberFormat="1" applyFont="1" applyFill="1" applyBorder="1" applyAlignment="1">
      <alignment vertical="center"/>
    </xf>
    <xf numFmtId="49" fontId="13" fillId="2" borderId="91" xfId="9" applyNumberFormat="1" applyFont="1" applyFill="1" applyBorder="1" applyAlignment="1">
      <alignment vertical="center" wrapText="1"/>
    </xf>
    <xf numFmtId="3" fontId="7" fillId="0" borderId="97" xfId="9" applyNumberFormat="1" applyFont="1" applyBorder="1" applyAlignment="1">
      <alignment vertical="center"/>
    </xf>
    <xf numFmtId="0" fontId="39" fillId="0" borderId="91" xfId="0" applyFont="1" applyBorder="1" applyAlignment="1">
      <alignment horizontal="left" vertical="center"/>
    </xf>
    <xf numFmtId="49" fontId="20" fillId="2" borderId="100" xfId="10" applyNumberFormat="1" applyFont="1" applyFill="1" applyBorder="1" applyAlignment="1">
      <alignment horizontal="left" vertical="center" wrapText="1"/>
    </xf>
    <xf numFmtId="3" fontId="20" fillId="0" borderId="89" xfId="10" applyNumberFormat="1" applyFont="1" applyBorder="1" applyAlignment="1">
      <alignment vertical="center"/>
    </xf>
    <xf numFmtId="0" fontId="39" fillId="0" borderId="91" xfId="0" applyFont="1" applyBorder="1"/>
    <xf numFmtId="0" fontId="39" fillId="0" borderId="91" xfId="0" applyFont="1" applyBorder="1" applyAlignment="1">
      <alignment wrapText="1"/>
    </xf>
    <xf numFmtId="0" fontId="39" fillId="0" borderId="100" xfId="0" applyFont="1" applyBorder="1" applyAlignment="1">
      <alignment wrapText="1"/>
    </xf>
    <xf numFmtId="0" fontId="35" fillId="0" borderId="101" xfId="0" applyFont="1" applyBorder="1" applyAlignment="1">
      <alignment vertical="center"/>
    </xf>
    <xf numFmtId="0" fontId="35" fillId="0" borderId="102" xfId="0" applyFont="1" applyBorder="1" applyAlignment="1">
      <alignment horizontal="right" vertical="center" wrapText="1"/>
    </xf>
    <xf numFmtId="0" fontId="35" fillId="0" borderId="91" xfId="0" applyFont="1" applyBorder="1" applyAlignment="1">
      <alignment horizontal="left" vertical="center"/>
    </xf>
    <xf numFmtId="0" fontId="35" fillId="0" borderId="91" xfId="0" applyFont="1" applyBorder="1"/>
    <xf numFmtId="0" fontId="35" fillId="0" borderId="91" xfId="0" applyFont="1" applyBorder="1" applyAlignment="1">
      <alignment vertical="center"/>
    </xf>
    <xf numFmtId="3" fontId="35" fillId="0" borderId="103" xfId="0" applyNumberFormat="1" applyFont="1" applyBorder="1" applyAlignment="1">
      <alignment vertical="center"/>
    </xf>
    <xf numFmtId="3" fontId="35" fillId="0" borderId="103" xfId="0" applyNumberFormat="1" applyFont="1" applyBorder="1" applyAlignment="1">
      <alignment horizontal="right" vertical="center"/>
    </xf>
    <xf numFmtId="3" fontId="13" fillId="0" borderId="104" xfId="9" applyNumberFormat="1" applyFont="1" applyBorder="1" applyAlignment="1">
      <alignment vertical="center"/>
    </xf>
    <xf numFmtId="0" fontId="35" fillId="0" borderId="30" xfId="0" applyFont="1" applyBorder="1" applyAlignment="1">
      <alignment vertical="center"/>
    </xf>
    <xf numFmtId="0" fontId="17" fillId="2" borderId="105" xfId="9" applyFont="1" applyFill="1" applyBorder="1" applyAlignment="1">
      <alignment vertical="center" wrapText="1"/>
    </xf>
    <xf numFmtId="3" fontId="17" fillId="0" borderId="104" xfId="9" applyNumberFormat="1" applyFont="1" applyBorder="1" applyAlignment="1">
      <alignment vertical="center"/>
    </xf>
    <xf numFmtId="0" fontId="13" fillId="2" borderId="105" xfId="9" applyFont="1" applyFill="1" applyBorder="1" applyAlignment="1">
      <alignment vertical="center" wrapText="1"/>
    </xf>
    <xf numFmtId="0" fontId="39" fillId="0" borderId="93" xfId="0" applyFont="1" applyBorder="1"/>
    <xf numFmtId="0" fontId="13" fillId="0" borderId="98" xfId="9" applyFont="1" applyBorder="1" applyAlignment="1">
      <alignment vertical="center" wrapText="1"/>
    </xf>
    <xf numFmtId="0" fontId="13" fillId="0" borderId="105" xfId="9" applyFont="1" applyBorder="1" applyAlignment="1">
      <alignment vertical="center" wrapText="1"/>
    </xf>
    <xf numFmtId="3" fontId="35" fillId="0" borderId="104" xfId="0" applyNumberFormat="1" applyFont="1" applyBorder="1" applyAlignment="1">
      <alignment horizontal="right" vertical="center"/>
    </xf>
    <xf numFmtId="0" fontId="13" fillId="0" borderId="100" xfId="9" applyFont="1" applyBorder="1" applyAlignment="1">
      <alignment vertical="center" wrapText="1"/>
    </xf>
    <xf numFmtId="0" fontId="14" fillId="0" borderId="98" xfId="9" applyFont="1" applyBorder="1" applyAlignment="1">
      <alignment vertical="center" wrapText="1"/>
    </xf>
    <xf numFmtId="0" fontId="14" fillId="2" borderId="98" xfId="9" applyFont="1" applyFill="1" applyBorder="1" applyAlignment="1">
      <alignment vertical="center" wrapText="1"/>
    </xf>
    <xf numFmtId="49" fontId="20" fillId="0" borderId="98" xfId="18" applyNumberFormat="1" applyFont="1" applyBorder="1" applyAlignment="1">
      <alignment horizontal="left" vertical="center" wrapText="1"/>
    </xf>
    <xf numFmtId="0" fontId="52" fillId="0" borderId="98" xfId="0" applyFont="1" applyBorder="1"/>
    <xf numFmtId="0" fontId="35" fillId="0" borderId="105" xfId="0" applyFont="1" applyBorder="1" applyAlignment="1">
      <alignment vertical="center"/>
    </xf>
    <xf numFmtId="0" fontId="35" fillId="0" borderId="101" xfId="0" applyFont="1" applyBorder="1" applyAlignment="1">
      <alignment vertical="center" wrapText="1"/>
    </xf>
    <xf numFmtId="0" fontId="35" fillId="0" borderId="101" xfId="0" applyFont="1" applyBorder="1" applyAlignment="1">
      <alignment vertical="top" wrapText="1"/>
    </xf>
    <xf numFmtId="0" fontId="39" fillId="0" borderId="106" xfId="0" applyFont="1" applyBorder="1" applyAlignment="1">
      <alignment wrapText="1"/>
    </xf>
    <xf numFmtId="0" fontId="14" fillId="2" borderId="77" xfId="9" applyFont="1" applyFill="1" applyBorder="1" applyAlignment="1">
      <alignment vertical="center" wrapText="1"/>
    </xf>
    <xf numFmtId="3" fontId="24" fillId="0" borderId="77" xfId="9" applyNumberFormat="1" applyFont="1" applyBorder="1" applyAlignment="1">
      <alignment vertical="center"/>
    </xf>
    <xf numFmtId="3" fontId="14" fillId="0" borderId="76" xfId="14" applyNumberFormat="1" applyFont="1" applyBorder="1" applyAlignment="1">
      <alignment horizontal="center" vertical="center" wrapText="1"/>
    </xf>
    <xf numFmtId="0" fontId="13" fillId="0" borderId="107" xfId="14" applyFont="1" applyBorder="1" applyAlignment="1">
      <alignment horizontal="left" vertical="center" wrapText="1"/>
    </xf>
    <xf numFmtId="3" fontId="13" fillId="0" borderId="108" xfId="14" applyNumberFormat="1" applyFont="1" applyBorder="1" applyAlignment="1">
      <alignment horizontal="right" vertical="center"/>
    </xf>
    <xf numFmtId="0" fontId="13" fillId="2" borderId="107" xfId="9" applyFont="1" applyFill="1" applyBorder="1" applyAlignment="1">
      <alignment vertical="center" wrapText="1"/>
    </xf>
    <xf numFmtId="49" fontId="13" fillId="2" borderId="107" xfId="10" applyNumberFormat="1" applyFont="1" applyFill="1" applyBorder="1" applyAlignment="1">
      <alignment horizontal="left" vertical="center" wrapText="1"/>
    </xf>
    <xf numFmtId="0" fontId="13" fillId="0" borderId="107" xfId="0" applyFont="1" applyBorder="1" applyAlignment="1">
      <alignment vertical="center" wrapText="1"/>
    </xf>
    <xf numFmtId="49" fontId="20" fillId="2" borderId="107" xfId="10" applyNumberFormat="1" applyFont="1" applyFill="1" applyBorder="1" applyAlignment="1">
      <alignment horizontal="left" vertical="center" wrapText="1"/>
    </xf>
    <xf numFmtId="0" fontId="13" fillId="2" borderId="109" xfId="9" applyFont="1" applyFill="1" applyBorder="1" applyAlignment="1">
      <alignment vertical="center" wrapText="1"/>
    </xf>
    <xf numFmtId="0" fontId="13" fillId="0" borderId="107" xfId="14" applyFont="1" applyBorder="1" applyAlignment="1">
      <alignment vertical="center" wrapText="1"/>
    </xf>
    <xf numFmtId="3" fontId="13" fillId="0" borderId="110" xfId="14" applyNumberFormat="1" applyFont="1" applyBorder="1" applyAlignment="1">
      <alignment horizontal="right" vertical="center"/>
    </xf>
    <xf numFmtId="3" fontId="14" fillId="0" borderId="108" xfId="9" applyNumberFormat="1" applyFont="1" applyBorder="1" applyAlignment="1">
      <alignment horizontal="right" vertical="center"/>
    </xf>
    <xf numFmtId="3" fontId="13" fillId="0" borderId="110" xfId="9" applyNumberFormat="1" applyFont="1" applyBorder="1" applyAlignment="1">
      <alignment horizontal="right" vertical="center" wrapText="1"/>
    </xf>
    <xf numFmtId="3" fontId="13" fillId="0" borderId="110" xfId="9" applyNumberFormat="1" applyFont="1" applyBorder="1" applyAlignment="1">
      <alignment horizontal="right" vertical="center"/>
    </xf>
    <xf numFmtId="3" fontId="13" fillId="0" borderId="110" xfId="10" applyNumberFormat="1" applyFont="1" applyBorder="1" applyAlignment="1">
      <alignment horizontal="right" vertical="center" wrapText="1"/>
    </xf>
    <xf numFmtId="3" fontId="13" fillId="0" borderId="110" xfId="0" applyNumberFormat="1" applyFont="1" applyBorder="1" applyAlignment="1">
      <alignment horizontal="right" vertical="center" wrapText="1"/>
    </xf>
    <xf numFmtId="3" fontId="20" fillId="0" borderId="110" xfId="10" applyNumberFormat="1" applyFont="1" applyBorder="1" applyAlignment="1">
      <alignment horizontal="right" vertical="center" wrapText="1"/>
    </xf>
    <xf numFmtId="0" fontId="14" fillId="0" borderId="112" xfId="0" applyFont="1" applyBorder="1" applyAlignment="1">
      <alignment horizontal="center" vertical="center" wrapText="1"/>
    </xf>
    <xf numFmtId="164" fontId="21" fillId="5" borderId="107" xfId="19" applyFont="1" applyFill="1" applyBorder="1" applyAlignment="1">
      <alignment horizontal="center" vertical="center" wrapText="1"/>
    </xf>
    <xf numFmtId="0" fontId="13" fillId="0" borderId="110" xfId="0" applyFont="1" applyBorder="1" applyAlignment="1">
      <alignment horizontal="center" vertical="center" wrapText="1"/>
    </xf>
    <xf numFmtId="0" fontId="13" fillId="2" borderId="110" xfId="0" applyFont="1" applyFill="1" applyBorder="1" applyAlignment="1">
      <alignment vertical="center" wrapText="1"/>
    </xf>
    <xf numFmtId="0" fontId="13" fillId="0" borderId="110" xfId="0" applyFont="1" applyBorder="1" applyAlignment="1">
      <alignment vertical="center" wrapText="1"/>
    </xf>
    <xf numFmtId="3" fontId="13" fillId="0" borderId="110" xfId="0" applyNumberFormat="1" applyFont="1" applyBorder="1" applyAlignment="1">
      <alignment vertical="center"/>
    </xf>
    <xf numFmtId="3" fontId="14" fillId="0" borderId="108" xfId="0" applyNumberFormat="1" applyFont="1" applyBorder="1" applyAlignment="1">
      <alignment vertical="center"/>
    </xf>
    <xf numFmtId="164" fontId="40" fillId="5" borderId="107" xfId="19" applyFont="1" applyFill="1" applyBorder="1" applyAlignment="1">
      <alignment horizontal="center" vertical="center" wrapText="1"/>
    </xf>
    <xf numFmtId="164" fontId="42" fillId="5" borderId="107" xfId="19" applyFont="1" applyFill="1" applyBorder="1" applyAlignment="1">
      <alignment horizontal="center" vertical="center" wrapText="1"/>
    </xf>
    <xf numFmtId="0" fontId="14" fillId="0" borderId="110" xfId="0" applyFont="1" applyBorder="1" applyAlignment="1">
      <alignment horizontal="center" vertical="center" wrapText="1"/>
    </xf>
    <xf numFmtId="0" fontId="14" fillId="0" borderId="110" xfId="0" applyFont="1" applyBorder="1" applyAlignment="1">
      <alignment vertical="center" wrapText="1"/>
    </xf>
    <xf numFmtId="3" fontId="14" fillId="0" borderId="110" xfId="0" applyNumberFormat="1" applyFont="1" applyBorder="1" applyAlignment="1">
      <alignment vertical="center"/>
    </xf>
    <xf numFmtId="164" fontId="41" fillId="5" borderId="107" xfId="19" applyFont="1" applyFill="1" applyBorder="1" applyAlignment="1">
      <alignment horizontal="center" vertical="center" wrapText="1"/>
    </xf>
    <xf numFmtId="164" fontId="43" fillId="5" borderId="107" xfId="19" applyFont="1" applyFill="1" applyBorder="1" applyAlignment="1">
      <alignment horizontal="center" vertical="center" wrapText="1"/>
    </xf>
    <xf numFmtId="0" fontId="14" fillId="0" borderId="107" xfId="0" applyFont="1" applyBorder="1" applyAlignment="1">
      <alignment horizontal="center" vertical="center" wrapText="1"/>
    </xf>
    <xf numFmtId="0" fontId="13" fillId="2" borderId="110" xfId="0" applyFont="1" applyFill="1" applyBorder="1" applyAlignment="1">
      <alignment horizontal="center" vertical="center" wrapText="1"/>
    </xf>
    <xf numFmtId="3" fontId="13" fillId="2" borderId="110" xfId="0" applyNumberFormat="1" applyFont="1" applyFill="1" applyBorder="1" applyAlignment="1">
      <alignment vertical="center"/>
    </xf>
    <xf numFmtId="3" fontId="13" fillId="0" borderId="110" xfId="0" applyNumberFormat="1" applyFont="1" applyBorder="1" applyAlignment="1">
      <alignment vertical="center" wrapText="1"/>
    </xf>
    <xf numFmtId="0" fontId="24" fillId="0" borderId="110" xfId="0" applyFont="1" applyBorder="1" applyAlignment="1">
      <alignment horizontal="center" vertical="center" wrapText="1"/>
    </xf>
    <xf numFmtId="3" fontId="73" fillId="0" borderId="114" xfId="10" applyNumberFormat="1" applyFont="1" applyFill="1" applyBorder="1" applyAlignment="1">
      <alignment vertical="center" wrapText="1"/>
    </xf>
    <xf numFmtId="0" fontId="73" fillId="0" borderId="115" xfId="10" applyFont="1" applyFill="1" applyBorder="1" applyAlignment="1">
      <alignment vertical="center" wrapText="1"/>
    </xf>
    <xf numFmtId="0" fontId="24" fillId="0" borderId="107" xfId="0" applyFont="1" applyBorder="1" applyAlignment="1">
      <alignment horizontal="center" vertical="center" wrapText="1"/>
    </xf>
    <xf numFmtId="0" fontId="7" fillId="0" borderId="110" xfId="0" applyFont="1" applyBorder="1" applyAlignment="1">
      <alignment horizontal="center" vertical="center"/>
    </xf>
    <xf numFmtId="0" fontId="7" fillId="2" borderId="110" xfId="0" applyFont="1" applyFill="1" applyBorder="1"/>
    <xf numFmtId="0" fontId="34" fillId="0" borderId="107" xfId="0" applyFont="1" applyBorder="1" applyAlignment="1">
      <alignment horizontal="center" vertical="center" wrapText="1"/>
    </xf>
    <xf numFmtId="0" fontId="24" fillId="0" borderId="110" xfId="0" applyFont="1" applyBorder="1" applyAlignment="1">
      <alignment horizontal="center" vertical="center"/>
    </xf>
    <xf numFmtId="0" fontId="24" fillId="2" borderId="110" xfId="0" applyFont="1" applyFill="1" applyBorder="1"/>
    <xf numFmtId="0" fontId="7" fillId="0" borderId="110" xfId="0" applyFont="1" applyBorder="1" applyAlignment="1">
      <alignment horizontal="center" vertical="center" wrapText="1"/>
    </xf>
    <xf numFmtId="0" fontId="7" fillId="0" borderId="107" xfId="0" applyFont="1" applyBorder="1" applyAlignment="1">
      <alignment horizontal="center" vertical="center" wrapText="1"/>
    </xf>
    <xf numFmtId="3" fontId="7" fillId="0" borderId="42" xfId="0" applyNumberFormat="1" applyFont="1" applyBorder="1"/>
    <xf numFmtId="3" fontId="7" fillId="0" borderId="45" xfId="0" applyNumberFormat="1" applyFont="1" applyBorder="1"/>
    <xf numFmtId="3" fontId="7" fillId="0" borderId="110" xfId="0" applyNumberFormat="1" applyFont="1" applyBorder="1"/>
    <xf numFmtId="3" fontId="7" fillId="0" borderId="108" xfId="0" applyNumberFormat="1" applyFont="1" applyBorder="1"/>
    <xf numFmtId="3" fontId="24" fillId="0" borderId="110" xfId="0" applyNumberFormat="1" applyFont="1" applyBorder="1"/>
    <xf numFmtId="3" fontId="24" fillId="0" borderId="108" xfId="0" applyNumberFormat="1" applyFont="1" applyBorder="1"/>
    <xf numFmtId="3" fontId="24" fillId="0" borderId="66" xfId="0" applyNumberFormat="1" applyFont="1" applyBorder="1"/>
    <xf numFmtId="3" fontId="24" fillId="0" borderId="1" xfId="0" applyNumberFormat="1" applyFont="1" applyBorder="1"/>
    <xf numFmtId="0" fontId="39" fillId="0" borderId="116" xfId="0" applyFont="1" applyBorder="1"/>
    <xf numFmtId="3" fontId="13" fillId="0" borderId="74" xfId="0" applyNumberFormat="1" applyFont="1" applyBorder="1" applyAlignment="1">
      <alignment vertical="center"/>
    </xf>
    <xf numFmtId="3" fontId="13" fillId="0" borderId="117" xfId="0" applyNumberFormat="1" applyFont="1" applyBorder="1" applyAlignment="1">
      <alignment vertical="center"/>
    </xf>
    <xf numFmtId="3" fontId="13" fillId="0" borderId="93" xfId="0" applyNumberFormat="1" applyFont="1" applyBorder="1" applyAlignment="1">
      <alignment vertical="center"/>
    </xf>
    <xf numFmtId="3" fontId="13" fillId="0" borderId="118" xfId="0" applyNumberFormat="1" applyFont="1" applyBorder="1" applyAlignment="1">
      <alignment vertical="center"/>
    </xf>
    <xf numFmtId="3" fontId="13" fillId="0" borderId="119" xfId="0" applyNumberFormat="1" applyFont="1" applyBorder="1" applyAlignment="1">
      <alignment vertical="center"/>
    </xf>
    <xf numFmtId="3" fontId="14" fillId="0" borderId="79" xfId="17" applyNumberFormat="1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13" fillId="0" borderId="79" xfId="0" applyFont="1" applyBorder="1" applyAlignment="1">
      <alignment vertical="center" wrapText="1"/>
    </xf>
    <xf numFmtId="0" fontId="13" fillId="0" borderId="74" xfId="0" applyFont="1" applyBorder="1" applyAlignment="1">
      <alignment vertical="center"/>
    </xf>
    <xf numFmtId="14" fontId="13" fillId="0" borderId="75" xfId="0" applyNumberFormat="1" applyFont="1" applyBorder="1" applyAlignment="1">
      <alignment horizontal="center" vertical="center" wrapText="1"/>
    </xf>
    <xf numFmtId="14" fontId="13" fillId="2" borderId="75" xfId="0" applyNumberFormat="1" applyFont="1" applyFill="1" applyBorder="1" applyAlignment="1">
      <alignment horizontal="center" vertical="center"/>
    </xf>
    <xf numFmtId="3" fontId="13" fillId="0" borderId="76" xfId="0" applyNumberFormat="1" applyFont="1" applyBorder="1" applyAlignment="1">
      <alignment vertical="center"/>
    </xf>
    <xf numFmtId="0" fontId="13" fillId="0" borderId="116" xfId="0" applyFont="1" applyBorder="1" applyAlignment="1">
      <alignment vertical="center" wrapText="1"/>
    </xf>
    <xf numFmtId="0" fontId="13" fillId="0" borderId="93" xfId="0" applyFont="1" applyBorder="1" applyAlignment="1">
      <alignment vertical="center"/>
    </xf>
    <xf numFmtId="14" fontId="13" fillId="0" borderId="120" xfId="0" applyNumberFormat="1" applyFont="1" applyBorder="1" applyAlignment="1">
      <alignment horizontal="center" vertical="center" wrapText="1"/>
    </xf>
    <xf numFmtId="14" fontId="13" fillId="2" borderId="120" xfId="0" applyNumberFormat="1" applyFont="1" applyFill="1" applyBorder="1" applyAlignment="1">
      <alignment horizontal="center" vertical="center"/>
    </xf>
    <xf numFmtId="3" fontId="13" fillId="0" borderId="121" xfId="0" applyNumberFormat="1" applyFont="1" applyBorder="1" applyAlignment="1">
      <alignment vertical="center"/>
    </xf>
    <xf numFmtId="3" fontId="13" fillId="0" borderId="120" xfId="0" applyNumberFormat="1" applyFont="1" applyBorder="1" applyAlignment="1">
      <alignment vertical="center"/>
    </xf>
    <xf numFmtId="14" fontId="13" fillId="0" borderId="120" xfId="0" applyNumberFormat="1" applyFont="1" applyBorder="1" applyAlignment="1">
      <alignment horizontal="center" vertical="center"/>
    </xf>
    <xf numFmtId="3" fontId="13" fillId="0" borderId="93" xfId="0" applyNumberFormat="1" applyFont="1" applyFill="1" applyBorder="1" applyAlignment="1">
      <alignment vertical="center"/>
    </xf>
    <xf numFmtId="0" fontId="13" fillId="0" borderId="122" xfId="0" applyFont="1" applyBorder="1" applyAlignment="1">
      <alignment vertical="center" wrapText="1"/>
    </xf>
    <xf numFmtId="0" fontId="13" fillId="0" borderId="119" xfId="0" applyFont="1" applyBorder="1" applyAlignment="1">
      <alignment vertical="center"/>
    </xf>
    <xf numFmtId="14" fontId="13" fillId="0" borderId="123" xfId="0" applyNumberFormat="1" applyFont="1" applyBorder="1" applyAlignment="1">
      <alignment horizontal="center" vertical="center" wrapText="1"/>
    </xf>
    <xf numFmtId="14" fontId="13" fillId="2" borderId="123" xfId="0" applyNumberFormat="1" applyFont="1" applyFill="1" applyBorder="1" applyAlignment="1">
      <alignment horizontal="center" vertical="center"/>
    </xf>
    <xf numFmtId="3" fontId="13" fillId="0" borderId="124" xfId="0" applyNumberFormat="1" applyFont="1" applyBorder="1" applyAlignment="1">
      <alignment vertical="center"/>
    </xf>
    <xf numFmtId="3" fontId="13" fillId="0" borderId="123" xfId="0" applyNumberFormat="1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vertical="center"/>
    </xf>
    <xf numFmtId="3" fontId="14" fillId="0" borderId="11" xfId="0" applyNumberFormat="1" applyFont="1" applyBorder="1" applyAlignment="1">
      <alignment vertical="center"/>
    </xf>
    <xf numFmtId="3" fontId="14" fillId="0" borderId="9" xfId="17" applyNumberFormat="1" applyFont="1" applyFill="1" applyBorder="1" applyAlignment="1">
      <alignment horizontal="center" vertical="center" wrapText="1"/>
    </xf>
    <xf numFmtId="3" fontId="14" fillId="0" borderId="66" xfId="17" applyNumberFormat="1" applyFont="1" applyFill="1" applyBorder="1" applyAlignment="1">
      <alignment horizontal="center" vertical="center" wrapText="1"/>
    </xf>
    <xf numFmtId="3" fontId="14" fillId="0" borderId="77" xfId="17" applyNumberFormat="1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3" fontId="13" fillId="0" borderId="97" xfId="0" applyNumberFormat="1" applyFont="1" applyBorder="1" applyAlignment="1">
      <alignment vertical="center"/>
    </xf>
    <xf numFmtId="3" fontId="13" fillId="0" borderId="125" xfId="0" applyNumberFormat="1" applyFont="1" applyBorder="1" applyAlignment="1">
      <alignment vertical="center"/>
    </xf>
    <xf numFmtId="0" fontId="21" fillId="0" borderId="66" xfId="5" applyFont="1" applyBorder="1" applyAlignment="1">
      <alignment horizontal="center" vertical="center"/>
    </xf>
    <xf numFmtId="0" fontId="14" fillId="2" borderId="15" xfId="9" applyFont="1" applyFill="1" applyBorder="1" applyAlignment="1">
      <alignment vertical="center" wrapText="1"/>
    </xf>
    <xf numFmtId="3" fontId="14" fillId="0" borderId="26" xfId="9" applyNumberFormat="1" applyFont="1" applyBorder="1" applyAlignment="1">
      <alignment vertical="center"/>
    </xf>
    <xf numFmtId="0" fontId="13" fillId="2" borderId="122" xfId="9" applyFont="1" applyFill="1" applyBorder="1" applyAlignment="1">
      <alignment vertical="center" wrapText="1"/>
    </xf>
    <xf numFmtId="0" fontId="14" fillId="0" borderId="15" xfId="9" applyFont="1" applyBorder="1" applyAlignment="1">
      <alignment vertical="center" wrapText="1"/>
    </xf>
    <xf numFmtId="0" fontId="13" fillId="0" borderId="109" xfId="9" applyFont="1" applyBorder="1" applyAlignment="1">
      <alignment vertical="center" wrapText="1"/>
    </xf>
    <xf numFmtId="0" fontId="14" fillId="0" borderId="109" xfId="12" applyFont="1" applyBorder="1" applyAlignment="1">
      <alignment vertical="center" wrapText="1"/>
    </xf>
    <xf numFmtId="3" fontId="14" fillId="0" borderId="97" xfId="0" applyNumberFormat="1" applyFont="1" applyBorder="1" applyAlignment="1">
      <alignment vertical="center"/>
    </xf>
    <xf numFmtId="0" fontId="57" fillId="0" borderId="93" xfId="0" applyFont="1" applyBorder="1"/>
    <xf numFmtId="49" fontId="57" fillId="0" borderId="120" xfId="0" applyNumberFormat="1" applyFont="1" applyBorder="1" applyAlignment="1">
      <alignment horizontal="left" vertical="center"/>
    </xf>
    <xf numFmtId="0" fontId="52" fillId="0" borderId="120" xfId="0" applyFont="1" applyBorder="1"/>
    <xf numFmtId="0" fontId="52" fillId="0" borderId="120" xfId="0" applyFont="1" applyBorder="1" applyAlignment="1">
      <alignment horizontal="center"/>
    </xf>
    <xf numFmtId="3" fontId="60" fillId="0" borderId="120" xfId="0" applyNumberFormat="1" applyFont="1" applyBorder="1"/>
    <xf numFmtId="3" fontId="57" fillId="5" borderId="120" xfId="0" applyNumberFormat="1" applyFont="1" applyFill="1" applyBorder="1"/>
    <xf numFmtId="3" fontId="57" fillId="5" borderId="121" xfId="0" applyNumberFormat="1" applyFont="1" applyFill="1" applyBorder="1"/>
    <xf numFmtId="0" fontId="21" fillId="0" borderId="119" xfId="5" applyFont="1" applyBorder="1" applyAlignment="1">
      <alignment horizontal="center" vertical="center" wrapText="1"/>
    </xf>
    <xf numFmtId="0" fontId="21" fillId="0" borderId="123" xfId="5" applyFont="1" applyBorder="1" applyAlignment="1">
      <alignment horizontal="center" vertical="center" wrapText="1"/>
    </xf>
    <xf numFmtId="0" fontId="21" fillId="0" borderId="124" xfId="5" applyFont="1" applyBorder="1" applyAlignment="1">
      <alignment horizontal="center" vertical="center" wrapText="1"/>
    </xf>
    <xf numFmtId="0" fontId="21" fillId="0" borderId="119" xfId="5" applyFont="1" applyBorder="1" applyAlignment="1">
      <alignment horizontal="center" vertical="center"/>
    </xf>
    <xf numFmtId="0" fontId="21" fillId="0" borderId="123" xfId="5" applyFont="1" applyBorder="1" applyAlignment="1">
      <alignment horizontal="center" vertical="center"/>
    </xf>
    <xf numFmtId="3" fontId="21" fillId="0" borderId="124" xfId="5" applyNumberFormat="1" applyFont="1" applyBorder="1" applyAlignment="1">
      <alignment horizontal="center" vertical="center" wrapText="1"/>
    </xf>
    <xf numFmtId="3" fontId="21" fillId="0" borderId="119" xfId="5" applyNumberFormat="1" applyFont="1" applyBorder="1" applyAlignment="1">
      <alignment horizontal="center" vertical="center" wrapText="1"/>
    </xf>
    <xf numFmtId="0" fontId="20" fillId="2" borderId="74" xfId="5" applyFont="1" applyFill="1" applyBorder="1" applyAlignment="1">
      <alignment horizontal="center" vertical="center"/>
    </xf>
    <xf numFmtId="0" fontId="20" fillId="0" borderId="76" xfId="5" applyFont="1" applyBorder="1" applyAlignment="1">
      <alignment vertical="center" wrapText="1"/>
    </xf>
    <xf numFmtId="0" fontId="20" fillId="0" borderId="59" xfId="5" applyFont="1" applyBorder="1" applyAlignment="1">
      <alignment horizontal="left" vertical="center"/>
    </xf>
    <xf numFmtId="3" fontId="20" fillId="0" borderId="60" xfId="5" applyNumberFormat="1" applyFont="1" applyBorder="1" applyAlignment="1">
      <alignment vertical="center"/>
    </xf>
    <xf numFmtId="3" fontId="20" fillId="0" borderId="69" xfId="5" applyNumberFormat="1" applyFont="1" applyBorder="1" applyAlignment="1">
      <alignment vertical="center"/>
    </xf>
    <xf numFmtId="0" fontId="20" fillId="2" borderId="93" xfId="5" applyFont="1" applyFill="1" applyBorder="1" applyAlignment="1">
      <alignment horizontal="center" vertical="center"/>
    </xf>
    <xf numFmtId="49" fontId="20" fillId="0" borderId="120" xfId="5" applyNumberFormat="1" applyFont="1" applyBorder="1" applyAlignment="1">
      <alignment horizontal="center" vertical="center"/>
    </xf>
    <xf numFmtId="0" fontId="20" fillId="0" borderId="108" xfId="5" applyFont="1" applyBorder="1" applyAlignment="1">
      <alignment vertical="center" wrapText="1"/>
    </xf>
    <xf numFmtId="0" fontId="20" fillId="0" borderId="126" xfId="5" applyFont="1" applyBorder="1" applyAlignment="1">
      <alignment horizontal="left" vertical="center"/>
    </xf>
    <xf numFmtId="3" fontId="21" fillId="2" borderId="97" xfId="5" applyNumberFormat="1" applyFont="1" applyFill="1" applyBorder="1" applyAlignment="1">
      <alignment vertical="center"/>
    </xf>
    <xf numFmtId="3" fontId="20" fillId="2" borderId="93" xfId="5" applyNumberFormat="1" applyFont="1" applyFill="1" applyBorder="1" applyAlignment="1">
      <alignment horizontal="right" vertical="center"/>
    </xf>
    <xf numFmtId="3" fontId="20" fillId="2" borderId="120" xfId="5" applyNumberFormat="1" applyFont="1" applyFill="1" applyBorder="1" applyAlignment="1">
      <alignment horizontal="right" vertical="center"/>
    </xf>
    <xf numFmtId="3" fontId="20" fillId="2" borderId="120" xfId="5" applyNumberFormat="1" applyFont="1" applyFill="1" applyBorder="1" applyAlignment="1">
      <alignment vertical="center"/>
    </xf>
    <xf numFmtId="3" fontId="20" fillId="2" borderId="108" xfId="5" applyNumberFormat="1" applyFont="1" applyFill="1" applyBorder="1" applyAlignment="1">
      <alignment horizontal="right" vertical="center"/>
    </xf>
    <xf numFmtId="3" fontId="20" fillId="2" borderId="117" xfId="5" applyNumberFormat="1" applyFont="1" applyFill="1" applyBorder="1" applyAlignment="1">
      <alignment horizontal="right" vertical="center"/>
    </xf>
    <xf numFmtId="3" fontId="20" fillId="2" borderId="127" xfId="5" applyNumberFormat="1" applyFont="1" applyFill="1" applyBorder="1" applyAlignment="1">
      <alignment horizontal="right" vertical="center"/>
    </xf>
    <xf numFmtId="3" fontId="20" fillId="2" borderId="108" xfId="5" applyNumberFormat="1" applyFont="1" applyFill="1" applyBorder="1" applyAlignment="1">
      <alignment vertical="center"/>
    </xf>
    <xf numFmtId="0" fontId="20" fillId="2" borderId="108" xfId="5" applyFont="1" applyFill="1" applyBorder="1" applyAlignment="1">
      <alignment vertical="center"/>
    </xf>
    <xf numFmtId="0" fontId="20" fillId="0" borderId="93" xfId="5" applyFont="1" applyBorder="1" applyAlignment="1">
      <alignment horizontal="center" vertical="center"/>
    </xf>
    <xf numFmtId="3" fontId="20" fillId="2" borderId="93" xfId="5" applyNumberFormat="1" applyFont="1" applyFill="1" applyBorder="1" applyAlignment="1">
      <alignment vertical="center"/>
    </xf>
    <xf numFmtId="3" fontId="20" fillId="2" borderId="117" xfId="5" applyNumberFormat="1" applyFont="1" applyFill="1" applyBorder="1" applyAlignment="1">
      <alignment vertical="center"/>
    </xf>
    <xf numFmtId="3" fontId="20" fillId="2" borderId="127" xfId="5" applyNumberFormat="1" applyFont="1" applyFill="1" applyBorder="1" applyAlignment="1">
      <alignment vertical="center"/>
    </xf>
    <xf numFmtId="3" fontId="21" fillId="0" borderId="97" xfId="5" applyNumberFormat="1" applyFont="1" applyBorder="1" applyAlignment="1">
      <alignment vertical="center"/>
    </xf>
    <xf numFmtId="3" fontId="20" fillId="0" borderId="93" xfId="5" applyNumberFormat="1" applyFont="1" applyBorder="1" applyAlignment="1">
      <alignment horizontal="right" vertical="center"/>
    </xf>
    <xf numFmtId="3" fontId="20" fillId="0" borderId="120" xfId="5" applyNumberFormat="1" applyFont="1" applyBorder="1" applyAlignment="1">
      <alignment horizontal="right" vertical="center"/>
    </xf>
    <xf numFmtId="3" fontId="20" fillId="0" borderId="120" xfId="5" applyNumberFormat="1" applyFont="1" applyBorder="1" applyAlignment="1">
      <alignment vertical="center"/>
    </xf>
    <xf numFmtId="3" fontId="20" fillId="0" borderId="108" xfId="5" applyNumberFormat="1" applyFont="1" applyBorder="1" applyAlignment="1">
      <alignment horizontal="right" vertical="center"/>
    </xf>
    <xf numFmtId="3" fontId="20" fillId="0" borderId="117" xfId="5" applyNumberFormat="1" applyFont="1" applyBorder="1" applyAlignment="1">
      <alignment horizontal="right" vertical="center"/>
    </xf>
    <xf numFmtId="3" fontId="20" fillId="0" borderId="127" xfId="5" applyNumberFormat="1" applyFont="1" applyBorder="1" applyAlignment="1">
      <alignment horizontal="right" vertical="center"/>
    </xf>
    <xf numFmtId="0" fontId="20" fillId="0" borderId="108" xfId="5" applyFont="1" applyBorder="1" applyAlignment="1">
      <alignment vertical="center"/>
    </xf>
    <xf numFmtId="3" fontId="20" fillId="0" borderId="93" xfId="5" applyNumberFormat="1" applyFont="1" applyBorder="1" applyAlignment="1">
      <alignment vertical="center"/>
    </xf>
    <xf numFmtId="3" fontId="20" fillId="0" borderId="108" xfId="5" applyNumberFormat="1" applyFont="1" applyBorder="1" applyAlignment="1">
      <alignment vertical="center"/>
    </xf>
    <xf numFmtId="3" fontId="20" fillId="0" borderId="117" xfId="5" applyNumberFormat="1" applyFont="1" applyBorder="1" applyAlignment="1">
      <alignment vertical="center"/>
    </xf>
    <xf numFmtId="3" fontId="20" fillId="0" borderId="127" xfId="5" applyNumberFormat="1" applyFont="1" applyBorder="1" applyAlignment="1">
      <alignment vertical="center"/>
    </xf>
    <xf numFmtId="0" fontId="20" fillId="0" borderId="120" xfId="5" applyFont="1" applyBorder="1" applyAlignment="1">
      <alignment horizontal="right" vertical="center"/>
    </xf>
    <xf numFmtId="49" fontId="7" fillId="0" borderId="120" xfId="0" applyNumberFormat="1" applyFont="1" applyBorder="1" applyAlignment="1">
      <alignment horizontal="center" vertical="center"/>
    </xf>
    <xf numFmtId="0" fontId="7" fillId="0" borderId="108" xfId="0" applyFont="1" applyBorder="1" applyAlignment="1">
      <alignment vertical="center" wrapText="1"/>
    </xf>
    <xf numFmtId="0" fontId="20" fillId="0" borderId="119" xfId="5" applyFont="1" applyBorder="1" applyAlignment="1">
      <alignment horizontal="center" vertical="center"/>
    </xf>
    <xf numFmtId="49" fontId="7" fillId="0" borderId="123" xfId="0" applyNumberFormat="1" applyFont="1" applyBorder="1" applyAlignment="1">
      <alignment horizontal="center" vertical="center"/>
    </xf>
    <xf numFmtId="0" fontId="7" fillId="0" borderId="124" xfId="0" applyFont="1" applyBorder="1" applyAlignment="1">
      <alignment vertical="center" wrapText="1"/>
    </xf>
    <xf numFmtId="0" fontId="20" fillId="0" borderId="128" xfId="5" applyFont="1" applyBorder="1" applyAlignment="1">
      <alignment horizontal="left" vertical="center"/>
    </xf>
    <xf numFmtId="3" fontId="21" fillId="0" borderId="125" xfId="5" applyNumberFormat="1" applyFont="1" applyBorder="1" applyAlignment="1">
      <alignment vertical="center"/>
    </xf>
    <xf numFmtId="3" fontId="20" fillId="0" borderId="119" xfId="5" applyNumberFormat="1" applyFont="1" applyBorder="1" applyAlignment="1">
      <alignment horizontal="right" vertical="center"/>
    </xf>
    <xf numFmtId="3" fontId="20" fillId="0" borderId="123" xfId="5" applyNumberFormat="1" applyFont="1" applyBorder="1" applyAlignment="1">
      <alignment horizontal="right" vertical="center"/>
    </xf>
    <xf numFmtId="3" fontId="20" fillId="0" borderId="124" xfId="5" applyNumberFormat="1" applyFont="1" applyBorder="1" applyAlignment="1">
      <alignment horizontal="right" vertical="center"/>
    </xf>
    <xf numFmtId="3" fontId="20" fillId="0" borderId="118" xfId="5" applyNumberFormat="1" applyFont="1" applyBorder="1" applyAlignment="1">
      <alignment horizontal="right" vertical="center"/>
    </xf>
    <xf numFmtId="3" fontId="20" fillId="0" borderId="129" xfId="5" applyNumberFormat="1" applyFont="1" applyBorder="1" applyAlignment="1">
      <alignment horizontal="right" vertical="center"/>
    </xf>
    <xf numFmtId="0" fontId="20" fillId="0" borderId="124" xfId="5" applyFont="1" applyBorder="1" applyAlignment="1">
      <alignment vertical="center"/>
    </xf>
    <xf numFmtId="0" fontId="21" fillId="0" borderId="76" xfId="5" applyFont="1" applyBorder="1" applyAlignment="1">
      <alignment horizontal="left" vertical="center" wrapText="1"/>
    </xf>
    <xf numFmtId="0" fontId="21" fillId="0" borderId="59" xfId="5" applyFont="1" applyBorder="1" applyAlignment="1">
      <alignment horizontal="left" vertical="center"/>
    </xf>
    <xf numFmtId="3" fontId="21" fillId="0" borderId="60" xfId="5" applyNumberFormat="1" applyFont="1" applyBorder="1" applyAlignment="1">
      <alignment vertical="center"/>
    </xf>
    <xf numFmtId="3" fontId="21" fillId="0" borderId="69" xfId="5" applyNumberFormat="1" applyFont="1" applyBorder="1" applyAlignment="1">
      <alignment vertical="center"/>
    </xf>
    <xf numFmtId="0" fontId="21" fillId="0" borderId="120" xfId="5" applyFont="1" applyBorder="1" applyAlignment="1">
      <alignment horizontal="center" vertical="center"/>
    </xf>
    <xf numFmtId="0" fontId="21" fillId="0" borderId="108" xfId="5" applyFont="1" applyBorder="1" applyAlignment="1">
      <alignment horizontal="left" vertical="center" wrapText="1"/>
    </xf>
    <xf numFmtId="0" fontId="21" fillId="0" borderId="126" xfId="5" applyFont="1" applyBorder="1" applyAlignment="1">
      <alignment horizontal="left" vertical="center"/>
    </xf>
    <xf numFmtId="3" fontId="21" fillId="0" borderId="93" xfId="5" applyNumberFormat="1" applyFont="1" applyBorder="1" applyAlignment="1">
      <alignment vertical="center"/>
    </xf>
    <xf numFmtId="3" fontId="21" fillId="0" borderId="120" xfId="5" applyNumberFormat="1" applyFont="1" applyBorder="1" applyAlignment="1">
      <alignment vertical="center"/>
    </xf>
    <xf numFmtId="3" fontId="21" fillId="0" borderId="108" xfId="5" applyNumberFormat="1" applyFont="1" applyBorder="1" applyAlignment="1">
      <alignment vertical="center"/>
    </xf>
    <xf numFmtId="3" fontId="21" fillId="0" borderId="117" xfId="5" applyNumberFormat="1" applyFont="1" applyBorder="1" applyAlignment="1">
      <alignment vertical="center"/>
    </xf>
    <xf numFmtId="3" fontId="21" fillId="0" borderId="127" xfId="5" applyNumberFormat="1" applyFont="1" applyBorder="1" applyAlignment="1">
      <alignment vertical="center"/>
    </xf>
    <xf numFmtId="0" fontId="20" fillId="0" borderId="9" xfId="5" applyFont="1" applyBorder="1" applyAlignment="1">
      <alignment horizontal="center" vertical="center"/>
    </xf>
    <xf numFmtId="0" fontId="21" fillId="0" borderId="1" xfId="5" applyFont="1" applyBorder="1" applyAlignment="1">
      <alignment horizontal="left" vertical="center" wrapText="1"/>
    </xf>
    <xf numFmtId="0" fontId="21" fillId="0" borderId="130" xfId="5" applyFont="1" applyBorder="1" applyAlignment="1">
      <alignment horizontal="left" vertical="center"/>
    </xf>
    <xf numFmtId="3" fontId="21" fillId="0" borderId="18" xfId="5" applyNumberFormat="1" applyFont="1" applyBorder="1" applyAlignment="1">
      <alignment vertical="center"/>
    </xf>
    <xf numFmtId="3" fontId="21" fillId="0" borderId="9" xfId="5" applyNumberFormat="1" applyFont="1" applyBorder="1" applyAlignment="1">
      <alignment vertical="center"/>
    </xf>
    <xf numFmtId="3" fontId="21" fillId="0" borderId="66" xfId="5" applyNumberFormat="1" applyFont="1" applyBorder="1" applyAlignment="1">
      <alignment vertical="center"/>
    </xf>
    <xf numFmtId="3" fontId="21" fillId="0" borderId="1" xfId="5" applyNumberFormat="1" applyFont="1" applyBorder="1" applyAlignment="1">
      <alignment vertical="center"/>
    </xf>
    <xf numFmtId="3" fontId="21" fillId="0" borderId="22" xfId="5" applyNumberFormat="1" applyFont="1" applyBorder="1" applyAlignment="1">
      <alignment vertical="center"/>
    </xf>
    <xf numFmtId="3" fontId="21" fillId="0" borderId="65" xfId="5" applyNumberFormat="1" applyFont="1" applyBorder="1" applyAlignment="1">
      <alignment vertical="center"/>
    </xf>
    <xf numFmtId="0" fontId="47" fillId="0" borderId="119" xfId="5" applyFont="1" applyBorder="1" applyAlignment="1">
      <alignment horizontal="center" vertical="center" wrapText="1"/>
    </xf>
    <xf numFmtId="0" fontId="47" fillId="0" borderId="123" xfId="5" applyFont="1" applyBorder="1" applyAlignment="1">
      <alignment horizontal="center" vertical="center" wrapText="1"/>
    </xf>
    <xf numFmtId="0" fontId="47" fillId="0" borderId="124" xfId="5" applyFont="1" applyBorder="1" applyAlignment="1">
      <alignment horizontal="center" vertical="center" wrapText="1"/>
    </xf>
    <xf numFmtId="0" fontId="47" fillId="0" borderId="119" xfId="5" applyFont="1" applyBorder="1" applyAlignment="1">
      <alignment horizontal="center" vertical="center"/>
    </xf>
    <xf numFmtId="0" fontId="47" fillId="0" borderId="123" xfId="5" applyFont="1" applyBorder="1" applyAlignment="1">
      <alignment horizontal="center" vertical="center"/>
    </xf>
    <xf numFmtId="3" fontId="47" fillId="0" borderId="124" xfId="5" applyNumberFormat="1" applyFont="1" applyBorder="1" applyAlignment="1">
      <alignment horizontal="center" vertical="center" wrapText="1"/>
    </xf>
    <xf numFmtId="3" fontId="47" fillId="0" borderId="119" xfId="5" applyNumberFormat="1" applyFont="1" applyBorder="1" applyAlignment="1">
      <alignment horizontal="center" vertical="center" wrapText="1"/>
    </xf>
    <xf numFmtId="0" fontId="48" fillId="2" borderId="75" xfId="5" applyFont="1" applyFill="1" applyBorder="1" applyAlignment="1">
      <alignment horizontal="left" vertical="center"/>
    </xf>
    <xf numFmtId="3" fontId="44" fillId="0" borderId="75" xfId="6" applyNumberFormat="1" applyFont="1" applyBorder="1" applyAlignment="1">
      <alignment horizontal="right" vertical="center"/>
    </xf>
    <xf numFmtId="0" fontId="46" fillId="2" borderId="93" xfId="6" applyFont="1" applyFill="1" applyBorder="1" applyAlignment="1">
      <alignment horizontal="center" vertical="center"/>
    </xf>
    <xf numFmtId="49" fontId="46" fillId="0" borderId="120" xfId="6" applyNumberFormat="1" applyFont="1" applyBorder="1" applyAlignment="1">
      <alignment horizontal="center" vertical="center"/>
    </xf>
    <xf numFmtId="0" fontId="46" fillId="0" borderId="120" xfId="6" applyFont="1" applyBorder="1" applyAlignment="1">
      <alignment horizontal="left" vertical="center" wrapText="1"/>
    </xf>
    <xf numFmtId="0" fontId="48" fillId="2" borderId="120" xfId="5" applyFont="1" applyFill="1" applyBorder="1" applyAlignment="1">
      <alignment horizontal="left" vertical="center"/>
    </xf>
    <xf numFmtId="3" fontId="44" fillId="0" borderId="120" xfId="6" applyNumberFormat="1" applyFont="1" applyBorder="1" applyAlignment="1">
      <alignment horizontal="right" vertical="center"/>
    </xf>
    <xf numFmtId="3" fontId="44" fillId="0" borderId="120" xfId="6" applyNumberFormat="1" applyFont="1" applyBorder="1" applyAlignment="1">
      <alignment vertical="center"/>
    </xf>
    <xf numFmtId="3" fontId="46" fillId="0" borderId="120" xfId="6" applyNumberFormat="1" applyFont="1" applyBorder="1" applyAlignment="1">
      <alignment horizontal="right" vertical="center"/>
    </xf>
    <xf numFmtId="0" fontId="46" fillId="0" borderId="108" xfId="6" applyFont="1" applyBorder="1" applyAlignment="1">
      <alignment vertical="center"/>
    </xf>
    <xf numFmtId="3" fontId="46" fillId="0" borderId="120" xfId="6" applyNumberFormat="1" applyFont="1" applyBorder="1" applyAlignment="1">
      <alignment vertical="center"/>
    </xf>
    <xf numFmtId="0" fontId="44" fillId="2" borderId="119" xfId="6" applyFont="1" applyFill="1" applyBorder="1" applyAlignment="1">
      <alignment horizontal="center" vertical="center"/>
    </xf>
    <xf numFmtId="0" fontId="46" fillId="2" borderId="123" xfId="6" applyFont="1" applyFill="1" applyBorder="1" applyAlignment="1">
      <alignment horizontal="left" vertical="center"/>
    </xf>
    <xf numFmtId="3" fontId="44" fillId="0" borderId="123" xfId="6" applyNumberFormat="1" applyFont="1" applyBorder="1" applyAlignment="1">
      <alignment vertical="center"/>
    </xf>
    <xf numFmtId="3" fontId="44" fillId="0" borderId="124" xfId="6" applyNumberFormat="1" applyFont="1" applyBorder="1" applyAlignment="1">
      <alignment vertical="center"/>
    </xf>
    <xf numFmtId="0" fontId="46" fillId="2" borderId="119" xfId="6" applyFont="1" applyFill="1" applyBorder="1" applyAlignment="1">
      <alignment horizontal="center" vertical="center"/>
    </xf>
    <xf numFmtId="3" fontId="44" fillId="0" borderId="123" xfId="6" applyNumberFormat="1" applyFont="1" applyBorder="1" applyAlignment="1">
      <alignment horizontal="right" vertical="center"/>
    </xf>
    <xf numFmtId="3" fontId="44" fillId="0" borderId="124" xfId="6" applyNumberFormat="1" applyFont="1" applyBorder="1" applyAlignment="1">
      <alignment horizontal="right" vertical="center"/>
    </xf>
    <xf numFmtId="3" fontId="46" fillId="0" borderId="123" xfId="6" applyNumberFormat="1" applyFont="1" applyBorder="1" applyAlignment="1">
      <alignment horizontal="right" vertical="center"/>
    </xf>
    <xf numFmtId="0" fontId="46" fillId="0" borderId="124" xfId="6" applyFont="1" applyBorder="1" applyAlignment="1">
      <alignment vertical="center"/>
    </xf>
    <xf numFmtId="0" fontId="48" fillId="2" borderId="63" xfId="5" applyFont="1" applyFill="1" applyBorder="1" applyAlignment="1">
      <alignment horizontal="left" vertical="center"/>
    </xf>
    <xf numFmtId="0" fontId="46" fillId="2" borderId="11" xfId="6" applyFont="1" applyFill="1" applyBorder="1" applyAlignment="1">
      <alignment horizontal="left" vertical="center"/>
    </xf>
    <xf numFmtId="0" fontId="46" fillId="2" borderId="57" xfId="6" applyFont="1" applyFill="1" applyBorder="1" applyAlignment="1">
      <alignment horizontal="left" vertical="center"/>
    </xf>
    <xf numFmtId="0" fontId="46" fillId="2" borderId="55" xfId="6" applyFont="1" applyFill="1" applyBorder="1" applyAlignment="1">
      <alignment horizontal="left" vertical="center"/>
    </xf>
    <xf numFmtId="3" fontId="44" fillId="0" borderId="55" xfId="6" applyNumberFormat="1" applyFont="1" applyBorder="1" applyAlignment="1">
      <alignment vertical="center"/>
    </xf>
    <xf numFmtId="3" fontId="44" fillId="0" borderId="17" xfId="6" applyNumberFormat="1" applyFont="1" applyBorder="1" applyAlignment="1">
      <alignment vertical="center"/>
    </xf>
    <xf numFmtId="3" fontId="21" fillId="0" borderId="84" xfId="20" applyNumberFormat="1" applyFont="1" applyBorder="1" applyAlignment="1" applyProtection="1">
      <alignment horizontal="center" vertical="center" wrapText="1"/>
    </xf>
    <xf numFmtId="3" fontId="20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79" xfId="1" applyFont="1" applyBorder="1" applyAlignment="1">
      <alignment horizontal="center" vertical="center"/>
    </xf>
    <xf numFmtId="0" fontId="2" fillId="0" borderId="78" xfId="1" applyFont="1" applyBorder="1" applyAlignment="1">
      <alignment horizontal="center" vertical="center"/>
    </xf>
    <xf numFmtId="0" fontId="2" fillId="0" borderId="74" xfId="1" applyFont="1" applyBorder="1" applyAlignment="1">
      <alignment horizontal="center" vertical="center"/>
    </xf>
    <xf numFmtId="0" fontId="2" fillId="0" borderId="7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4" fillId="0" borderId="3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1" fillId="0" borderId="74" xfId="5" applyFont="1" applyBorder="1" applyAlignment="1">
      <alignment horizontal="center" vertical="center"/>
    </xf>
    <xf numFmtId="0" fontId="21" fillId="0" borderId="76" xfId="5" applyFont="1" applyBorder="1" applyAlignment="1">
      <alignment horizontal="center" vertical="center"/>
    </xf>
    <xf numFmtId="0" fontId="21" fillId="0" borderId="0" xfId="5" applyFont="1" applyAlignment="1">
      <alignment horizontal="center" vertical="center" wrapText="1"/>
    </xf>
    <xf numFmtId="0" fontId="14" fillId="0" borderId="0" xfId="4" applyFont="1" applyAlignment="1">
      <alignment horizontal="center" vertical="center"/>
    </xf>
    <xf numFmtId="0" fontId="21" fillId="0" borderId="75" xfId="5" applyFont="1" applyBorder="1" applyAlignment="1">
      <alignment horizontal="center" vertical="center"/>
    </xf>
    <xf numFmtId="0" fontId="21" fillId="0" borderId="119" xfId="5" applyFont="1" applyBorder="1" applyAlignment="1">
      <alignment horizontal="center" vertical="center"/>
    </xf>
    <xf numFmtId="0" fontId="21" fillId="0" borderId="123" xfId="5" applyFont="1" applyBorder="1" applyAlignment="1">
      <alignment horizontal="center" vertical="center"/>
    </xf>
    <xf numFmtId="0" fontId="21" fillId="0" borderId="124" xfId="5" applyFont="1" applyBorder="1" applyAlignment="1">
      <alignment horizontal="center" vertical="center"/>
    </xf>
    <xf numFmtId="0" fontId="21" fillId="0" borderId="77" xfId="5" applyFont="1" applyBorder="1" applyAlignment="1">
      <alignment horizontal="center" vertical="center"/>
    </xf>
    <xf numFmtId="0" fontId="21" fillId="0" borderId="125" xfId="5" applyFont="1" applyBorder="1" applyAlignment="1">
      <alignment horizontal="center" vertical="center"/>
    </xf>
    <xf numFmtId="0" fontId="44" fillId="0" borderId="123" xfId="6" applyFont="1" applyBorder="1" applyAlignment="1">
      <alignment horizontal="left" vertical="center" wrapText="1"/>
    </xf>
    <xf numFmtId="0" fontId="44" fillId="0" borderId="74" xfId="6" applyFont="1" applyBorder="1" applyAlignment="1">
      <alignment horizontal="left" vertical="center"/>
    </xf>
    <xf numFmtId="0" fontId="44" fillId="0" borderId="75" xfId="6" applyFont="1" applyBorder="1" applyAlignment="1">
      <alignment horizontal="left" vertical="center"/>
    </xf>
    <xf numFmtId="0" fontId="44" fillId="0" borderId="76" xfId="6" applyFont="1" applyBorder="1" applyAlignment="1">
      <alignment horizontal="left" vertical="center"/>
    </xf>
    <xf numFmtId="0" fontId="44" fillId="0" borderId="39" xfId="6" applyFont="1" applyBorder="1" applyAlignment="1">
      <alignment horizontal="left" vertical="center"/>
    </xf>
    <xf numFmtId="0" fontId="44" fillId="0" borderId="23" xfId="6" applyFont="1" applyBorder="1" applyAlignment="1">
      <alignment horizontal="left" vertical="center"/>
    </xf>
    <xf numFmtId="0" fontId="44" fillId="0" borderId="82" xfId="6" applyFont="1" applyBorder="1" applyAlignment="1">
      <alignment horizontal="left" vertical="center"/>
    </xf>
    <xf numFmtId="0" fontId="44" fillId="0" borderId="123" xfId="6" applyFont="1" applyBorder="1" applyAlignment="1">
      <alignment horizontal="left" vertical="center"/>
    </xf>
    <xf numFmtId="0" fontId="44" fillId="0" borderId="0" xfId="6" applyFont="1" applyAlignment="1">
      <alignment horizontal="center" vertical="center" wrapText="1"/>
    </xf>
    <xf numFmtId="0" fontId="44" fillId="0" borderId="74" xfId="6" applyFont="1" applyBorder="1" applyAlignment="1">
      <alignment horizontal="center" vertical="center"/>
    </xf>
    <xf numFmtId="0" fontId="44" fillId="0" borderId="75" xfId="6" applyFont="1" applyBorder="1" applyAlignment="1">
      <alignment horizontal="center" vertical="center"/>
    </xf>
    <xf numFmtId="0" fontId="44" fillId="0" borderId="69" xfId="6" applyFont="1" applyBorder="1" applyAlignment="1">
      <alignment horizontal="center" vertical="center"/>
    </xf>
    <xf numFmtId="0" fontId="44" fillId="0" borderId="119" xfId="6" applyFont="1" applyBorder="1" applyAlignment="1">
      <alignment horizontal="center" vertical="center"/>
    </xf>
    <xf numFmtId="0" fontId="44" fillId="0" borderId="123" xfId="6" applyFont="1" applyBorder="1" applyAlignment="1">
      <alignment horizontal="center" vertical="center"/>
    </xf>
    <xf numFmtId="0" fontId="44" fillId="0" borderId="129" xfId="6" applyFont="1" applyBorder="1" applyAlignment="1">
      <alignment horizontal="center" vertical="center"/>
    </xf>
    <xf numFmtId="3" fontId="44" fillId="0" borderId="77" xfId="6" applyNumberFormat="1" applyFont="1" applyBorder="1" applyAlignment="1">
      <alignment horizontal="center" vertical="center"/>
    </xf>
    <xf numFmtId="3" fontId="44" fillId="0" borderId="125" xfId="6" applyNumberFormat="1" applyFont="1" applyBorder="1" applyAlignment="1">
      <alignment horizontal="center" vertical="center"/>
    </xf>
    <xf numFmtId="0" fontId="44" fillId="0" borderId="77" xfId="6" applyFont="1" applyBorder="1" applyAlignment="1">
      <alignment horizontal="center" vertical="center"/>
    </xf>
    <xf numFmtId="0" fontId="44" fillId="0" borderId="125" xfId="6" applyFont="1" applyBorder="1" applyAlignment="1">
      <alignment horizontal="center" vertical="center"/>
    </xf>
    <xf numFmtId="0" fontId="44" fillId="0" borderId="76" xfId="6" applyFont="1" applyBorder="1" applyAlignment="1">
      <alignment horizontal="center" vertical="center"/>
    </xf>
    <xf numFmtId="0" fontId="44" fillId="0" borderId="24" xfId="6" applyFont="1" applyBorder="1" applyAlignment="1">
      <alignment horizontal="left" vertical="center"/>
    </xf>
    <xf numFmtId="0" fontId="44" fillId="0" borderId="63" xfId="6" applyFont="1" applyBorder="1" applyAlignment="1">
      <alignment horizontal="left" vertical="center"/>
    </xf>
    <xf numFmtId="0" fontId="44" fillId="0" borderId="10" xfId="6" applyFont="1" applyBorder="1" applyAlignment="1">
      <alignment horizontal="left" vertical="center"/>
    </xf>
    <xf numFmtId="0" fontId="44" fillId="0" borderId="11" xfId="6" applyFont="1" applyBorder="1" applyAlignment="1">
      <alignment horizontal="left" vertical="center"/>
    </xf>
    <xf numFmtId="0" fontId="44" fillId="0" borderId="31" xfId="6" applyFont="1" applyBorder="1" applyAlignment="1">
      <alignment horizontal="left" vertical="center"/>
    </xf>
    <xf numFmtId="0" fontId="44" fillId="0" borderId="57" xfId="6" applyFont="1" applyBorder="1" applyAlignment="1">
      <alignment horizontal="left" vertical="center"/>
    </xf>
    <xf numFmtId="0" fontId="44" fillId="0" borderId="16" xfId="6" applyFont="1" applyBorder="1" applyAlignment="1">
      <alignment horizontal="left" vertical="center"/>
    </xf>
    <xf numFmtId="0" fontId="44" fillId="0" borderId="55" xfId="6" applyFont="1" applyBorder="1" applyAlignment="1">
      <alignment horizontal="left" vertical="center"/>
    </xf>
    <xf numFmtId="0" fontId="14" fillId="0" borderId="76" xfId="0" applyFont="1" applyBorder="1" applyAlignment="1">
      <alignment horizontal="center" vertical="center" wrapText="1"/>
    </xf>
    <xf numFmtId="0" fontId="14" fillId="0" borderId="113" xfId="0" applyFont="1" applyBorder="1" applyAlignment="1">
      <alignment horizontal="center" vertical="center" wrapText="1"/>
    </xf>
    <xf numFmtId="0" fontId="21" fillId="0" borderId="0" xfId="6" applyFont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0" fontId="14" fillId="0" borderId="111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4" fillId="0" borderId="112" xfId="0" applyFont="1" applyBorder="1" applyAlignment="1">
      <alignment horizontal="center" vertical="center" wrapText="1"/>
    </xf>
    <xf numFmtId="0" fontId="13" fillId="2" borderId="75" xfId="0" applyFont="1" applyFill="1" applyBorder="1" applyAlignment="1">
      <alignment horizontal="center" vertical="center" wrapText="1"/>
    </xf>
    <xf numFmtId="0" fontId="13" fillId="2" borderId="112" xfId="0" applyFont="1" applyFill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74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24" fillId="0" borderId="75" xfId="0" applyFont="1" applyBorder="1" applyAlignment="1">
      <alignment horizontal="center" vertical="center" wrapText="1"/>
    </xf>
    <xf numFmtId="0" fontId="0" fillId="0" borderId="66" xfId="0" applyBorder="1" applyAlignment="1">
      <alignment wrapText="1"/>
    </xf>
    <xf numFmtId="0" fontId="7" fillId="2" borderId="75" xfId="0" applyFont="1" applyFill="1" applyBorder="1" applyAlignment="1">
      <alignment horizontal="center" vertical="center"/>
    </xf>
    <xf numFmtId="0" fontId="0" fillId="2" borderId="66" xfId="0" applyFill="1" applyBorder="1"/>
    <xf numFmtId="0" fontId="24" fillId="0" borderId="0" xfId="0" applyFont="1" applyBorder="1" applyAlignment="1">
      <alignment horizontal="center"/>
    </xf>
    <xf numFmtId="0" fontId="24" fillId="0" borderId="75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14" fillId="0" borderId="0" xfId="9" applyFont="1" applyAlignment="1">
      <alignment horizontal="center" vertical="center" wrapText="1"/>
    </xf>
    <xf numFmtId="0" fontId="14" fillId="0" borderId="0" xfId="9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12" applyFont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1" fillId="0" borderId="84" xfId="20" applyFont="1" applyBorder="1" applyAlignment="1" applyProtection="1">
      <alignment horizontal="left"/>
    </xf>
    <xf numFmtId="0" fontId="21" fillId="0" borderId="84" xfId="20" applyFont="1" applyBorder="1" applyAlignment="1" applyProtection="1">
      <alignment horizontal="center" vertical="center" wrapText="1"/>
    </xf>
    <xf numFmtId="0" fontId="21" fillId="0" borderId="0" xfId="20" applyFont="1" applyAlignment="1" applyProtection="1">
      <alignment horizontal="center" vertical="center"/>
    </xf>
    <xf numFmtId="0" fontId="0" fillId="0" borderId="96" xfId="0" applyBorder="1"/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horizontal="center" wrapText="1"/>
    </xf>
    <xf numFmtId="0" fontId="14" fillId="0" borderId="0" xfId="14" applyFont="1" applyAlignment="1">
      <alignment horizontal="center"/>
    </xf>
    <xf numFmtId="0" fontId="14" fillId="0" borderId="10" xfId="14" applyFont="1" applyBorder="1" applyAlignment="1">
      <alignment horizontal="center" vertical="center"/>
    </xf>
    <xf numFmtId="0" fontId="14" fillId="0" borderId="11" xfId="14" applyFont="1" applyBorder="1" applyAlignment="1">
      <alignment horizontal="center" vertical="center"/>
    </xf>
    <xf numFmtId="0" fontId="14" fillId="0" borderId="12" xfId="14" applyFont="1" applyBorder="1" applyAlignment="1">
      <alignment horizontal="center" vertical="center"/>
    </xf>
    <xf numFmtId="0" fontId="14" fillId="0" borderId="74" xfId="14" applyFont="1" applyBorder="1" applyAlignment="1">
      <alignment horizontal="center" vertical="center"/>
    </xf>
    <xf numFmtId="0" fontId="14" fillId="0" borderId="9" xfId="14" applyFont="1" applyBorder="1" applyAlignment="1">
      <alignment horizontal="center" vertical="center"/>
    </xf>
    <xf numFmtId="3" fontId="14" fillId="0" borderId="76" xfId="14" applyNumberFormat="1" applyFont="1" applyBorder="1" applyAlignment="1">
      <alignment horizontal="center" vertical="center" wrapText="1"/>
    </xf>
    <xf numFmtId="3" fontId="14" fillId="0" borderId="1" xfId="14" applyNumberFormat="1" applyFont="1" applyBorder="1" applyAlignment="1">
      <alignment horizontal="center" vertical="center" wrapText="1"/>
    </xf>
    <xf numFmtId="0" fontId="14" fillId="0" borderId="37" xfId="14" applyFont="1" applyBorder="1" applyAlignment="1">
      <alignment horizontal="center" vertical="center"/>
    </xf>
    <xf numFmtId="0" fontId="14" fillId="2" borderId="74" xfId="14" applyFont="1" applyFill="1" applyBorder="1" applyAlignment="1">
      <alignment horizontal="center" vertical="center"/>
    </xf>
    <xf numFmtId="0" fontId="14" fillId="2" borderId="9" xfId="14" applyFont="1" applyFill="1" applyBorder="1" applyAlignment="1">
      <alignment horizontal="center" vertical="center"/>
    </xf>
    <xf numFmtId="3" fontId="14" fillId="0" borderId="69" xfId="14" applyNumberFormat="1" applyFont="1" applyBorder="1" applyAlignment="1">
      <alignment horizontal="center" vertical="center"/>
    </xf>
    <xf numFmtId="3" fontId="0" fillId="0" borderId="65" xfId="0" applyNumberFormat="1" applyBorder="1" applyAlignment="1">
      <alignment horizontal="center" vertical="center"/>
    </xf>
    <xf numFmtId="3" fontId="14" fillId="0" borderId="69" xfId="14" applyNumberFormat="1" applyFont="1" applyBorder="1" applyAlignment="1">
      <alignment horizontal="center" vertical="center" wrapText="1"/>
    </xf>
    <xf numFmtId="3" fontId="14" fillId="0" borderId="65" xfId="14" applyNumberFormat="1" applyFont="1" applyBorder="1" applyAlignment="1">
      <alignment horizontal="center" vertical="center" wrapText="1"/>
    </xf>
    <xf numFmtId="0" fontId="14" fillId="2" borderId="74" xfId="14" applyFont="1" applyFill="1" applyBorder="1" applyAlignment="1">
      <alignment horizontal="center" vertical="center" wrapText="1"/>
    </xf>
    <xf numFmtId="0" fontId="14" fillId="2" borderId="9" xfId="14" applyFont="1" applyFill="1" applyBorder="1" applyAlignment="1">
      <alignment horizontal="center" vertical="center" wrapText="1"/>
    </xf>
    <xf numFmtId="49" fontId="20" fillId="0" borderId="92" xfId="0" applyNumberFormat="1" applyFont="1" applyFill="1" applyBorder="1" applyAlignment="1">
      <alignment horizontal="left" vertical="center" wrapText="1"/>
    </xf>
    <xf numFmtId="49" fontId="20" fillId="0" borderId="48" xfId="0" applyNumberFormat="1" applyFont="1" applyFill="1" applyBorder="1" applyAlignment="1">
      <alignment horizontal="left" vertical="center" wrapText="1"/>
    </xf>
    <xf numFmtId="0" fontId="20" fillId="0" borderId="92" xfId="0" applyFont="1" applyFill="1" applyBorder="1" applyAlignment="1">
      <alignment horizontal="center"/>
    </xf>
    <xf numFmtId="0" fontId="52" fillId="0" borderId="92" xfId="0" applyFont="1" applyFill="1" applyBorder="1" applyAlignment="1">
      <alignment horizontal="center" vertical="center" wrapText="1"/>
    </xf>
    <xf numFmtId="0" fontId="60" fillId="5" borderId="92" xfId="0" applyFont="1" applyFill="1" applyBorder="1" applyAlignment="1">
      <alignment horizontal="center" vertical="center" wrapText="1"/>
    </xf>
    <xf numFmtId="0" fontId="7" fillId="6" borderId="92" xfId="0" applyFont="1" applyFill="1" applyBorder="1"/>
    <xf numFmtId="0" fontId="71" fillId="0" borderId="92" xfId="0" applyFont="1" applyFill="1" applyBorder="1" applyAlignment="1">
      <alignment horizontal="center" vertical="center" wrapText="1"/>
    </xf>
    <xf numFmtId="0" fontId="60" fillId="5" borderId="92" xfId="0" applyFont="1" applyFill="1" applyBorder="1" applyAlignment="1">
      <alignment horizontal="center" wrapText="1"/>
    </xf>
    <xf numFmtId="49" fontId="57" fillId="5" borderId="92" xfId="0" applyNumberFormat="1" applyFont="1" applyFill="1" applyBorder="1" applyAlignment="1">
      <alignment wrapText="1"/>
    </xf>
    <xf numFmtId="0" fontId="60" fillId="0" borderId="92" xfId="0" applyFont="1" applyFill="1" applyBorder="1" applyAlignment="1">
      <alignment horizontal="center" vertical="center" wrapText="1"/>
    </xf>
    <xf numFmtId="0" fontId="57" fillId="6" borderId="47" xfId="0" applyFont="1" applyFill="1" applyBorder="1"/>
    <xf numFmtId="0" fontId="57" fillId="6" borderId="92" xfId="0" applyFont="1" applyFill="1" applyBorder="1"/>
    <xf numFmtId="0" fontId="7" fillId="0" borderId="92" xfId="0" applyFont="1" applyBorder="1"/>
    <xf numFmtId="0" fontId="7" fillId="0" borderId="92" xfId="0" applyFont="1" applyFill="1" applyBorder="1"/>
    <xf numFmtId="0" fontId="53" fillId="0" borderId="0" xfId="0" applyFont="1" applyAlignment="1">
      <alignment horizontal="center"/>
    </xf>
    <xf numFmtId="0" fontId="52" fillId="0" borderId="74" xfId="0" applyFont="1" applyFill="1" applyBorder="1" applyAlignment="1">
      <alignment horizontal="center" vertical="center" wrapText="1"/>
    </xf>
    <xf numFmtId="0" fontId="52" fillId="0" borderId="87" xfId="0" applyFont="1" applyFill="1" applyBorder="1" applyAlignment="1">
      <alignment horizontal="center" vertical="center" wrapText="1"/>
    </xf>
    <xf numFmtId="49" fontId="57" fillId="0" borderId="75" xfId="0" applyNumberFormat="1" applyFont="1" applyFill="1" applyBorder="1" applyAlignment="1">
      <alignment horizontal="center" vertical="center"/>
    </xf>
    <xf numFmtId="49" fontId="57" fillId="0" borderId="88" xfId="0" applyNumberFormat="1" applyFont="1" applyFill="1" applyBorder="1" applyAlignment="1">
      <alignment horizontal="center" vertical="center"/>
    </xf>
    <xf numFmtId="0" fontId="57" fillId="0" borderId="75" xfId="0" applyFont="1" applyFill="1" applyBorder="1" applyAlignment="1">
      <alignment horizontal="center" vertical="center"/>
    </xf>
    <xf numFmtId="0" fontId="60" fillId="0" borderId="88" xfId="0" applyFont="1" applyFill="1" applyBorder="1" applyAlignment="1">
      <alignment horizontal="center" vertical="center" wrapText="1"/>
    </xf>
    <xf numFmtId="3" fontId="40" fillId="0" borderId="76" xfId="0" applyNumberFormat="1" applyFont="1" applyFill="1" applyBorder="1" applyAlignment="1">
      <alignment horizontal="center" vertical="center" wrapText="1"/>
    </xf>
    <xf numFmtId="3" fontId="40" fillId="0" borderId="95" xfId="0" applyNumberFormat="1" applyFont="1" applyFill="1" applyBorder="1" applyAlignment="1">
      <alignment horizontal="center" vertical="center" wrapText="1"/>
    </xf>
    <xf numFmtId="3" fontId="3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0" borderId="0" xfId="17" applyFont="1" applyAlignment="1">
      <alignment horizontal="center" vertical="center" wrapText="1"/>
    </xf>
    <xf numFmtId="3" fontId="14" fillId="0" borderId="25" xfId="17" applyNumberFormat="1" applyFont="1" applyFill="1" applyBorder="1" applyAlignment="1">
      <alignment horizontal="center" vertical="center" wrapText="1"/>
    </xf>
    <xf numFmtId="3" fontId="14" fillId="0" borderId="17" xfId="17" applyNumberFormat="1" applyFont="1" applyFill="1" applyBorder="1" applyAlignment="1">
      <alignment horizontal="center" vertical="center" wrapText="1"/>
    </xf>
    <xf numFmtId="0" fontId="14" fillId="0" borderId="73" xfId="17" applyFont="1" applyFill="1" applyBorder="1" applyAlignment="1">
      <alignment horizontal="center" vertical="center" wrapText="1"/>
    </xf>
    <xf numFmtId="0" fontId="14" fillId="0" borderId="26" xfId="17" applyFont="1" applyFill="1" applyBorder="1" applyAlignment="1">
      <alignment horizontal="center" vertical="center" wrapText="1"/>
    </xf>
    <xf numFmtId="0" fontId="14" fillId="0" borderId="24" xfId="17" applyFont="1" applyFill="1" applyBorder="1" applyAlignment="1">
      <alignment horizontal="center" vertical="center"/>
    </xf>
    <xf numFmtId="0" fontId="14" fillId="0" borderId="16" xfId="17" applyFont="1" applyFill="1" applyBorder="1" applyAlignment="1">
      <alignment horizontal="center" vertical="center"/>
    </xf>
    <xf numFmtId="0" fontId="14" fillId="0" borderId="63" xfId="17" applyFont="1" applyFill="1" applyBorder="1" applyAlignment="1">
      <alignment horizontal="center" vertical="center" wrapText="1"/>
    </xf>
    <xf numFmtId="0" fontId="14" fillId="0" borderId="55" xfId="17" applyFont="1" applyFill="1" applyBorder="1" applyAlignment="1">
      <alignment horizontal="center" vertical="center" wrapText="1"/>
    </xf>
    <xf numFmtId="3" fontId="14" fillId="0" borderId="79" xfId="17" applyNumberFormat="1" applyFont="1" applyFill="1" applyBorder="1" applyAlignment="1">
      <alignment horizontal="center" vertical="center" wrapText="1"/>
    </xf>
    <xf numFmtId="3" fontId="14" fillId="0" borderId="60" xfId="17" applyNumberFormat="1" applyFont="1" applyFill="1" applyBorder="1" applyAlignment="1">
      <alignment horizontal="center" vertical="center" wrapText="1"/>
    </xf>
  </cellXfs>
  <cellStyles count="21">
    <cellStyle name="Excel Built-in Explanatory Text" xfId="18"/>
    <cellStyle name="Excel Built-in Normal" xfId="8"/>
    <cellStyle name="Excel Built-in Normal 2" xfId="19"/>
    <cellStyle name="Ezres 2" xfId="11"/>
    <cellStyle name="Magyarázó szöveg" xfId="12" builtinId="53"/>
    <cellStyle name="Magyarázó szöveg 2" xfId="13"/>
    <cellStyle name="Magyarázó szöveg 2 2" xfId="20"/>
    <cellStyle name="Magyarázó szöveg 3" xfId="7"/>
    <cellStyle name="Magyarázó szöveg 4" xfId="5"/>
    <cellStyle name="Normál" xfId="0" builtinId="0"/>
    <cellStyle name="Normál 2" xfId="10"/>
    <cellStyle name="Normál 2 2" xfId="6"/>
    <cellStyle name="Normál 3" xfId="4"/>
    <cellStyle name="Normál 8" xfId="15"/>
    <cellStyle name="Normál_Beruh.felú-átadott-átvett" xfId="9"/>
    <cellStyle name="Normál_Brigitől kisebbségek_Munkafüzet1" xfId="14"/>
    <cellStyle name="Normál_EU-s_pályázatok 20150115" xfId="17"/>
    <cellStyle name="Normál_KTGVET98" xfId="1"/>
    <cellStyle name="Normál_Munkafüzet1" xfId="3"/>
    <cellStyle name="Normál_Munkafüzet3" xfId="16"/>
    <cellStyle name="Normál_Táblák-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1"/>
  <sheetViews>
    <sheetView tabSelected="1" view="pageLayout" topLeftCell="A27" zoomScaleNormal="100" workbookViewId="0">
      <selection activeCell="A52" sqref="A52"/>
    </sheetView>
  </sheetViews>
  <sheetFormatPr defaultRowHeight="15"/>
  <cols>
    <col min="1" max="1" width="68.42578125" style="1" bestFit="1" customWidth="1"/>
    <col min="2" max="2" width="16.140625" style="1" customWidth="1"/>
    <col min="3" max="3" width="5.140625" style="1" customWidth="1"/>
    <col min="4" max="4" width="59.7109375" style="1" bestFit="1" customWidth="1"/>
    <col min="5" max="5" width="16.140625" style="1" customWidth="1"/>
    <col min="6" max="16384" width="9.140625" style="1"/>
  </cols>
  <sheetData>
    <row r="1" spans="1:5">
      <c r="A1" s="1052" t="s">
        <v>607</v>
      </c>
      <c r="B1" s="1052"/>
      <c r="C1" s="1052"/>
      <c r="D1" s="1052"/>
      <c r="E1" s="1052"/>
    </row>
    <row r="2" spans="1:5" ht="15.75" thickBot="1">
      <c r="A2" s="2"/>
      <c r="B2" s="3"/>
      <c r="C2" s="3"/>
      <c r="D2" s="3"/>
      <c r="E2" s="3"/>
    </row>
    <row r="3" spans="1:5">
      <c r="A3" s="598" t="s">
        <v>0</v>
      </c>
      <c r="B3" s="599"/>
      <c r="C3" s="577"/>
      <c r="D3" s="578" t="s">
        <v>1</v>
      </c>
      <c r="E3" s="579"/>
    </row>
    <row r="4" spans="1:5" ht="15.75" thickBot="1">
      <c r="A4" s="158" t="s">
        <v>2</v>
      </c>
      <c r="B4" s="580" t="s">
        <v>3</v>
      </c>
      <c r="C4" s="571"/>
      <c r="D4" s="158" t="s">
        <v>2</v>
      </c>
      <c r="E4" s="580" t="s">
        <v>4</v>
      </c>
    </row>
    <row r="5" spans="1:5">
      <c r="A5" s="163" t="s">
        <v>5</v>
      </c>
      <c r="B5" s="582">
        <f>'3. melléklet'!E5</f>
        <v>1349779.419</v>
      </c>
      <c r="C5" s="572"/>
      <c r="D5" s="581" t="s">
        <v>6</v>
      </c>
      <c r="E5" s="582">
        <f>'4. melléklet'!G6</f>
        <v>1852786</v>
      </c>
    </row>
    <row r="6" spans="1:5">
      <c r="A6" s="164"/>
      <c r="B6" s="584"/>
      <c r="C6" s="572"/>
      <c r="D6" s="583"/>
      <c r="E6" s="584"/>
    </row>
    <row r="7" spans="1:5">
      <c r="A7" s="165" t="s">
        <v>7</v>
      </c>
      <c r="B7" s="584">
        <f>SUM(B8:B9)</f>
        <v>404378</v>
      </c>
      <c r="C7" s="572"/>
      <c r="D7" s="165" t="s">
        <v>9</v>
      </c>
      <c r="E7" s="584">
        <f>'4. melléklet'!G7</f>
        <v>342937</v>
      </c>
    </row>
    <row r="8" spans="1:5">
      <c r="A8" s="166" t="s">
        <v>327</v>
      </c>
      <c r="B8" s="585">
        <f>'3. melléklet'!E9</f>
        <v>0</v>
      </c>
      <c r="C8" s="573"/>
      <c r="D8" s="166"/>
      <c r="E8" s="585"/>
    </row>
    <row r="9" spans="1:5">
      <c r="A9" s="167" t="s">
        <v>8</v>
      </c>
      <c r="B9" s="585">
        <f>'3. melléklet'!E10</f>
        <v>404378</v>
      </c>
      <c r="C9" s="573"/>
      <c r="D9" s="165" t="s">
        <v>12</v>
      </c>
      <c r="E9" s="584">
        <f>'4. melléklet'!G8</f>
        <v>2410608</v>
      </c>
    </row>
    <row r="10" spans="1:5">
      <c r="A10" s="167"/>
      <c r="B10" s="585"/>
      <c r="C10" s="573"/>
      <c r="D10" s="165"/>
      <c r="E10" s="584"/>
    </row>
    <row r="11" spans="1:5">
      <c r="A11" s="168" t="s">
        <v>10</v>
      </c>
      <c r="B11" s="584">
        <f>B12</f>
        <v>113219</v>
      </c>
      <c r="C11" s="572"/>
      <c r="D11" s="165" t="s">
        <v>14</v>
      </c>
      <c r="E11" s="584">
        <f>'4. melléklet'!G9</f>
        <v>64850</v>
      </c>
    </row>
    <row r="12" spans="1:5">
      <c r="A12" s="167" t="s">
        <v>8</v>
      </c>
      <c r="B12" s="585">
        <f>'3. melléklet'!E12</f>
        <v>113219</v>
      </c>
      <c r="C12" s="573"/>
      <c r="D12" s="165"/>
      <c r="E12" s="584"/>
    </row>
    <row r="13" spans="1:5">
      <c r="A13" s="168"/>
      <c r="B13" s="585"/>
      <c r="C13" s="573"/>
      <c r="D13" s="165" t="s">
        <v>16</v>
      </c>
      <c r="E13" s="584">
        <f>SUM(E14:E18)</f>
        <v>1323721</v>
      </c>
    </row>
    <row r="14" spans="1:5">
      <c r="A14" s="164" t="s">
        <v>11</v>
      </c>
      <c r="B14" s="584">
        <f>SUM(B15:B19)</f>
        <v>2350000</v>
      </c>
      <c r="C14" s="572"/>
      <c r="D14" s="166" t="s">
        <v>17</v>
      </c>
      <c r="E14" s="585">
        <f>'4. melléklet'!G11</f>
        <v>0</v>
      </c>
    </row>
    <row r="15" spans="1:5">
      <c r="A15" s="167" t="s">
        <v>13</v>
      </c>
      <c r="B15" s="585">
        <f>'3. melléklet'!E14</f>
        <v>530000</v>
      </c>
      <c r="C15" s="573"/>
      <c r="D15" s="166" t="s">
        <v>18</v>
      </c>
      <c r="E15" s="585">
        <f>'4. melléklet'!G12</f>
        <v>18000</v>
      </c>
    </row>
    <row r="16" spans="1:5">
      <c r="A16" s="167" t="s">
        <v>78</v>
      </c>
      <c r="B16" s="585">
        <f>'3. melléklet'!E17</f>
        <v>1815000</v>
      </c>
      <c r="C16" s="573"/>
      <c r="D16" s="166" t="s">
        <v>19</v>
      </c>
      <c r="E16" s="585">
        <f>'4. melléklet'!G13</f>
        <v>20000</v>
      </c>
    </row>
    <row r="17" spans="1:5">
      <c r="A17" s="166" t="s">
        <v>15</v>
      </c>
      <c r="B17" s="585">
        <f>'3. melléklet'!E21</f>
        <v>3000</v>
      </c>
      <c r="C17" s="573"/>
      <c r="D17" s="166" t="s">
        <v>21</v>
      </c>
      <c r="E17" s="585">
        <f>'4. melléklet'!G14</f>
        <v>1182077</v>
      </c>
    </row>
    <row r="18" spans="1:5">
      <c r="A18" s="166" t="s">
        <v>328</v>
      </c>
      <c r="B18" s="585">
        <f>'3. melléklet'!E22</f>
        <v>1500</v>
      </c>
      <c r="C18" s="573"/>
      <c r="D18" s="166" t="s">
        <v>23</v>
      </c>
      <c r="E18" s="585">
        <f>SUM(E19:E21)</f>
        <v>103644</v>
      </c>
    </row>
    <row r="19" spans="1:5">
      <c r="A19" s="166" t="s">
        <v>87</v>
      </c>
      <c r="B19" s="585">
        <f>'3. melléklet'!E23</f>
        <v>500</v>
      </c>
      <c r="C19" s="573"/>
      <c r="D19" s="310" t="s">
        <v>25</v>
      </c>
      <c r="E19" s="586">
        <f>'4. melléklet'!G16</f>
        <v>30000</v>
      </c>
    </row>
    <row r="20" spans="1:5">
      <c r="A20" s="164"/>
      <c r="B20" s="584"/>
      <c r="C20" s="572"/>
      <c r="D20" s="587" t="s">
        <v>27</v>
      </c>
      <c r="E20" s="586">
        <f>'4. melléklet'!G17</f>
        <v>73644</v>
      </c>
    </row>
    <row r="21" spans="1:5" ht="15" customHeight="1">
      <c r="A21" s="164" t="s">
        <v>20</v>
      </c>
      <c r="B21" s="584">
        <f>SUM(B22:B29)</f>
        <v>2371771</v>
      </c>
      <c r="C21" s="572"/>
      <c r="D21" s="310" t="s">
        <v>29</v>
      </c>
      <c r="E21" s="586">
        <f>'4. melléklet'!G18</f>
        <v>0</v>
      </c>
    </row>
    <row r="22" spans="1:5" ht="30">
      <c r="A22" s="169" t="s">
        <v>22</v>
      </c>
      <c r="B22" s="585">
        <f>'3. melléklet'!E25</f>
        <v>1402614</v>
      </c>
      <c r="C22" s="573"/>
      <c r="D22" s="583"/>
      <c r="E22" s="585"/>
    </row>
    <row r="23" spans="1:5">
      <c r="A23" s="167" t="s">
        <v>24</v>
      </c>
      <c r="B23" s="585">
        <f>'3. melléklet'!E26</f>
        <v>255073</v>
      </c>
      <c r="C23" s="573"/>
      <c r="D23" s="165" t="s">
        <v>32</v>
      </c>
      <c r="E23" s="584">
        <f>'4. melléklet'!G19</f>
        <v>2196341</v>
      </c>
    </row>
    <row r="24" spans="1:5">
      <c r="A24" s="167" t="s">
        <v>26</v>
      </c>
      <c r="B24" s="585">
        <f>'3. melléklet'!E27</f>
        <v>28516</v>
      </c>
      <c r="C24" s="573"/>
      <c r="D24" s="165"/>
      <c r="E24" s="585"/>
    </row>
    <row r="25" spans="1:5">
      <c r="A25" s="167" t="s">
        <v>28</v>
      </c>
      <c r="B25" s="585">
        <f>'3. melléklet'!E28</f>
        <v>88191</v>
      </c>
      <c r="C25" s="573"/>
      <c r="D25" s="165" t="s">
        <v>34</v>
      </c>
      <c r="E25" s="584">
        <f>'4. melléklet'!G20</f>
        <v>602340</v>
      </c>
    </row>
    <row r="26" spans="1:5">
      <c r="A26" s="167" t="s">
        <v>30</v>
      </c>
      <c r="B26" s="585">
        <f>'3. melléklet'!E29</f>
        <v>100617</v>
      </c>
      <c r="C26" s="573"/>
      <c r="D26" s="165"/>
      <c r="E26" s="584"/>
    </row>
    <row r="27" spans="1:5">
      <c r="A27" s="167" t="s">
        <v>31</v>
      </c>
      <c r="B27" s="585">
        <f>'3. melléklet'!E30</f>
        <v>429193</v>
      </c>
      <c r="C27" s="573"/>
      <c r="D27" s="165" t="s">
        <v>37</v>
      </c>
      <c r="E27" s="584">
        <f>SUM(E28:E30)</f>
        <v>25100</v>
      </c>
    </row>
    <row r="28" spans="1:5">
      <c r="A28" s="170" t="s">
        <v>329</v>
      </c>
      <c r="B28" s="585">
        <f>'3. melléklet'!E31</f>
        <v>14811</v>
      </c>
      <c r="C28" s="573"/>
      <c r="D28" s="166" t="s">
        <v>19</v>
      </c>
      <c r="E28" s="585">
        <f>'4. melléklet'!G22</f>
        <v>1200</v>
      </c>
    </row>
    <row r="29" spans="1:5">
      <c r="A29" s="170" t="s">
        <v>33</v>
      </c>
      <c r="B29" s="585">
        <f>'3. melléklet'!E32</f>
        <v>52756</v>
      </c>
      <c r="C29" s="573"/>
      <c r="D29" s="166" t="s">
        <v>39</v>
      </c>
      <c r="E29" s="585">
        <f>'4. melléklet'!G23</f>
        <v>13900</v>
      </c>
    </row>
    <row r="30" spans="1:5">
      <c r="A30" s="170"/>
      <c r="B30" s="585"/>
      <c r="C30" s="573"/>
      <c r="D30" s="166" t="s">
        <v>40</v>
      </c>
      <c r="E30" s="585">
        <f>SUM(E31:E32)</f>
        <v>10000</v>
      </c>
    </row>
    <row r="31" spans="1:5">
      <c r="A31" s="164" t="s">
        <v>35</v>
      </c>
      <c r="B31" s="584">
        <f>SUM(B32:B33)</f>
        <v>300</v>
      </c>
      <c r="C31" s="572"/>
      <c r="D31" s="310" t="s">
        <v>42</v>
      </c>
      <c r="E31" s="586">
        <f>'4. melléklet'!G25</f>
        <v>10000</v>
      </c>
    </row>
    <row r="32" spans="1:5">
      <c r="A32" s="167" t="s">
        <v>36</v>
      </c>
      <c r="B32" s="585">
        <f>'3. melléklet'!E34</f>
        <v>300</v>
      </c>
      <c r="C32" s="573"/>
      <c r="D32" s="310" t="s">
        <v>546</v>
      </c>
      <c r="E32" s="586">
        <f>'4. melléklet'!G26</f>
        <v>0</v>
      </c>
    </row>
    <row r="33" spans="1:5">
      <c r="A33" s="167" t="s">
        <v>330</v>
      </c>
      <c r="B33" s="585">
        <f>'3. melléklet'!E35</f>
        <v>0</v>
      </c>
      <c r="C33" s="573"/>
      <c r="D33" s="310"/>
      <c r="E33" s="585"/>
    </row>
    <row r="34" spans="1:5">
      <c r="A34" s="167"/>
      <c r="B34" s="585"/>
      <c r="C34" s="573"/>
      <c r="D34" s="310"/>
      <c r="E34" s="585"/>
    </row>
    <row r="35" spans="1:5">
      <c r="A35" s="164" t="s">
        <v>38</v>
      </c>
      <c r="B35" s="584">
        <f>SUM(B36:B37)</f>
        <v>77549</v>
      </c>
      <c r="C35" s="572"/>
      <c r="D35" s="310"/>
      <c r="E35" s="585"/>
    </row>
    <row r="36" spans="1:5">
      <c r="A36" s="167" t="s">
        <v>19</v>
      </c>
      <c r="B36" s="585">
        <f>'3. melléklet'!E37</f>
        <v>77549</v>
      </c>
      <c r="C36" s="573"/>
      <c r="D36" s="310"/>
      <c r="E36" s="585"/>
    </row>
    <row r="37" spans="1:5">
      <c r="A37" s="167" t="s">
        <v>41</v>
      </c>
      <c r="B37" s="585">
        <f>'3. melléklet'!E38</f>
        <v>0</v>
      </c>
      <c r="C37" s="573"/>
      <c r="D37" s="310"/>
      <c r="E37" s="585"/>
    </row>
    <row r="38" spans="1:5">
      <c r="A38" s="164"/>
      <c r="B38" s="585"/>
      <c r="C38" s="573"/>
      <c r="D38" s="310"/>
      <c r="E38" s="585"/>
    </row>
    <row r="39" spans="1:5">
      <c r="A39" s="165" t="s">
        <v>43</v>
      </c>
      <c r="B39" s="584">
        <f>SUM(B40:B41)</f>
        <v>610</v>
      </c>
      <c r="C39" s="572"/>
      <c r="D39" s="310"/>
      <c r="E39" s="585"/>
    </row>
    <row r="40" spans="1:5">
      <c r="A40" s="167" t="s">
        <v>19</v>
      </c>
      <c r="B40" s="585">
        <f>'3. melléklet'!E40</f>
        <v>610</v>
      </c>
      <c r="C40" s="573"/>
      <c r="D40" s="310"/>
      <c r="E40" s="586"/>
    </row>
    <row r="41" spans="1:5">
      <c r="A41" s="167" t="s">
        <v>41</v>
      </c>
      <c r="B41" s="585">
        <f>'3. melléklet'!E41</f>
        <v>0</v>
      </c>
      <c r="C41" s="573"/>
      <c r="D41" s="310"/>
      <c r="E41" s="584"/>
    </row>
    <row r="42" spans="1:5" ht="15.75" thickBot="1">
      <c r="A42" s="600"/>
      <c r="B42" s="601"/>
      <c r="C42" s="573"/>
      <c r="D42" s="588"/>
      <c r="E42" s="589"/>
    </row>
    <row r="43" spans="1:5" ht="15.75" thickBot="1">
      <c r="A43" s="159" t="s">
        <v>51</v>
      </c>
      <c r="B43" s="590">
        <f>B5+B6+B7+B11+B14+B21+B31+B35+B39</f>
        <v>6667606.4189999998</v>
      </c>
      <c r="C43" s="572"/>
      <c r="D43" s="161" t="s">
        <v>52</v>
      </c>
      <c r="E43" s="590">
        <f>E5+E7+E9+E11+E13+E23+E25+E27</f>
        <v>8818683</v>
      </c>
    </row>
    <row r="44" spans="1:5">
      <c r="A44" s="171"/>
      <c r="B44" s="602"/>
      <c r="C44" s="573"/>
      <c r="D44" s="581"/>
      <c r="E44" s="582"/>
    </row>
    <row r="45" spans="1:5">
      <c r="A45" s="165" t="s">
        <v>551</v>
      </c>
      <c r="B45" s="584">
        <f>B43-E43</f>
        <v>-2151076.5810000002</v>
      </c>
      <c r="C45" s="572"/>
      <c r="D45" s="165"/>
      <c r="E45" s="584"/>
    </row>
    <row r="46" spans="1:5">
      <c r="A46" s="165"/>
      <c r="B46" s="584"/>
      <c r="C46" s="572"/>
      <c r="D46" s="165"/>
      <c r="E46" s="584"/>
    </row>
    <row r="47" spans="1:5">
      <c r="A47" s="165" t="s">
        <v>804</v>
      </c>
      <c r="B47" s="584">
        <f>'3. melléklet'!E43</f>
        <v>328519</v>
      </c>
      <c r="C47" s="572"/>
      <c r="D47" s="165" t="s">
        <v>44</v>
      </c>
      <c r="E47" s="584">
        <f>'4. melléklet'!G28</f>
        <v>106549</v>
      </c>
    </row>
    <row r="48" spans="1:5">
      <c r="A48" s="164" t="s">
        <v>871</v>
      </c>
      <c r="B48" s="584">
        <f>'3. melléklet'!E44</f>
        <v>2000000</v>
      </c>
      <c r="C48" s="572"/>
      <c r="D48" s="165" t="s">
        <v>794</v>
      </c>
      <c r="E48" s="584">
        <f>'4. melléklet'!G29</f>
        <v>2000000</v>
      </c>
    </row>
    <row r="49" spans="1:5">
      <c r="A49" s="164" t="s">
        <v>85</v>
      </c>
      <c r="B49" s="584">
        <f>'3. melléklet'!E45</f>
        <v>60000</v>
      </c>
      <c r="C49" s="572"/>
      <c r="D49" s="165" t="s">
        <v>96</v>
      </c>
      <c r="E49" s="584">
        <f>'4. melléklet'!G30</f>
        <v>60000</v>
      </c>
    </row>
    <row r="50" spans="1:5" ht="15" customHeight="1">
      <c r="A50" s="164" t="s">
        <v>326</v>
      </c>
      <c r="B50" s="584">
        <f>'3. melléklet'!E46</f>
        <v>1929107</v>
      </c>
      <c r="C50" s="572"/>
      <c r="D50" s="165"/>
      <c r="E50" s="584"/>
    </row>
    <row r="51" spans="1:5">
      <c r="A51" s="172" t="s">
        <v>46</v>
      </c>
      <c r="B51" s="584">
        <f>'3. melléklet'!E47</f>
        <v>2377271</v>
      </c>
      <c r="C51" s="572"/>
      <c r="D51" s="165" t="s">
        <v>47</v>
      </c>
      <c r="E51" s="584">
        <f>'4. melléklet'!G31</f>
        <v>2377271</v>
      </c>
    </row>
    <row r="52" spans="1:5" ht="15.75" thickBot="1">
      <c r="A52" s="603"/>
      <c r="B52" s="589"/>
      <c r="C52" s="572"/>
      <c r="D52" s="588"/>
      <c r="E52" s="589"/>
    </row>
    <row r="53" spans="1:5" ht="15.75" thickBot="1">
      <c r="A53" s="160" t="s">
        <v>50</v>
      </c>
      <c r="B53" s="590">
        <f>SUM(B47:B51)</f>
        <v>6694897</v>
      </c>
      <c r="C53" s="572"/>
      <c r="D53" s="161" t="s">
        <v>53</v>
      </c>
      <c r="E53" s="590">
        <f>SUM(E47:E51)</f>
        <v>4543820</v>
      </c>
    </row>
    <row r="54" spans="1:5" ht="15.75" thickBot="1">
      <c r="A54" s="173"/>
      <c r="B54" s="592"/>
      <c r="C54" s="573"/>
      <c r="D54" s="591"/>
      <c r="E54" s="592"/>
    </row>
    <row r="55" spans="1:5" ht="15.75" thickBot="1">
      <c r="A55" s="161" t="s">
        <v>48</v>
      </c>
      <c r="B55" s="590">
        <f>B43+B53</f>
        <v>13362503.419</v>
      </c>
      <c r="C55" s="572"/>
      <c r="D55" s="593" t="s">
        <v>49</v>
      </c>
      <c r="E55" s="590">
        <f>E43+E53</f>
        <v>13362503</v>
      </c>
    </row>
    <row r="56" spans="1:5" ht="15.75" thickBot="1">
      <c r="A56" s="174"/>
      <c r="B56" s="594"/>
      <c r="C56" s="574"/>
      <c r="D56" s="174"/>
      <c r="E56" s="594"/>
    </row>
    <row r="57" spans="1:5">
      <c r="A57" s="595" t="s">
        <v>548</v>
      </c>
      <c r="B57" s="596">
        <f>-B51</f>
        <v>-2377271</v>
      </c>
      <c r="C57" s="575"/>
      <c r="D57" s="595" t="s">
        <v>548</v>
      </c>
      <c r="E57" s="596">
        <f>-E51</f>
        <v>-2377271</v>
      </c>
    </row>
    <row r="58" spans="1:5" s="122" customFormat="1" ht="29.25" thickBot="1">
      <c r="A58" s="162" t="s">
        <v>547</v>
      </c>
      <c r="B58" s="597">
        <f>B55+B57</f>
        <v>10985232.419</v>
      </c>
      <c r="C58" s="576"/>
      <c r="D58" s="162" t="s">
        <v>549</v>
      </c>
      <c r="E58" s="597">
        <f>E55+E57</f>
        <v>10985232</v>
      </c>
    </row>
    <row r="59" spans="1:5" s="122" customFormat="1">
      <c r="A59" s="1"/>
      <c r="B59" s="139"/>
      <c r="C59" s="139"/>
      <c r="D59" s="138"/>
      <c r="E59" s="139"/>
    </row>
    <row r="60" spans="1:5">
      <c r="B60" s="554"/>
      <c r="C60" s="554"/>
    </row>
    <row r="61" spans="1:5">
      <c r="B61" s="554"/>
      <c r="C61" s="554"/>
    </row>
  </sheetData>
  <mergeCells count="1">
    <mergeCell ref="A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headerFooter>
    <oddHeader xml:space="preserve">&amp;L&amp;"Times New Roman,Normál"1. melléklet a  24/2019. (XII.19.) önkormányzati rendelethez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view="pageLayout" zoomScaleNormal="100" workbookViewId="0">
      <selection activeCell="A26" sqref="A26"/>
    </sheetView>
  </sheetViews>
  <sheetFormatPr defaultRowHeight="15"/>
  <cols>
    <col min="1" max="1" width="85.5703125" style="21" customWidth="1"/>
    <col min="2" max="2" width="12.85546875" style="21" customWidth="1"/>
    <col min="3" max="7" width="9.140625" style="153"/>
    <col min="8" max="16384" width="9.140625" style="21"/>
  </cols>
  <sheetData>
    <row r="1" spans="1:7">
      <c r="A1" s="1128" t="s">
        <v>605</v>
      </c>
      <c r="B1" s="1128"/>
    </row>
    <row r="2" spans="1:7" ht="17.25" customHeight="1" thickBot="1">
      <c r="A2" s="41"/>
    </row>
    <row r="3" spans="1:7" s="45" customFormat="1" ht="15.75" thickBot="1">
      <c r="A3" s="223" t="s">
        <v>2</v>
      </c>
      <c r="B3" s="447" t="s">
        <v>3</v>
      </c>
      <c r="C3" s="154"/>
      <c r="D3" s="154"/>
      <c r="E3" s="154"/>
      <c r="F3" s="154"/>
      <c r="G3" s="154"/>
    </row>
    <row r="4" spans="1:7" ht="15.75" thickBot="1">
      <c r="A4" s="224" t="s">
        <v>69</v>
      </c>
      <c r="B4" s="448">
        <f>B6+B10</f>
        <v>544052</v>
      </c>
    </row>
    <row r="5" spans="1:7">
      <c r="A5" s="227"/>
      <c r="B5" s="569"/>
    </row>
    <row r="6" spans="1:7">
      <c r="A6" s="825" t="s">
        <v>154</v>
      </c>
      <c r="B6" s="791">
        <f>SUM(B7:B8)</f>
        <v>136646</v>
      </c>
    </row>
    <row r="7" spans="1:7">
      <c r="A7" s="821" t="s">
        <v>452</v>
      </c>
      <c r="B7" s="785">
        <v>136646</v>
      </c>
    </row>
    <row r="8" spans="1:7">
      <c r="A8" s="821"/>
      <c r="B8" s="785"/>
    </row>
    <row r="9" spans="1:7">
      <c r="A9" s="825"/>
      <c r="B9" s="791"/>
    </row>
    <row r="10" spans="1:7" ht="13.5" customHeight="1">
      <c r="A10" s="826" t="s">
        <v>616</v>
      </c>
      <c r="B10" s="791">
        <f>SUM(B11:B38)</f>
        <v>407406</v>
      </c>
    </row>
    <row r="11" spans="1:7">
      <c r="A11" s="821" t="s">
        <v>619</v>
      </c>
      <c r="B11" s="797">
        <v>6000</v>
      </c>
    </row>
    <row r="12" spans="1:7">
      <c r="A12" s="821" t="s">
        <v>640</v>
      </c>
      <c r="B12" s="785">
        <v>700</v>
      </c>
    </row>
    <row r="13" spans="1:7">
      <c r="A13" s="931" t="s">
        <v>870</v>
      </c>
      <c r="B13" s="815">
        <v>2000</v>
      </c>
    </row>
    <row r="14" spans="1:7">
      <c r="A14" s="821" t="s">
        <v>730</v>
      </c>
      <c r="B14" s="785">
        <v>7500</v>
      </c>
    </row>
    <row r="15" spans="1:7">
      <c r="A15" s="821" t="s">
        <v>731</v>
      </c>
      <c r="B15" s="785">
        <v>7000</v>
      </c>
    </row>
    <row r="16" spans="1:7">
      <c r="A16" s="821" t="s">
        <v>738</v>
      </c>
      <c r="B16" s="797">
        <v>17545</v>
      </c>
    </row>
    <row r="17" spans="1:2">
      <c r="A17" s="821" t="s">
        <v>740</v>
      </c>
      <c r="B17" s="785">
        <v>2000</v>
      </c>
    </row>
    <row r="18" spans="1:2">
      <c r="A18" s="821" t="s">
        <v>753</v>
      </c>
      <c r="B18" s="785">
        <v>80000</v>
      </c>
    </row>
    <row r="19" spans="1:2">
      <c r="A19" s="821" t="s">
        <v>743</v>
      </c>
      <c r="B19" s="785">
        <v>35000</v>
      </c>
    </row>
    <row r="20" spans="1:2" ht="30">
      <c r="A20" s="821" t="s">
        <v>744</v>
      </c>
      <c r="B20" s="785">
        <v>20000</v>
      </c>
    </row>
    <row r="21" spans="1:2" ht="30">
      <c r="A21" s="821" t="s">
        <v>788</v>
      </c>
      <c r="B21" s="785">
        <v>5000</v>
      </c>
    </row>
    <row r="22" spans="1:2">
      <c r="A22" s="821" t="s">
        <v>747</v>
      </c>
      <c r="B22" s="785">
        <v>8000</v>
      </c>
    </row>
    <row r="23" spans="1:2">
      <c r="A23" s="821" t="s">
        <v>746</v>
      </c>
      <c r="B23" s="785">
        <v>5000</v>
      </c>
    </row>
    <row r="24" spans="1:2">
      <c r="A24" s="821" t="s">
        <v>748</v>
      </c>
      <c r="B24" s="785">
        <f>12000+101040</f>
        <v>113040</v>
      </c>
    </row>
    <row r="25" spans="1:2">
      <c r="A25" s="821" t="s">
        <v>760</v>
      </c>
      <c r="B25" s="785">
        <v>6000</v>
      </c>
    </row>
    <row r="26" spans="1:2">
      <c r="A26" s="827" t="s">
        <v>761</v>
      </c>
      <c r="B26" s="785">
        <v>14000</v>
      </c>
    </row>
    <row r="27" spans="1:2">
      <c r="A27" s="827" t="s">
        <v>762</v>
      </c>
      <c r="B27" s="785">
        <v>2000</v>
      </c>
    </row>
    <row r="28" spans="1:2">
      <c r="A28" s="821" t="s">
        <v>763</v>
      </c>
      <c r="B28" s="785">
        <v>9771</v>
      </c>
    </row>
    <row r="29" spans="1:2">
      <c r="A29" s="821" t="s">
        <v>765</v>
      </c>
      <c r="B29" s="545">
        <v>3500</v>
      </c>
    </row>
    <row r="30" spans="1:2">
      <c r="A30" s="821" t="s">
        <v>766</v>
      </c>
      <c r="B30" s="545">
        <v>5000</v>
      </c>
    </row>
    <row r="31" spans="1:2">
      <c r="A31" s="451" t="s">
        <v>767</v>
      </c>
      <c r="B31" s="545">
        <v>14000</v>
      </c>
    </row>
    <row r="32" spans="1:2">
      <c r="A32" s="451" t="s">
        <v>789</v>
      </c>
      <c r="B32" s="545">
        <v>5000</v>
      </c>
    </row>
    <row r="33" spans="1:7">
      <c r="A33" s="821" t="s">
        <v>771</v>
      </c>
      <c r="B33" s="545">
        <v>2500</v>
      </c>
    </row>
    <row r="34" spans="1:7" ht="15.75">
      <c r="A34" s="828" t="s">
        <v>792</v>
      </c>
      <c r="B34" s="545">
        <v>7500</v>
      </c>
    </row>
    <row r="35" spans="1:7" ht="15.75">
      <c r="A35" s="828" t="s">
        <v>787</v>
      </c>
      <c r="B35" s="545">
        <v>6350</v>
      </c>
    </row>
    <row r="36" spans="1:7" ht="15.75">
      <c r="A36" s="828" t="s">
        <v>790</v>
      </c>
      <c r="B36" s="545">
        <v>12000</v>
      </c>
    </row>
    <row r="37" spans="1:7" ht="15.75">
      <c r="A37" s="449" t="s">
        <v>791</v>
      </c>
      <c r="B37" s="545">
        <v>11000</v>
      </c>
    </row>
    <row r="38" spans="1:7" ht="15.75" thickBot="1">
      <c r="A38" s="821"/>
      <c r="B38" s="570"/>
    </row>
    <row r="39" spans="1:7" ht="15.75" thickBot="1">
      <c r="A39" s="224" t="s">
        <v>70</v>
      </c>
      <c r="B39" s="448">
        <f>SUM(B40:B41)</f>
        <v>1927</v>
      </c>
    </row>
    <row r="40" spans="1:7">
      <c r="A40" s="821" t="s">
        <v>628</v>
      </c>
      <c r="B40" s="450">
        <v>699</v>
      </c>
    </row>
    <row r="41" spans="1:7">
      <c r="A41" s="821" t="s">
        <v>629</v>
      </c>
      <c r="B41" s="522">
        <v>1228</v>
      </c>
    </row>
    <row r="42" spans="1:7">
      <c r="A42" s="931"/>
      <c r="B42" s="785"/>
    </row>
    <row r="43" spans="1:7" ht="15.75" thickBot="1">
      <c r="A43" s="930" t="s">
        <v>156</v>
      </c>
      <c r="B43" s="928">
        <f>B54+B57+B61+B64+B68+B71+B79+B45+B51</f>
        <v>56361</v>
      </c>
    </row>
    <row r="44" spans="1:7">
      <c r="A44" s="451"/>
      <c r="B44" s="450"/>
    </row>
    <row r="45" spans="1:7" s="94" customFormat="1">
      <c r="A45" s="783" t="s">
        <v>815</v>
      </c>
      <c r="B45" s="784">
        <f>SUM(B46:B46)</f>
        <v>3401</v>
      </c>
      <c r="C45" s="155"/>
      <c r="D45" s="155"/>
      <c r="E45" s="155"/>
      <c r="F45" s="155"/>
      <c r="G45" s="155"/>
    </row>
    <row r="46" spans="1:7" ht="15.75">
      <c r="A46" s="808" t="s">
        <v>816</v>
      </c>
      <c r="B46" s="815">
        <v>3401</v>
      </c>
    </row>
    <row r="47" spans="1:7">
      <c r="A47" s="819"/>
      <c r="B47" s="815"/>
    </row>
    <row r="48" spans="1:7">
      <c r="A48" s="817" t="s">
        <v>136</v>
      </c>
      <c r="B48" s="818">
        <f>SUM(B49:B49)</f>
        <v>0</v>
      </c>
    </row>
    <row r="49" spans="1:2">
      <c r="A49" s="819"/>
      <c r="B49" s="815"/>
    </row>
    <row r="50" spans="1:2">
      <c r="A50" s="822"/>
      <c r="B50" s="815"/>
    </row>
    <row r="51" spans="1:2">
      <c r="A51" s="817" t="s">
        <v>132</v>
      </c>
      <c r="B51" s="818">
        <f>SUM(B52:B52)</f>
        <v>2100</v>
      </c>
    </row>
    <row r="52" spans="1:2" ht="15.75">
      <c r="A52" s="829" t="s">
        <v>817</v>
      </c>
      <c r="B52" s="815">
        <v>2100</v>
      </c>
    </row>
    <row r="53" spans="1:2">
      <c r="A53" s="822"/>
      <c r="B53" s="815"/>
    </row>
    <row r="54" spans="1:2">
      <c r="A54" s="817" t="s">
        <v>135</v>
      </c>
      <c r="B54" s="818">
        <f>SUM(B55:B56)</f>
        <v>5000</v>
      </c>
    </row>
    <row r="55" spans="1:2" ht="15.75">
      <c r="A55" s="829" t="s">
        <v>818</v>
      </c>
      <c r="B55" s="815">
        <v>5000</v>
      </c>
    </row>
    <row r="56" spans="1:2">
      <c r="A56" s="819"/>
      <c r="B56" s="815"/>
    </row>
    <row r="57" spans="1:2">
      <c r="A57" s="817" t="s">
        <v>133</v>
      </c>
      <c r="B57" s="818">
        <f>SUM(B58:B60)</f>
        <v>3600</v>
      </c>
    </row>
    <row r="58" spans="1:2" ht="15.75">
      <c r="A58" s="829" t="s">
        <v>819</v>
      </c>
      <c r="B58" s="823">
        <v>3000</v>
      </c>
    </row>
    <row r="59" spans="1:2" ht="15.75">
      <c r="A59" s="829" t="s">
        <v>820</v>
      </c>
      <c r="B59" s="823">
        <v>600</v>
      </c>
    </row>
    <row r="60" spans="1:2" ht="15.75">
      <c r="A60" s="808"/>
      <c r="B60" s="814"/>
    </row>
    <row r="61" spans="1:2">
      <c r="A61" s="783" t="s">
        <v>821</v>
      </c>
      <c r="B61" s="784">
        <f>SUM(B62:B63)</f>
        <v>2000</v>
      </c>
    </row>
    <row r="62" spans="1:2" ht="15.75">
      <c r="A62" s="808" t="s">
        <v>822</v>
      </c>
      <c r="B62" s="814">
        <v>2000</v>
      </c>
    </row>
    <row r="63" spans="1:2">
      <c r="A63" s="821"/>
      <c r="B63" s="785"/>
    </row>
    <row r="64" spans="1:2">
      <c r="A64" s="783" t="s">
        <v>134</v>
      </c>
      <c r="B64" s="784">
        <f>SUM(B65:B67)</f>
        <v>14000</v>
      </c>
    </row>
    <row r="65" spans="1:2" ht="15.75">
      <c r="A65" s="808" t="s">
        <v>823</v>
      </c>
      <c r="B65" s="813">
        <v>2000</v>
      </c>
    </row>
    <row r="66" spans="1:2" ht="15.75">
      <c r="A66" s="830" t="s">
        <v>824</v>
      </c>
      <c r="B66" s="813">
        <v>12000</v>
      </c>
    </row>
    <row r="67" spans="1:2">
      <c r="A67" s="821"/>
      <c r="B67" s="785"/>
    </row>
    <row r="68" spans="1:2">
      <c r="A68" s="783" t="s">
        <v>138</v>
      </c>
      <c r="B68" s="784">
        <f>SUM(B69:B69)</f>
        <v>2260</v>
      </c>
    </row>
    <row r="69" spans="1:2" ht="15.75">
      <c r="A69" s="831" t="s">
        <v>825</v>
      </c>
      <c r="B69" s="813">
        <v>2260</v>
      </c>
    </row>
    <row r="70" spans="1:2">
      <c r="A70" s="824"/>
      <c r="B70" s="785"/>
    </row>
    <row r="71" spans="1:2">
      <c r="A71" s="783" t="s">
        <v>149</v>
      </c>
      <c r="B71" s="784">
        <f>SUM(B72:B77)</f>
        <v>24000</v>
      </c>
    </row>
    <row r="72" spans="1:2" ht="31.5">
      <c r="A72" s="832" t="s">
        <v>826</v>
      </c>
      <c r="B72" s="788">
        <v>2000</v>
      </c>
    </row>
    <row r="73" spans="1:2" ht="15.75">
      <c r="A73" s="832" t="s">
        <v>827</v>
      </c>
      <c r="B73" s="788">
        <v>1000</v>
      </c>
    </row>
    <row r="74" spans="1:2" ht="15.75">
      <c r="A74" s="832" t="s">
        <v>828</v>
      </c>
      <c r="B74" s="788">
        <v>5000</v>
      </c>
    </row>
    <row r="75" spans="1:2" ht="31.5">
      <c r="A75" s="832" t="s">
        <v>829</v>
      </c>
      <c r="B75" s="788">
        <v>7000</v>
      </c>
    </row>
    <row r="76" spans="1:2" ht="15.75">
      <c r="A76" s="832" t="s">
        <v>830</v>
      </c>
      <c r="B76" s="788">
        <v>5000</v>
      </c>
    </row>
    <row r="77" spans="1:2" ht="15.75">
      <c r="A77" s="832" t="s">
        <v>831</v>
      </c>
      <c r="B77" s="788">
        <v>4000</v>
      </c>
    </row>
    <row r="78" spans="1:2" ht="15.75">
      <c r="A78" s="786"/>
      <c r="B78" s="788"/>
    </row>
    <row r="79" spans="1:2">
      <c r="A79" s="783" t="s">
        <v>150</v>
      </c>
      <c r="B79" s="784">
        <f>SUM(B80:B80)</f>
        <v>0</v>
      </c>
    </row>
    <row r="80" spans="1:2">
      <c r="A80" s="821"/>
      <c r="B80" s="785"/>
    </row>
    <row r="81" spans="1:2" ht="15.75" thickBot="1">
      <c r="A81" s="824"/>
      <c r="B81" s="545"/>
    </row>
    <row r="82" spans="1:2" ht="15.75" thickBot="1">
      <c r="A82" s="224" t="s">
        <v>64</v>
      </c>
      <c r="B82" s="448">
        <f>B4+B43+B39</f>
        <v>602340</v>
      </c>
    </row>
    <row r="85" spans="1:2">
      <c r="A85" s="140"/>
    </row>
    <row r="86" spans="1:2">
      <c r="A86" s="140"/>
    </row>
  </sheetData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2" orientation="portrait" r:id="rId1"/>
  <headerFooter>
    <oddHeader>&amp;L&amp;"Times New Roman,Normál"&amp;8 8. melléklet a 24/2019. (XII.19.) önkormányzati rendelethez</oddHeader>
    <oddFooter>&amp;L&amp;7.</oddFooter>
  </headerFooter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3"/>
  <sheetViews>
    <sheetView view="pageLayout" zoomScaleNormal="100" workbookViewId="0">
      <selection activeCell="B7" sqref="B7"/>
    </sheetView>
  </sheetViews>
  <sheetFormatPr defaultRowHeight="15"/>
  <cols>
    <col min="1" max="1" width="85.5703125" style="21" bestFit="1" customWidth="1"/>
    <col min="2" max="2" width="14.42578125" style="21" customWidth="1"/>
    <col min="3" max="8" width="9.140625" style="151"/>
    <col min="9" max="16384" width="9.140625" style="39"/>
  </cols>
  <sheetData>
    <row r="2" spans="1:8" ht="31.5" customHeight="1">
      <c r="A2" s="1129" t="s">
        <v>604</v>
      </c>
      <c r="B2" s="1129"/>
    </row>
    <row r="3" spans="1:8" ht="15.75" thickBot="1"/>
    <row r="4" spans="1:8" s="47" customFormat="1" ht="15.75" thickBot="1">
      <c r="A4" s="228" t="s">
        <v>2</v>
      </c>
      <c r="B4" s="438" t="s">
        <v>3</v>
      </c>
      <c r="C4" s="128"/>
      <c r="D4" s="128"/>
      <c r="E4" s="128"/>
      <c r="F4" s="128"/>
      <c r="G4" s="128"/>
      <c r="H4" s="128"/>
    </row>
    <row r="5" spans="1:8">
      <c r="A5" s="439" t="s">
        <v>157</v>
      </c>
      <c r="B5" s="440">
        <v>300</v>
      </c>
    </row>
    <row r="6" spans="1:8">
      <c r="A6" s="229" t="s">
        <v>643</v>
      </c>
      <c r="B6" s="441">
        <v>12000</v>
      </c>
    </row>
    <row r="7" spans="1:8" ht="30">
      <c r="A7" s="225" t="s">
        <v>565</v>
      </c>
      <c r="B7" s="441">
        <v>150</v>
      </c>
    </row>
    <row r="8" spans="1:8">
      <c r="A8" s="225" t="s">
        <v>158</v>
      </c>
      <c r="B8" s="441">
        <v>2500</v>
      </c>
    </row>
    <row r="9" spans="1:8">
      <c r="A9" s="225" t="s">
        <v>159</v>
      </c>
      <c r="B9" s="441">
        <v>3400</v>
      </c>
    </row>
    <row r="10" spans="1:8" s="290" customFormat="1">
      <c r="A10" s="288" t="s">
        <v>160</v>
      </c>
      <c r="B10" s="442">
        <v>10000</v>
      </c>
      <c r="C10" s="289"/>
      <c r="D10" s="289"/>
      <c r="E10" s="289"/>
      <c r="F10" s="289"/>
      <c r="G10" s="289"/>
      <c r="H10" s="289"/>
    </row>
    <row r="11" spans="1:8">
      <c r="A11" s="225" t="s">
        <v>161</v>
      </c>
      <c r="B11" s="441">
        <v>1500</v>
      </c>
    </row>
    <row r="12" spans="1:8">
      <c r="A12" s="225" t="s">
        <v>462</v>
      </c>
      <c r="B12" s="441">
        <v>3000</v>
      </c>
    </row>
    <row r="13" spans="1:8">
      <c r="A13" s="230" t="s">
        <v>162</v>
      </c>
      <c r="B13" s="443">
        <f>SUM(B5:B12)</f>
        <v>32850</v>
      </c>
    </row>
    <row r="14" spans="1:8">
      <c r="A14" s="231"/>
      <c r="B14" s="444"/>
    </row>
    <row r="15" spans="1:8">
      <c r="A15" s="225" t="s">
        <v>163</v>
      </c>
      <c r="B15" s="441">
        <v>2000</v>
      </c>
    </row>
    <row r="16" spans="1:8" s="22" customFormat="1">
      <c r="A16" s="225" t="s">
        <v>642</v>
      </c>
      <c r="B16" s="441">
        <v>30000</v>
      </c>
      <c r="C16" s="152"/>
      <c r="D16" s="152"/>
      <c r="E16" s="152"/>
      <c r="F16" s="152"/>
      <c r="G16" s="152"/>
      <c r="H16" s="152"/>
    </row>
    <row r="17" spans="1:8">
      <c r="A17" s="230" t="s">
        <v>164</v>
      </c>
      <c r="B17" s="443">
        <f>SUM(B15:B16)</f>
        <v>32000</v>
      </c>
    </row>
    <row r="18" spans="1:8" ht="15.75" thickBot="1">
      <c r="A18" s="434"/>
      <c r="B18" s="445"/>
    </row>
    <row r="19" spans="1:8" ht="15.75" thickBot="1">
      <c r="A19" s="232" t="s">
        <v>165</v>
      </c>
      <c r="B19" s="446">
        <f>B13+B17</f>
        <v>64850</v>
      </c>
    </row>
    <row r="20" spans="1:8" ht="15.75" customHeight="1">
      <c r="A20" s="51"/>
      <c r="B20" s="48"/>
    </row>
    <row r="21" spans="1:8" s="22" customFormat="1" ht="14.25">
      <c r="A21" s="49"/>
      <c r="B21" s="50"/>
      <c r="C21" s="152"/>
      <c r="D21" s="152"/>
      <c r="E21" s="152"/>
      <c r="F21" s="152"/>
      <c r="G21" s="152"/>
      <c r="H21" s="152"/>
    </row>
    <row r="22" spans="1:8">
      <c r="A22" s="140"/>
    </row>
    <row r="23" spans="1:8" s="22" customFormat="1" ht="14.25">
      <c r="A23" s="140"/>
      <c r="C23" s="152"/>
      <c r="D23" s="152"/>
      <c r="E23" s="152"/>
      <c r="F23" s="152"/>
      <c r="G23" s="152"/>
      <c r="H23" s="152"/>
    </row>
  </sheetData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&amp;L&amp;"Times New Roman,Normál"&amp;8 9. melléklet a 24/2019. (XII.19.)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5680"/>
  <sheetViews>
    <sheetView view="pageLayout" zoomScaleNormal="100" workbookViewId="0">
      <selection activeCell="B61" sqref="B61"/>
    </sheetView>
  </sheetViews>
  <sheetFormatPr defaultRowHeight="15" zeroHeight="1"/>
  <cols>
    <col min="1" max="1" width="109" style="41" customWidth="1"/>
    <col min="2" max="2" width="14.42578125" style="57" customWidth="1"/>
    <col min="3" max="11" width="9.140625" style="146"/>
    <col min="12" max="16384" width="9.140625" style="52"/>
  </cols>
  <sheetData>
    <row r="1" spans="1:11" ht="60" customHeight="1">
      <c r="A1" s="1130" t="s">
        <v>603</v>
      </c>
      <c r="B1" s="1130"/>
    </row>
    <row r="2" spans="1:11" ht="15" customHeight="1" thickBot="1">
      <c r="A2" s="53"/>
      <c r="B2" s="53"/>
    </row>
    <row r="3" spans="1:11" s="54" customFormat="1" ht="13.5" customHeight="1" thickBot="1">
      <c r="A3" s="246" t="s">
        <v>2</v>
      </c>
      <c r="B3" s="247" t="s">
        <v>3</v>
      </c>
      <c r="C3" s="73"/>
      <c r="D3" s="73"/>
      <c r="E3" s="73"/>
      <c r="F3" s="73"/>
      <c r="G3" s="73"/>
      <c r="H3" s="73"/>
      <c r="I3" s="73"/>
      <c r="J3" s="73"/>
      <c r="K3" s="73"/>
    </row>
    <row r="4" spans="1:11" ht="17.25" customHeight="1">
      <c r="A4" s="233" t="s">
        <v>166</v>
      </c>
      <c r="B4" s="245"/>
    </row>
    <row r="5" spans="1:11">
      <c r="A5" s="234"/>
      <c r="B5" s="241"/>
    </row>
    <row r="6" spans="1:11" s="59" customFormat="1" ht="12" customHeight="1">
      <c r="A6" s="235" t="s">
        <v>167</v>
      </c>
      <c r="B6" s="242">
        <f>SUM(B7:B8)</f>
        <v>466736</v>
      </c>
      <c r="C6" s="147"/>
      <c r="D6" s="147"/>
      <c r="E6" s="147"/>
      <c r="F6" s="147"/>
      <c r="G6" s="147"/>
      <c r="H6" s="147"/>
      <c r="I6" s="147"/>
      <c r="J6" s="147"/>
      <c r="K6" s="147"/>
    </row>
    <row r="7" spans="1:11" s="55" customFormat="1">
      <c r="A7" s="234" t="s">
        <v>466</v>
      </c>
      <c r="B7" s="241">
        <v>464736</v>
      </c>
      <c r="C7" s="148"/>
      <c r="D7" s="148"/>
      <c r="E7" s="148"/>
      <c r="F7" s="148"/>
      <c r="G7" s="148"/>
      <c r="H7" s="148"/>
      <c r="I7" s="148"/>
      <c r="J7" s="148"/>
      <c r="K7" s="148"/>
    </row>
    <row r="8" spans="1:11" s="55" customFormat="1">
      <c r="A8" s="234" t="s">
        <v>467</v>
      </c>
      <c r="B8" s="241">
        <v>2000</v>
      </c>
      <c r="C8" s="148"/>
      <c r="D8" s="148"/>
      <c r="E8" s="148"/>
      <c r="F8" s="148"/>
      <c r="G8" s="148"/>
      <c r="H8" s="148"/>
      <c r="I8" s="148"/>
      <c r="J8" s="148"/>
      <c r="K8" s="148"/>
    </row>
    <row r="9" spans="1:11" ht="12.75" customHeight="1">
      <c r="A9" s="234"/>
      <c r="B9" s="241"/>
    </row>
    <row r="10" spans="1:11" s="59" customFormat="1" ht="12.75" customHeight="1">
      <c r="A10" s="235" t="s">
        <v>168</v>
      </c>
      <c r="B10" s="242">
        <f>SUM(B11:B37)</f>
        <v>715341</v>
      </c>
      <c r="C10" s="147"/>
      <c r="D10" s="147"/>
      <c r="E10" s="147"/>
      <c r="F10" s="147"/>
      <c r="G10" s="147"/>
      <c r="H10" s="147"/>
      <c r="I10" s="147"/>
      <c r="J10" s="147"/>
      <c r="K10" s="147"/>
    </row>
    <row r="11" spans="1:11" ht="15.75" customHeight="1">
      <c r="A11" s="236" t="s">
        <v>724</v>
      </c>
      <c r="B11" s="547">
        <v>21088</v>
      </c>
    </row>
    <row r="12" spans="1:11" ht="15.75" customHeight="1">
      <c r="A12" s="234" t="s">
        <v>725</v>
      </c>
      <c r="B12" s="547">
        <v>10310</v>
      </c>
    </row>
    <row r="13" spans="1:11" ht="16.5" customHeight="1">
      <c r="A13" s="234" t="s">
        <v>480</v>
      </c>
      <c r="B13" s="547">
        <v>261336</v>
      </c>
    </row>
    <row r="14" spans="1:11" ht="15" customHeight="1">
      <c r="A14" s="234" t="s">
        <v>482</v>
      </c>
      <c r="B14" s="241">
        <v>165370</v>
      </c>
    </row>
    <row r="15" spans="1:11">
      <c r="A15" s="225" t="s">
        <v>481</v>
      </c>
      <c r="B15" s="241">
        <v>47042</v>
      </c>
    </row>
    <row r="16" spans="1:11">
      <c r="A16" s="236" t="s">
        <v>468</v>
      </c>
      <c r="B16" s="241">
        <v>64000</v>
      </c>
    </row>
    <row r="17" spans="1:28">
      <c r="A17" s="236" t="s">
        <v>491</v>
      </c>
      <c r="B17" s="241">
        <v>45000</v>
      </c>
    </row>
    <row r="18" spans="1:28" s="56" customFormat="1">
      <c r="A18" s="236" t="s">
        <v>169</v>
      </c>
      <c r="B18" s="241">
        <v>4000</v>
      </c>
      <c r="C18" s="146"/>
      <c r="D18" s="146"/>
      <c r="E18" s="146"/>
      <c r="F18" s="146"/>
      <c r="G18" s="146"/>
      <c r="H18" s="146"/>
      <c r="I18" s="146"/>
      <c r="J18" s="146"/>
      <c r="K18" s="146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</row>
    <row r="19" spans="1:28">
      <c r="A19" s="234" t="s">
        <v>469</v>
      </c>
      <c r="B19" s="241">
        <v>1375</v>
      </c>
    </row>
    <row r="20" spans="1:28">
      <c r="A20" s="234" t="s">
        <v>470</v>
      </c>
      <c r="B20" s="241">
        <v>35000</v>
      </c>
    </row>
    <row r="21" spans="1:28">
      <c r="A21" s="234" t="s">
        <v>483</v>
      </c>
      <c r="B21" s="241">
        <v>25000</v>
      </c>
    </row>
    <row r="22" spans="1:28">
      <c r="A22" s="234" t="s">
        <v>471</v>
      </c>
      <c r="B22" s="241">
        <v>1500</v>
      </c>
    </row>
    <row r="23" spans="1:28">
      <c r="A23" s="234" t="s">
        <v>736</v>
      </c>
      <c r="B23" s="241">
        <v>6000</v>
      </c>
    </row>
    <row r="24" spans="1:28">
      <c r="A24" s="234" t="s">
        <v>726</v>
      </c>
      <c r="B24" s="241">
        <v>1000</v>
      </c>
    </row>
    <row r="25" spans="1:28">
      <c r="A25" s="234" t="s">
        <v>472</v>
      </c>
      <c r="B25" s="241">
        <v>5500</v>
      </c>
    </row>
    <row r="26" spans="1:28">
      <c r="A26" s="234" t="s">
        <v>485</v>
      </c>
      <c r="B26" s="241">
        <v>3000</v>
      </c>
    </row>
    <row r="27" spans="1:28">
      <c r="A27" s="234" t="s">
        <v>473</v>
      </c>
      <c r="B27" s="241">
        <v>1000</v>
      </c>
    </row>
    <row r="28" spans="1:28">
      <c r="A28" s="234" t="s">
        <v>331</v>
      </c>
      <c r="B28" s="241">
        <v>3000</v>
      </c>
    </row>
    <row r="29" spans="1:28">
      <c r="A29" s="234" t="s">
        <v>474</v>
      </c>
      <c r="B29" s="241">
        <v>5500</v>
      </c>
    </row>
    <row r="30" spans="1:28">
      <c r="A30" s="234" t="s">
        <v>488</v>
      </c>
      <c r="B30" s="241">
        <v>4500</v>
      </c>
    </row>
    <row r="31" spans="1:28">
      <c r="A31" s="234" t="s">
        <v>489</v>
      </c>
      <c r="B31" s="241">
        <v>500</v>
      </c>
    </row>
    <row r="32" spans="1:28">
      <c r="A32" s="234" t="s">
        <v>486</v>
      </c>
      <c r="B32" s="241">
        <v>1000</v>
      </c>
    </row>
    <row r="33" spans="1:11">
      <c r="A33" s="563" t="s">
        <v>784</v>
      </c>
      <c r="B33" s="564">
        <v>500</v>
      </c>
    </row>
    <row r="34" spans="1:11">
      <c r="A34" s="225" t="s">
        <v>487</v>
      </c>
      <c r="B34" s="241">
        <v>100</v>
      </c>
    </row>
    <row r="35" spans="1:11">
      <c r="A35" s="225" t="s">
        <v>475</v>
      </c>
      <c r="B35" s="241">
        <v>220</v>
      </c>
    </row>
    <row r="36" spans="1:11">
      <c r="A36" s="225" t="s">
        <v>476</v>
      </c>
      <c r="B36" s="241">
        <v>500</v>
      </c>
    </row>
    <row r="37" spans="1:11">
      <c r="A37" s="225" t="s">
        <v>490</v>
      </c>
      <c r="B37" s="241">
        <v>2000</v>
      </c>
    </row>
    <row r="38" spans="1:11">
      <c r="A38" s="234"/>
      <c r="B38" s="241"/>
    </row>
    <row r="39" spans="1:11" ht="13.5" customHeight="1">
      <c r="A39" s="237" t="s">
        <v>181</v>
      </c>
      <c r="B39" s="243">
        <f>B6+B10</f>
        <v>1182077</v>
      </c>
    </row>
    <row r="40" spans="1:11" ht="15" customHeight="1">
      <c r="A40" s="234"/>
      <c r="B40" s="241"/>
    </row>
    <row r="41" spans="1:11" s="59" customFormat="1">
      <c r="A41" s="235" t="s">
        <v>170</v>
      </c>
      <c r="B41" s="242">
        <f>SUM(B42:B42)</f>
        <v>20000</v>
      </c>
      <c r="C41" s="147"/>
      <c r="D41" s="147"/>
      <c r="E41" s="147"/>
      <c r="F41" s="147"/>
      <c r="G41" s="147"/>
      <c r="H41" s="147"/>
      <c r="I41" s="147"/>
      <c r="J41" s="147"/>
      <c r="K41" s="147"/>
    </row>
    <row r="42" spans="1:11">
      <c r="A42" s="234" t="s">
        <v>484</v>
      </c>
      <c r="B42" s="241">
        <v>20000</v>
      </c>
    </row>
    <row r="43" spans="1:11">
      <c r="A43" s="234"/>
      <c r="B43" s="241"/>
    </row>
    <row r="44" spans="1:11">
      <c r="A44" s="237" t="s">
        <v>173</v>
      </c>
      <c r="B44" s="243">
        <f>B41</f>
        <v>20000</v>
      </c>
    </row>
    <row r="45" spans="1:11">
      <c r="A45" s="234"/>
      <c r="B45" s="241"/>
    </row>
    <row r="46" spans="1:11">
      <c r="A46" s="237" t="s">
        <v>174</v>
      </c>
      <c r="B46" s="243">
        <f>B39+B44</f>
        <v>1202077</v>
      </c>
    </row>
    <row r="47" spans="1:11">
      <c r="A47" s="234"/>
      <c r="B47" s="241"/>
    </row>
    <row r="48" spans="1:11">
      <c r="A48" s="235" t="s">
        <v>332</v>
      </c>
      <c r="B48" s="242">
        <f>SUM(B49:B50)</f>
        <v>7300</v>
      </c>
    </row>
    <row r="49" spans="1:11">
      <c r="A49" s="234" t="s">
        <v>479</v>
      </c>
      <c r="B49" s="241">
        <v>7000</v>
      </c>
    </row>
    <row r="50" spans="1:11">
      <c r="A50" s="234" t="s">
        <v>477</v>
      </c>
      <c r="B50" s="241">
        <v>300</v>
      </c>
    </row>
    <row r="51" spans="1:11">
      <c r="A51" s="234" t="s">
        <v>727</v>
      </c>
      <c r="B51" s="241"/>
    </row>
    <row r="52" spans="1:11">
      <c r="A52" s="234"/>
      <c r="B52" s="241"/>
    </row>
    <row r="53" spans="1:11">
      <c r="A53" s="235" t="s">
        <v>598</v>
      </c>
      <c r="B53" s="242">
        <f>SUM(B54:B55)</f>
        <v>6600</v>
      </c>
    </row>
    <row r="54" spans="1:11">
      <c r="A54" s="236" t="s">
        <v>597</v>
      </c>
      <c r="B54" s="241"/>
    </row>
    <row r="55" spans="1:11">
      <c r="A55" s="234" t="s">
        <v>770</v>
      </c>
      <c r="B55" s="241">
        <v>6600</v>
      </c>
    </row>
    <row r="56" spans="1:11">
      <c r="A56" s="546"/>
      <c r="B56" s="241"/>
    </row>
    <row r="57" spans="1:11" ht="13.5" customHeight="1">
      <c r="A57" s="237" t="s">
        <v>182</v>
      </c>
      <c r="B57" s="243">
        <f>B48+B53</f>
        <v>13900</v>
      </c>
    </row>
    <row r="58" spans="1:11">
      <c r="A58" s="234"/>
      <c r="B58" s="241"/>
    </row>
    <row r="59" spans="1:11" s="59" customFormat="1" ht="15.75" customHeight="1">
      <c r="A59" s="235" t="s">
        <v>172</v>
      </c>
      <c r="B59" s="242">
        <f>B60</f>
        <v>0</v>
      </c>
      <c r="C59" s="147"/>
      <c r="D59" s="147"/>
      <c r="E59" s="147"/>
      <c r="F59" s="147"/>
      <c r="G59" s="147"/>
      <c r="H59" s="147"/>
      <c r="I59" s="147"/>
      <c r="J59" s="147"/>
      <c r="K59" s="147"/>
    </row>
    <row r="60" spans="1:11">
      <c r="A60" s="236"/>
      <c r="B60" s="241"/>
    </row>
    <row r="61" spans="1:11" ht="13.5" customHeight="1">
      <c r="A61" s="237" t="s">
        <v>182</v>
      </c>
      <c r="B61" s="243">
        <f>B59</f>
        <v>0</v>
      </c>
    </row>
    <row r="62" spans="1:11" s="55" customFormat="1">
      <c r="A62" s="234"/>
      <c r="B62" s="241"/>
      <c r="C62" s="148"/>
      <c r="D62" s="148"/>
      <c r="E62" s="148"/>
      <c r="F62" s="148"/>
      <c r="G62" s="148"/>
      <c r="H62" s="148"/>
      <c r="I62" s="148"/>
      <c r="J62" s="148"/>
      <c r="K62" s="148"/>
    </row>
    <row r="63" spans="1:11" s="55" customFormat="1" ht="28.5">
      <c r="A63" s="237" t="s">
        <v>175</v>
      </c>
      <c r="B63" s="243">
        <f>B57+B61</f>
        <v>13900</v>
      </c>
      <c r="C63" s="148"/>
      <c r="D63" s="148"/>
      <c r="E63" s="148"/>
      <c r="F63" s="148"/>
      <c r="G63" s="148"/>
      <c r="H63" s="148"/>
      <c r="I63" s="148"/>
      <c r="J63" s="148"/>
      <c r="K63" s="148"/>
    </row>
    <row r="64" spans="1:11" s="55" customFormat="1" thickBot="1">
      <c r="A64" s="238"/>
      <c r="B64" s="248"/>
      <c r="C64" s="148"/>
      <c r="D64" s="148"/>
      <c r="E64" s="148"/>
      <c r="F64" s="148"/>
      <c r="G64" s="148"/>
      <c r="H64" s="148"/>
      <c r="I64" s="148"/>
      <c r="J64" s="148"/>
      <c r="K64" s="148"/>
    </row>
    <row r="65" spans="1:11" s="55" customFormat="1" thickBot="1">
      <c r="A65" s="239" t="s">
        <v>318</v>
      </c>
      <c r="B65" s="250">
        <f>B46+B63</f>
        <v>1215977</v>
      </c>
      <c r="C65" s="148"/>
      <c r="D65" s="148"/>
      <c r="E65" s="148"/>
      <c r="F65" s="148"/>
      <c r="G65" s="148"/>
      <c r="H65" s="148"/>
      <c r="I65" s="148"/>
      <c r="J65" s="148"/>
      <c r="K65" s="148"/>
    </row>
    <row r="66" spans="1:11">
      <c r="A66" s="233"/>
      <c r="B66" s="249"/>
    </row>
    <row r="67" spans="1:11">
      <c r="A67" s="237" t="s">
        <v>171</v>
      </c>
      <c r="B67" s="244"/>
    </row>
    <row r="68" spans="1:11">
      <c r="A68" s="237"/>
      <c r="B68" s="244"/>
    </row>
    <row r="69" spans="1:11" s="59" customFormat="1">
      <c r="A69" s="235" t="s">
        <v>172</v>
      </c>
      <c r="B69" s="242">
        <f>B70</f>
        <v>1200</v>
      </c>
      <c r="C69" s="147"/>
      <c r="D69" s="147"/>
      <c r="E69" s="147"/>
      <c r="F69" s="147"/>
      <c r="G69" s="147"/>
      <c r="H69" s="147"/>
      <c r="I69" s="147"/>
      <c r="J69" s="147"/>
      <c r="K69" s="147"/>
    </row>
    <row r="70" spans="1:11">
      <c r="A70" s="234" t="s">
        <v>478</v>
      </c>
      <c r="B70" s="241">
        <v>1200</v>
      </c>
    </row>
    <row r="71" spans="1:11" ht="14.25" customHeight="1" thickBot="1">
      <c r="A71" s="240"/>
      <c r="B71" s="251"/>
    </row>
    <row r="72" spans="1:11" ht="15.75" thickBot="1">
      <c r="A72" s="239" t="s">
        <v>319</v>
      </c>
      <c r="B72" s="250">
        <f>B69</f>
        <v>1200</v>
      </c>
    </row>
    <row r="73" spans="1:11">
      <c r="A73" s="142"/>
      <c r="B73" s="143"/>
    </row>
    <row r="74" spans="1:11">
      <c r="A74" s="140"/>
      <c r="B74" s="143"/>
    </row>
    <row r="75" spans="1:11">
      <c r="A75" s="140"/>
    </row>
    <row r="76" spans="1:11"/>
    <row r="77" spans="1:11"/>
    <row r="78" spans="1:11"/>
    <row r="79" spans="1:11"/>
    <row r="80" spans="1:11"/>
    <row r="81" spans="1:11"/>
    <row r="82" spans="1:11"/>
    <row r="83" spans="1:11"/>
    <row r="84" spans="1:11" s="58" customFormat="1">
      <c r="C84" s="149"/>
      <c r="D84" s="149"/>
      <c r="E84" s="149"/>
      <c r="F84" s="149"/>
      <c r="G84" s="149"/>
      <c r="H84" s="149"/>
      <c r="I84" s="149"/>
      <c r="J84" s="149"/>
      <c r="K84" s="149"/>
    </row>
    <row r="85" spans="1:11" s="55" customFormat="1" ht="14.25">
      <c r="C85" s="148"/>
      <c r="D85" s="148"/>
      <c r="E85" s="148"/>
      <c r="F85" s="148"/>
      <c r="G85" s="148"/>
      <c r="H85" s="148"/>
      <c r="I85" s="148"/>
      <c r="J85" s="148"/>
      <c r="K85" s="148"/>
    </row>
    <row r="86" spans="1:11" s="55" customFormat="1" ht="14.25">
      <c r="C86" s="148"/>
      <c r="D86" s="148"/>
      <c r="E86" s="148"/>
      <c r="F86" s="148"/>
      <c r="G86" s="148"/>
      <c r="H86" s="148"/>
      <c r="I86" s="148"/>
      <c r="J86" s="148"/>
      <c r="K86" s="148"/>
    </row>
    <row r="87" spans="1:11">
      <c r="A87" s="52"/>
      <c r="B87" s="52"/>
    </row>
    <row r="88" spans="1:11" s="55" customFormat="1" ht="14.25">
      <c r="C88" s="148"/>
      <c r="D88" s="148"/>
      <c r="E88" s="148"/>
      <c r="F88" s="148"/>
      <c r="G88" s="148"/>
      <c r="H88" s="148"/>
      <c r="I88" s="148"/>
      <c r="J88" s="148"/>
      <c r="K88" s="148"/>
    </row>
    <row r="89" spans="1:11" s="55" customFormat="1" ht="33.75" customHeight="1">
      <c r="C89" s="148"/>
      <c r="D89" s="148"/>
      <c r="E89" s="148"/>
      <c r="F89" s="148"/>
      <c r="G89" s="148"/>
      <c r="H89" s="148"/>
      <c r="I89" s="148"/>
      <c r="J89" s="148"/>
      <c r="K89" s="148"/>
    </row>
    <row r="90" spans="1:11" s="55" customFormat="1" ht="36.75" customHeight="1">
      <c r="C90" s="148"/>
      <c r="D90" s="148"/>
      <c r="E90" s="148"/>
      <c r="F90" s="148"/>
      <c r="G90" s="148"/>
      <c r="H90" s="148"/>
      <c r="I90" s="148"/>
      <c r="J90" s="148"/>
      <c r="K90" s="148"/>
    </row>
    <row r="91" spans="1:11" ht="15.75" customHeight="1"/>
    <row r="92" spans="1:11"/>
    <row r="93" spans="1:11"/>
    <row r="94" spans="1:11"/>
    <row r="95" spans="1:11"/>
    <row r="96" spans="1:11"/>
    <row r="97" ht="30.75" customHeight="1"/>
    <row r="98" ht="30.75" hidden="1" customHeight="1"/>
    <row r="99" ht="10.5" hidden="1" customHeight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  <row r="65553"/>
    <row r="65554"/>
    <row r="65555"/>
    <row r="65556"/>
    <row r="65557"/>
    <row r="65558"/>
    <row r="65559"/>
    <row r="65560"/>
    <row r="65561"/>
    <row r="65562"/>
    <row r="65563"/>
    <row r="65564"/>
    <row r="65565"/>
    <row r="65566"/>
    <row r="65567"/>
    <row r="65568"/>
    <row r="65569"/>
    <row r="65570"/>
    <row r="65571"/>
    <row r="65572"/>
    <row r="65573"/>
    <row r="65574"/>
    <row r="65575"/>
    <row r="65576"/>
    <row r="65577"/>
    <row r="65578"/>
    <row r="65579"/>
    <row r="65580"/>
    <row r="65581"/>
    <row r="65582"/>
    <row r="65583"/>
    <row r="65584"/>
    <row r="65585"/>
    <row r="65586"/>
    <row r="65587"/>
    <row r="65588"/>
    <row r="65589"/>
    <row r="65590"/>
    <row r="65591"/>
    <row r="65592"/>
    <row r="65593"/>
    <row r="65594"/>
    <row r="65595"/>
    <row r="65596"/>
    <row r="65597"/>
    <row r="65598"/>
    <row r="65599"/>
    <row r="65600"/>
    <row r="65601"/>
    <row r="65602"/>
    <row r="65603"/>
    <row r="65604"/>
    <row r="65605"/>
    <row r="65606"/>
    <row r="65607"/>
    <row r="65608"/>
    <row r="65609"/>
    <row r="65610"/>
    <row r="65611"/>
    <row r="65612"/>
    <row r="65613"/>
    <row r="65614"/>
    <row r="65615"/>
    <row r="65616"/>
    <row r="65617"/>
    <row r="65618"/>
    <row r="65619"/>
    <row r="65620"/>
    <row r="65621"/>
    <row r="65622"/>
    <row r="65623"/>
    <row r="65624"/>
    <row r="65625"/>
    <row r="65626"/>
    <row r="65627"/>
    <row r="65628"/>
    <row r="65629"/>
    <row r="65630"/>
    <row r="65631"/>
    <row r="65632"/>
    <row r="65633"/>
    <row r="65634"/>
    <row r="65635"/>
    <row r="65636"/>
    <row r="65637"/>
    <row r="65638"/>
    <row r="65639"/>
    <row r="65640"/>
    <row r="65641"/>
    <row r="65642"/>
    <row r="65643"/>
    <row r="65644"/>
    <row r="65645"/>
    <row r="65646"/>
    <row r="65647"/>
    <row r="65648"/>
    <row r="65649"/>
    <row r="65650"/>
    <row r="65651"/>
    <row r="65652"/>
    <row r="65653"/>
    <row r="65654"/>
    <row r="65655"/>
    <row r="65656"/>
    <row r="65657"/>
    <row r="65658"/>
    <row r="65659"/>
    <row r="65660"/>
    <row r="65661"/>
    <row r="65662"/>
    <row r="65663"/>
    <row r="65664"/>
    <row r="65665"/>
    <row r="65666"/>
    <row r="65667"/>
    <row r="65668"/>
    <row r="65669"/>
    <row r="65670"/>
    <row r="65671"/>
    <row r="65672"/>
    <row r="65673"/>
    <row r="65674"/>
    <row r="65675"/>
    <row r="65676"/>
    <row r="65677"/>
    <row r="65678"/>
    <row r="65679"/>
    <row r="65680"/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&amp;L&amp;"Times New Roman,Normál"&amp;8 10. melléklet a 24/2019. (XII.19.)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view="pageLayout" zoomScale="90" zoomScaleNormal="100" zoomScalePageLayoutView="90" workbookViewId="0">
      <selection activeCell="A45" sqref="A45:B45"/>
    </sheetView>
  </sheetViews>
  <sheetFormatPr defaultRowHeight="15"/>
  <cols>
    <col min="1" max="1" width="89.85546875" style="41" customWidth="1"/>
    <col min="2" max="2" width="11.42578125" style="57" customWidth="1"/>
    <col min="3" max="11" width="9.140625" style="146"/>
    <col min="12" max="16384" width="9.140625" style="52"/>
  </cols>
  <sheetData>
    <row r="1" spans="1:11" ht="15" customHeight="1">
      <c r="A1" s="1129" t="s">
        <v>602</v>
      </c>
      <c r="B1" s="1129"/>
    </row>
    <row r="2" spans="1:11">
      <c r="A2" s="1129"/>
      <c r="B2" s="1129"/>
    </row>
    <row r="3" spans="1:11" ht="15.75" thickBot="1">
      <c r="A3" s="60"/>
      <c r="B3" s="60"/>
    </row>
    <row r="4" spans="1:11" s="54" customFormat="1" ht="15.75" thickBot="1">
      <c r="A4" s="228" t="s">
        <v>2</v>
      </c>
      <c r="B4" s="428" t="s">
        <v>3</v>
      </c>
      <c r="C4" s="73"/>
      <c r="D4" s="73"/>
      <c r="E4" s="73"/>
      <c r="F4" s="73"/>
      <c r="G4" s="73"/>
      <c r="H4" s="73"/>
      <c r="I4" s="73"/>
      <c r="J4" s="73"/>
      <c r="K4" s="73"/>
    </row>
    <row r="5" spans="1:11">
      <c r="A5" s="429" t="s">
        <v>166</v>
      </c>
      <c r="B5" s="430"/>
    </row>
    <row r="6" spans="1:11">
      <c r="A6" s="225"/>
      <c r="B6" s="365"/>
    </row>
    <row r="7" spans="1:11" s="59" customFormat="1">
      <c r="A7" s="231" t="s">
        <v>176</v>
      </c>
      <c r="B7" s="431">
        <f>SUM(B8:B18)</f>
        <v>227393</v>
      </c>
      <c r="C7" s="147"/>
      <c r="D7" s="147"/>
      <c r="E7" s="147"/>
      <c r="F7" s="147"/>
      <c r="G7" s="147"/>
      <c r="H7" s="147"/>
      <c r="I7" s="147"/>
      <c r="J7" s="147"/>
      <c r="K7" s="147"/>
    </row>
    <row r="8" spans="1:11" s="55" customFormat="1">
      <c r="A8" s="225" t="s">
        <v>492</v>
      </c>
      <c r="B8" s="365">
        <v>34211</v>
      </c>
      <c r="C8" s="148"/>
      <c r="D8" s="148"/>
      <c r="E8" s="148"/>
      <c r="F8" s="148"/>
      <c r="G8" s="148"/>
      <c r="H8" s="148"/>
      <c r="I8" s="148"/>
      <c r="J8" s="148"/>
      <c r="K8" s="148"/>
    </row>
    <row r="9" spans="1:11" s="55" customFormat="1">
      <c r="A9" s="225" t="s">
        <v>494</v>
      </c>
      <c r="B9" s="365">
        <v>46500</v>
      </c>
      <c r="C9" s="148"/>
      <c r="D9" s="148"/>
      <c r="E9" s="148"/>
      <c r="F9" s="148"/>
      <c r="G9" s="148"/>
      <c r="H9" s="148"/>
      <c r="I9" s="148"/>
      <c r="J9" s="148"/>
      <c r="K9" s="148"/>
    </row>
    <row r="10" spans="1:11" s="55" customFormat="1">
      <c r="A10" s="225" t="s">
        <v>502</v>
      </c>
      <c r="B10" s="365">
        <v>23371</v>
      </c>
      <c r="C10" s="148"/>
      <c r="D10" s="148"/>
      <c r="E10" s="148"/>
      <c r="F10" s="148"/>
      <c r="G10" s="148"/>
      <c r="H10" s="148"/>
      <c r="I10" s="148"/>
      <c r="J10" s="148"/>
      <c r="K10" s="148"/>
    </row>
    <row r="11" spans="1:11" s="55" customFormat="1" ht="30">
      <c r="A11" s="225" t="s">
        <v>499</v>
      </c>
      <c r="B11" s="365">
        <v>11345</v>
      </c>
      <c r="C11" s="148"/>
      <c r="D11" s="148"/>
      <c r="E11" s="148"/>
      <c r="F11" s="148"/>
      <c r="G11" s="148"/>
      <c r="H11" s="148"/>
      <c r="I11" s="148"/>
      <c r="J11" s="148"/>
      <c r="K11" s="148"/>
    </row>
    <row r="12" spans="1:11" s="55" customFormat="1" ht="14.25" customHeight="1">
      <c r="A12" s="457" t="s">
        <v>452</v>
      </c>
      <c r="B12" s="477">
        <v>10399</v>
      </c>
      <c r="C12" s="148"/>
      <c r="D12" s="148"/>
      <c r="E12" s="148"/>
      <c r="F12" s="148"/>
      <c r="G12" s="148"/>
      <c r="H12" s="148"/>
      <c r="I12" s="148"/>
      <c r="J12" s="148"/>
      <c r="K12" s="148"/>
    </row>
    <row r="13" spans="1:11" s="55" customFormat="1" ht="14.25" customHeight="1">
      <c r="A13" s="432" t="s">
        <v>586</v>
      </c>
      <c r="B13" s="365">
        <v>74274</v>
      </c>
      <c r="C13" s="148"/>
      <c r="D13" s="148"/>
      <c r="E13" s="148"/>
      <c r="F13" s="148"/>
      <c r="G13" s="148"/>
      <c r="H13" s="148"/>
      <c r="I13" s="148"/>
      <c r="J13" s="148"/>
      <c r="K13" s="148"/>
    </row>
    <row r="14" spans="1:11" s="55" customFormat="1" ht="30">
      <c r="A14" s="225" t="s">
        <v>497</v>
      </c>
      <c r="B14" s="365">
        <v>6050</v>
      </c>
      <c r="C14" s="148"/>
      <c r="D14" s="148"/>
      <c r="E14" s="148"/>
      <c r="F14" s="148"/>
      <c r="G14" s="148"/>
      <c r="H14" s="148"/>
      <c r="I14" s="148"/>
      <c r="J14" s="148"/>
      <c r="K14" s="148"/>
    </row>
    <row r="15" spans="1:11" s="55" customFormat="1" ht="30">
      <c r="A15" s="542" t="s">
        <v>737</v>
      </c>
      <c r="B15" s="477">
        <v>2640</v>
      </c>
      <c r="C15" s="148"/>
      <c r="D15" s="148"/>
      <c r="E15" s="148"/>
      <c r="F15" s="148"/>
      <c r="G15" s="148"/>
      <c r="H15" s="148"/>
      <c r="I15" s="148"/>
      <c r="J15" s="148"/>
      <c r="K15" s="148"/>
    </row>
    <row r="16" spans="1:11" s="55" customFormat="1">
      <c r="A16" s="342" t="s">
        <v>429</v>
      </c>
      <c r="B16" s="365">
        <v>984</v>
      </c>
      <c r="C16" s="148"/>
      <c r="D16" s="148"/>
      <c r="E16" s="148"/>
      <c r="F16" s="148"/>
      <c r="G16" s="148"/>
      <c r="H16" s="148"/>
      <c r="I16" s="148"/>
      <c r="J16" s="148"/>
      <c r="K16" s="148"/>
    </row>
    <row r="17" spans="1:11" s="55" customFormat="1">
      <c r="A17" s="342" t="s">
        <v>430</v>
      </c>
      <c r="B17" s="365">
        <v>15838</v>
      </c>
      <c r="C17" s="148"/>
      <c r="D17" s="148"/>
      <c r="E17" s="148"/>
      <c r="F17" s="148"/>
      <c r="G17" s="148"/>
      <c r="H17" s="148"/>
      <c r="I17" s="148"/>
      <c r="J17" s="148"/>
      <c r="K17" s="148"/>
    </row>
    <row r="18" spans="1:11" s="55" customFormat="1">
      <c r="A18" s="225" t="s">
        <v>431</v>
      </c>
      <c r="B18" s="365">
        <v>1781</v>
      </c>
      <c r="C18" s="148"/>
      <c r="D18" s="148"/>
      <c r="E18" s="148"/>
      <c r="F18" s="148"/>
      <c r="G18" s="148"/>
      <c r="H18" s="148"/>
      <c r="I18" s="148"/>
      <c r="J18" s="148"/>
      <c r="K18" s="148"/>
    </row>
    <row r="19" spans="1:11" s="55" customFormat="1">
      <c r="A19" s="457"/>
      <c r="B19" s="477"/>
      <c r="C19" s="148"/>
      <c r="D19" s="148"/>
      <c r="E19" s="148"/>
      <c r="F19" s="148"/>
      <c r="G19" s="148"/>
      <c r="H19" s="148"/>
      <c r="I19" s="148"/>
      <c r="J19" s="148"/>
      <c r="K19" s="148"/>
    </row>
    <row r="20" spans="1:11" s="55" customFormat="1" ht="14.25">
      <c r="A20" s="237" t="s">
        <v>181</v>
      </c>
      <c r="B20" s="433">
        <f>B7</f>
        <v>227393</v>
      </c>
      <c r="C20" s="148"/>
      <c r="D20" s="148"/>
      <c r="E20" s="148"/>
      <c r="F20" s="148"/>
      <c r="G20" s="148"/>
      <c r="H20" s="148"/>
      <c r="I20" s="148"/>
      <c r="J20" s="148"/>
      <c r="K20" s="148"/>
    </row>
    <row r="21" spans="1:11" s="55" customFormat="1">
      <c r="A21" s="225"/>
      <c r="B21" s="365"/>
      <c r="C21" s="148"/>
      <c r="D21" s="148"/>
      <c r="E21" s="148"/>
      <c r="F21" s="148"/>
      <c r="G21" s="148"/>
      <c r="H21" s="148"/>
      <c r="I21" s="148"/>
      <c r="J21" s="148"/>
      <c r="K21" s="148"/>
    </row>
    <row r="22" spans="1:11" s="58" customFormat="1">
      <c r="A22" s="231" t="s">
        <v>177</v>
      </c>
      <c r="B22" s="431">
        <f>SUM(B23:B26)</f>
        <v>77549</v>
      </c>
      <c r="C22" s="149"/>
      <c r="D22" s="149"/>
      <c r="E22" s="149"/>
      <c r="F22" s="149"/>
      <c r="G22" s="149"/>
      <c r="H22" s="149"/>
      <c r="I22" s="149"/>
      <c r="J22" s="149"/>
      <c r="K22" s="149"/>
    </row>
    <row r="23" spans="1:11" s="55" customFormat="1">
      <c r="A23" s="225" t="s">
        <v>773</v>
      </c>
      <c r="B23" s="365">
        <f>20000+8174+10000</f>
        <v>38174</v>
      </c>
      <c r="C23" s="148"/>
      <c r="D23" s="148"/>
      <c r="E23" s="148"/>
      <c r="F23" s="148"/>
      <c r="G23" s="148"/>
      <c r="H23" s="148"/>
      <c r="I23" s="148"/>
      <c r="J23" s="148"/>
      <c r="K23" s="148"/>
    </row>
    <row r="24" spans="1:11" s="55" customFormat="1">
      <c r="A24" s="457" t="s">
        <v>627</v>
      </c>
      <c r="B24" s="477">
        <v>10256</v>
      </c>
      <c r="C24" s="148"/>
      <c r="D24" s="148"/>
      <c r="E24" s="148"/>
      <c r="F24" s="148"/>
      <c r="G24" s="148"/>
      <c r="H24" s="148"/>
      <c r="I24" s="148"/>
      <c r="J24" s="148"/>
      <c r="K24" s="148"/>
    </row>
    <row r="25" spans="1:11" s="55" customFormat="1">
      <c r="A25" s="559" t="s">
        <v>778</v>
      </c>
      <c r="B25" s="561">
        <v>24589</v>
      </c>
      <c r="C25" s="148"/>
      <c r="D25" s="148"/>
      <c r="E25" s="148"/>
      <c r="F25" s="148"/>
      <c r="G25" s="148"/>
      <c r="H25" s="148"/>
      <c r="I25" s="148"/>
      <c r="J25" s="148"/>
      <c r="K25" s="148"/>
    </row>
    <row r="26" spans="1:11" s="55" customFormat="1">
      <c r="A26" s="562" t="s">
        <v>779</v>
      </c>
      <c r="B26" s="561">
        <v>4530</v>
      </c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 s="55" customFormat="1">
      <c r="A27" s="225"/>
      <c r="B27" s="365"/>
      <c r="C27" s="148"/>
      <c r="D27" s="148"/>
      <c r="E27" s="148"/>
      <c r="F27" s="148"/>
      <c r="G27" s="148"/>
      <c r="H27" s="148"/>
      <c r="I27" s="148"/>
      <c r="J27" s="148"/>
      <c r="K27" s="148"/>
    </row>
    <row r="28" spans="1:11" s="55" customFormat="1" ht="14.25">
      <c r="A28" s="237" t="s">
        <v>180</v>
      </c>
      <c r="B28" s="433">
        <f>B22</f>
        <v>77549</v>
      </c>
      <c r="C28" s="148"/>
      <c r="D28" s="148"/>
      <c r="E28" s="148"/>
      <c r="F28" s="148"/>
      <c r="G28" s="148"/>
      <c r="H28" s="148"/>
      <c r="I28" s="148"/>
      <c r="J28" s="148"/>
      <c r="K28" s="148"/>
    </row>
    <row r="29" spans="1:11" s="55" customFormat="1">
      <c r="A29" s="225"/>
      <c r="B29" s="365"/>
      <c r="C29" s="148"/>
      <c r="D29" s="148"/>
      <c r="E29" s="148"/>
      <c r="F29" s="148"/>
      <c r="G29" s="148"/>
      <c r="H29" s="148"/>
      <c r="I29" s="148"/>
      <c r="J29" s="148"/>
      <c r="K29" s="148"/>
    </row>
    <row r="30" spans="1:11" s="55" customFormat="1" ht="28.5">
      <c r="A30" s="237" t="s">
        <v>174</v>
      </c>
      <c r="B30" s="433">
        <f>B20+B28</f>
        <v>304942</v>
      </c>
      <c r="C30" s="148"/>
      <c r="D30" s="148"/>
      <c r="E30" s="148"/>
      <c r="F30" s="148"/>
      <c r="G30" s="148"/>
      <c r="H30" s="148"/>
      <c r="I30" s="148"/>
      <c r="J30" s="148"/>
      <c r="K30" s="148"/>
    </row>
    <row r="31" spans="1:11" s="55" customFormat="1">
      <c r="A31" s="225"/>
      <c r="B31" s="365"/>
      <c r="C31" s="148"/>
      <c r="D31" s="148"/>
      <c r="E31" s="148"/>
      <c r="F31" s="148"/>
      <c r="G31" s="148"/>
      <c r="H31" s="148"/>
      <c r="I31" s="148"/>
      <c r="J31" s="148"/>
      <c r="K31" s="148"/>
    </row>
    <row r="32" spans="1:11" s="58" customFormat="1">
      <c r="A32" s="231" t="s">
        <v>178</v>
      </c>
      <c r="B32" s="431">
        <f>SUM(B33:B36)</f>
        <v>113219</v>
      </c>
      <c r="C32" s="149"/>
      <c r="D32" s="149"/>
      <c r="E32" s="149"/>
      <c r="F32" s="149"/>
      <c r="G32" s="149"/>
      <c r="H32" s="149"/>
      <c r="I32" s="149"/>
      <c r="J32" s="149"/>
      <c r="K32" s="149"/>
    </row>
    <row r="33" spans="1:11" s="55" customFormat="1" ht="30">
      <c r="A33" s="225" t="s">
        <v>497</v>
      </c>
      <c r="B33" s="365">
        <v>8270</v>
      </c>
      <c r="C33" s="148"/>
      <c r="D33" s="148"/>
      <c r="E33" s="148"/>
      <c r="F33" s="148"/>
      <c r="G33" s="148"/>
      <c r="H33" s="148"/>
      <c r="I33" s="148"/>
      <c r="J33" s="148"/>
      <c r="K33" s="148"/>
    </row>
    <row r="34" spans="1:11" s="55" customFormat="1" ht="30">
      <c r="A34" s="457" t="s">
        <v>737</v>
      </c>
      <c r="B34" s="477">
        <v>103129</v>
      </c>
      <c r="C34" s="148"/>
      <c r="D34" s="148"/>
      <c r="E34" s="148"/>
      <c r="F34" s="148"/>
      <c r="G34" s="148"/>
      <c r="H34" s="148"/>
      <c r="I34" s="148"/>
      <c r="J34" s="148"/>
      <c r="K34" s="148"/>
    </row>
    <row r="35" spans="1:11" s="55" customFormat="1">
      <c r="A35" s="457" t="s">
        <v>431</v>
      </c>
      <c r="B35" s="477">
        <v>1820</v>
      </c>
      <c r="C35" s="148"/>
      <c r="D35" s="148"/>
      <c r="E35" s="148"/>
      <c r="F35" s="148"/>
      <c r="G35" s="148"/>
      <c r="H35" s="148"/>
      <c r="I35" s="148"/>
      <c r="J35" s="148"/>
      <c r="K35" s="148"/>
    </row>
    <row r="36" spans="1:11" s="55" customFormat="1">
      <c r="A36" s="225"/>
      <c r="B36" s="365"/>
      <c r="C36" s="148"/>
      <c r="D36" s="148"/>
      <c r="E36" s="148"/>
      <c r="F36" s="148"/>
      <c r="G36" s="148"/>
      <c r="H36" s="148"/>
      <c r="I36" s="148"/>
      <c r="J36" s="148"/>
      <c r="K36" s="148"/>
    </row>
    <row r="37" spans="1:11">
      <c r="A37" s="237" t="s">
        <v>182</v>
      </c>
      <c r="B37" s="433">
        <f>B32</f>
        <v>113219</v>
      </c>
    </row>
    <row r="38" spans="1:11">
      <c r="A38" s="225"/>
      <c r="B38" s="365"/>
    </row>
    <row r="39" spans="1:11" s="58" customFormat="1" ht="30">
      <c r="A39" s="231" t="s">
        <v>179</v>
      </c>
      <c r="B39" s="431">
        <f>SUM(B40:B42)</f>
        <v>360</v>
      </c>
      <c r="C39" s="149"/>
      <c r="D39" s="149"/>
      <c r="E39" s="149"/>
      <c r="F39" s="149"/>
      <c r="G39" s="149"/>
      <c r="H39" s="149"/>
      <c r="I39" s="149"/>
      <c r="J39" s="149"/>
      <c r="K39" s="149"/>
    </row>
    <row r="40" spans="1:11">
      <c r="A40" s="225" t="s">
        <v>495</v>
      </c>
      <c r="B40" s="365">
        <v>50</v>
      </c>
    </row>
    <row r="41" spans="1:11">
      <c r="A41" s="225" t="s">
        <v>493</v>
      </c>
      <c r="B41" s="365">
        <v>160</v>
      </c>
    </row>
    <row r="42" spans="1:11">
      <c r="A42" s="225" t="s">
        <v>496</v>
      </c>
      <c r="B42" s="365">
        <v>150</v>
      </c>
    </row>
    <row r="43" spans="1:11">
      <c r="A43" s="225"/>
      <c r="B43" s="365"/>
    </row>
    <row r="44" spans="1:11">
      <c r="A44" s="237" t="s">
        <v>183</v>
      </c>
      <c r="B44" s="433">
        <f>B39</f>
        <v>360</v>
      </c>
    </row>
    <row r="45" spans="1:11">
      <c r="A45" s="932"/>
      <c r="B45" s="933"/>
    </row>
    <row r="46" spans="1:11" ht="28.5">
      <c r="A46" s="237" t="s">
        <v>175</v>
      </c>
      <c r="B46" s="433">
        <f>B37+B44</f>
        <v>113579</v>
      </c>
    </row>
    <row r="47" spans="1:11" ht="15.75" thickBot="1">
      <c r="A47" s="434"/>
      <c r="B47" s="366"/>
    </row>
    <row r="48" spans="1:11" ht="29.25" thickBot="1">
      <c r="A48" s="232" t="s">
        <v>321</v>
      </c>
      <c r="B48" s="435">
        <f>B30+B46</f>
        <v>418521</v>
      </c>
    </row>
    <row r="49" spans="1:11">
      <c r="A49" s="436"/>
      <c r="B49" s="430"/>
    </row>
    <row r="50" spans="1:11">
      <c r="A50" s="230" t="s">
        <v>171</v>
      </c>
      <c r="B50" s="437"/>
    </row>
    <row r="51" spans="1:11">
      <c r="A51" s="225"/>
      <c r="B51" s="365"/>
    </row>
    <row r="52" spans="1:11" s="59" customFormat="1" ht="30">
      <c r="A52" s="231" t="s">
        <v>179</v>
      </c>
      <c r="B52" s="431">
        <f>B54</f>
        <v>250</v>
      </c>
      <c r="C52" s="147"/>
      <c r="D52" s="147"/>
      <c r="E52" s="147"/>
      <c r="F52" s="147"/>
      <c r="G52" s="147"/>
      <c r="H52" s="147"/>
      <c r="I52" s="147"/>
      <c r="J52" s="147"/>
      <c r="K52" s="147"/>
    </row>
    <row r="53" spans="1:11" s="59" customFormat="1">
      <c r="A53" s="231"/>
      <c r="B53" s="431"/>
      <c r="C53" s="147"/>
      <c r="D53" s="147"/>
      <c r="E53" s="147"/>
      <c r="F53" s="147"/>
      <c r="G53" s="147"/>
      <c r="H53" s="147"/>
      <c r="I53" s="147"/>
      <c r="J53" s="147"/>
      <c r="K53" s="147"/>
    </row>
    <row r="54" spans="1:11">
      <c r="A54" s="230" t="s">
        <v>121</v>
      </c>
      <c r="B54" s="433">
        <f>B55</f>
        <v>250</v>
      </c>
    </row>
    <row r="55" spans="1:11">
      <c r="A55" s="225" t="s">
        <v>503</v>
      </c>
      <c r="B55" s="365">
        <v>250</v>
      </c>
    </row>
    <row r="56" spans="1:11">
      <c r="A56" s="225"/>
      <c r="B56" s="365"/>
    </row>
    <row r="57" spans="1:11" ht="28.5">
      <c r="A57" s="237" t="s">
        <v>175</v>
      </c>
      <c r="B57" s="431">
        <f>B52</f>
        <v>250</v>
      </c>
    </row>
    <row r="58" spans="1:11">
      <c r="A58" s="225"/>
      <c r="B58" s="365"/>
    </row>
    <row r="59" spans="1:11" s="59" customFormat="1">
      <c r="A59" s="231" t="s">
        <v>176</v>
      </c>
      <c r="B59" s="431">
        <f>B64+B67+B70+B62</f>
        <v>88617</v>
      </c>
      <c r="C59" s="147"/>
      <c r="D59" s="147"/>
      <c r="E59" s="147"/>
      <c r="F59" s="147"/>
      <c r="G59" s="147"/>
      <c r="H59" s="147"/>
      <c r="I59" s="147"/>
      <c r="J59" s="147"/>
      <c r="K59" s="147"/>
    </row>
    <row r="60" spans="1:11" s="59" customFormat="1">
      <c r="A60" s="231"/>
      <c r="B60" s="431"/>
      <c r="C60" s="147"/>
      <c r="D60" s="147"/>
      <c r="E60" s="147"/>
      <c r="F60" s="147"/>
      <c r="G60" s="147"/>
      <c r="H60" s="147"/>
      <c r="I60" s="147"/>
      <c r="J60" s="147"/>
      <c r="K60" s="147"/>
    </row>
    <row r="61" spans="1:11" s="59" customFormat="1">
      <c r="A61" s="230" t="s">
        <v>121</v>
      </c>
      <c r="B61" s="431"/>
      <c r="C61" s="147"/>
      <c r="D61" s="147"/>
      <c r="E61" s="147"/>
      <c r="F61" s="147"/>
      <c r="G61" s="147"/>
      <c r="H61" s="147"/>
      <c r="I61" s="147"/>
      <c r="J61" s="147"/>
      <c r="K61" s="147"/>
    </row>
    <row r="62" spans="1:11" s="59" customFormat="1">
      <c r="A62" s="225" t="s">
        <v>516</v>
      </c>
      <c r="B62" s="431">
        <v>33410</v>
      </c>
      <c r="C62" s="147"/>
      <c r="D62" s="147"/>
      <c r="E62" s="147"/>
      <c r="F62" s="147"/>
      <c r="G62" s="147"/>
      <c r="H62" s="147"/>
      <c r="I62" s="147"/>
      <c r="J62" s="147"/>
      <c r="K62" s="147"/>
    </row>
    <row r="63" spans="1:11" s="59" customFormat="1">
      <c r="A63" s="231"/>
      <c r="B63" s="431"/>
      <c r="C63" s="147"/>
      <c r="D63" s="147"/>
      <c r="E63" s="147"/>
      <c r="F63" s="147"/>
      <c r="G63" s="147"/>
      <c r="H63" s="147"/>
      <c r="I63" s="147"/>
      <c r="J63" s="147"/>
      <c r="K63" s="147"/>
    </row>
    <row r="64" spans="1:11">
      <c r="A64" s="230" t="s">
        <v>124</v>
      </c>
      <c r="B64" s="433">
        <f>SUM(B65:B65)</f>
        <v>15297</v>
      </c>
    </row>
    <row r="65" spans="1:11">
      <c r="A65" s="225" t="s">
        <v>504</v>
      </c>
      <c r="B65" s="365">
        <v>15297</v>
      </c>
    </row>
    <row r="66" spans="1:11">
      <c r="A66" s="225"/>
      <c r="B66" s="365"/>
    </row>
    <row r="67" spans="1:11" s="55" customFormat="1" ht="14.25">
      <c r="A67" s="230" t="s">
        <v>125</v>
      </c>
      <c r="B67" s="433">
        <f>SUM(B68:B68)</f>
        <v>13890</v>
      </c>
      <c r="C67" s="148"/>
      <c r="D67" s="148"/>
      <c r="E67" s="148"/>
      <c r="F67" s="148"/>
      <c r="G67" s="148"/>
      <c r="H67" s="148"/>
      <c r="I67" s="148"/>
      <c r="J67" s="148"/>
      <c r="K67" s="148"/>
    </row>
    <row r="68" spans="1:11" s="55" customFormat="1">
      <c r="A68" s="225" t="s">
        <v>505</v>
      </c>
      <c r="B68" s="365">
        <v>13890</v>
      </c>
      <c r="C68" s="148"/>
      <c r="D68" s="148"/>
      <c r="E68" s="148"/>
      <c r="F68" s="148"/>
      <c r="G68" s="148"/>
      <c r="H68" s="148"/>
      <c r="I68" s="148"/>
      <c r="J68" s="148"/>
      <c r="K68" s="148"/>
    </row>
    <row r="69" spans="1:11">
      <c r="A69" s="225"/>
      <c r="B69" s="365"/>
    </row>
    <row r="70" spans="1:11">
      <c r="A70" s="230" t="s">
        <v>123</v>
      </c>
      <c r="B70" s="433">
        <f>SUM(B71:B71)</f>
        <v>26020</v>
      </c>
    </row>
    <row r="71" spans="1:11">
      <c r="A71" s="225" t="s">
        <v>506</v>
      </c>
      <c r="B71" s="365">
        <v>26020</v>
      </c>
    </row>
    <row r="72" spans="1:11" s="58" customFormat="1">
      <c r="A72" s="225"/>
      <c r="B72" s="365"/>
      <c r="C72" s="149"/>
      <c r="D72" s="149"/>
      <c r="E72" s="149"/>
      <c r="F72" s="149"/>
      <c r="G72" s="149"/>
      <c r="H72" s="149"/>
      <c r="I72" s="149"/>
      <c r="J72" s="149"/>
      <c r="K72" s="149"/>
    </row>
    <row r="73" spans="1:11" ht="28.5">
      <c r="A73" s="237" t="s">
        <v>174</v>
      </c>
      <c r="B73" s="431">
        <f>B59</f>
        <v>88617</v>
      </c>
    </row>
    <row r="74" spans="1:11" ht="15.75" thickBot="1">
      <c r="A74" s="434"/>
      <c r="B74" s="366"/>
    </row>
    <row r="75" spans="1:11" ht="29.25" thickBot="1">
      <c r="A75" s="232" t="s">
        <v>320</v>
      </c>
      <c r="B75" s="367">
        <f>B57+B73</f>
        <v>88867</v>
      </c>
    </row>
    <row r="78" spans="1:11">
      <c r="A78" s="140"/>
    </row>
    <row r="79" spans="1:11">
      <c r="A79" s="140"/>
    </row>
  </sheetData>
  <mergeCells count="1">
    <mergeCell ref="A1:B2"/>
  </mergeCells>
  <pageMargins left="0.25" right="0.25" top="0.75" bottom="0.75" header="0.3" footer="0.3"/>
  <pageSetup paperSize="9" scale="97" fitToHeight="2" orientation="portrait" r:id="rId1"/>
  <headerFooter>
    <oddHeader>&amp;L&amp;"Times New Roman,Normál"&amp;8 11. melléklet a 24/2019. (XII.19.)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4"/>
  <sheetViews>
    <sheetView view="pageLayout" zoomScaleNormal="100" workbookViewId="0">
      <selection activeCell="A34" sqref="A34"/>
    </sheetView>
  </sheetViews>
  <sheetFormatPr defaultRowHeight="15"/>
  <cols>
    <col min="1" max="1" width="54.28515625" style="39" bestFit="1" customWidth="1"/>
    <col min="2" max="2" width="17.5703125" style="39" bestFit="1" customWidth="1"/>
    <col min="3" max="16384" width="9.140625" style="39"/>
  </cols>
  <sheetData>
    <row r="1" spans="1:2" ht="15" customHeight="1">
      <c r="A1" s="1129" t="s">
        <v>184</v>
      </c>
      <c r="B1" s="1129"/>
    </row>
    <row r="2" spans="1:2" ht="15.75" thickBot="1">
      <c r="A2" s="22"/>
      <c r="B2" s="21"/>
    </row>
    <row r="3" spans="1:2" ht="29.25" customHeight="1">
      <c r="A3" s="1131" t="s">
        <v>185</v>
      </c>
      <c r="B3" s="417" t="s">
        <v>186</v>
      </c>
    </row>
    <row r="4" spans="1:2" ht="15.75" thickBot="1">
      <c r="A4" s="1132"/>
      <c r="B4" s="418" t="s">
        <v>3</v>
      </c>
    </row>
    <row r="5" spans="1:2">
      <c r="A5" s="419" t="s">
        <v>187</v>
      </c>
      <c r="B5" s="420">
        <v>22</v>
      </c>
    </row>
    <row r="6" spans="1:2">
      <c r="A6" s="253" t="s">
        <v>133</v>
      </c>
      <c r="B6" s="421">
        <v>18.75</v>
      </c>
    </row>
    <row r="7" spans="1:2">
      <c r="A7" s="253" t="s">
        <v>188</v>
      </c>
      <c r="B7" s="421">
        <v>3.5</v>
      </c>
    </row>
    <row r="8" spans="1:2">
      <c r="A8" s="287" t="s">
        <v>189</v>
      </c>
      <c r="B8" s="422">
        <f>SUM(B6:B7)</f>
        <v>22.25</v>
      </c>
    </row>
    <row r="9" spans="1:2">
      <c r="A9" s="253" t="s">
        <v>190</v>
      </c>
      <c r="B9" s="421">
        <v>24</v>
      </c>
    </row>
    <row r="10" spans="1:2">
      <c r="A10" s="253" t="s">
        <v>135</v>
      </c>
      <c r="B10" s="421">
        <v>13</v>
      </c>
    </row>
    <row r="11" spans="1:2">
      <c r="A11" s="253" t="s">
        <v>191</v>
      </c>
      <c r="B11" s="421">
        <v>23</v>
      </c>
    </row>
    <row r="12" spans="1:2">
      <c r="A12" s="253" t="s">
        <v>192</v>
      </c>
      <c r="B12" s="421">
        <v>7</v>
      </c>
    </row>
    <row r="13" spans="1:2">
      <c r="A13" s="287" t="s">
        <v>193</v>
      </c>
      <c r="B13" s="422">
        <f>SUM(B11:B12)</f>
        <v>30</v>
      </c>
    </row>
    <row r="14" spans="1:2">
      <c r="A14" s="287" t="s">
        <v>194</v>
      </c>
      <c r="B14" s="422">
        <f>B5+B8+B9+B10+B13</f>
        <v>111.25</v>
      </c>
    </row>
    <row r="15" spans="1:2">
      <c r="A15" s="253" t="s">
        <v>195</v>
      </c>
      <c r="B15" s="421">
        <v>40.5</v>
      </c>
    </row>
    <row r="16" spans="1:2">
      <c r="A16" s="253" t="s">
        <v>196</v>
      </c>
      <c r="B16" s="421">
        <v>9.75</v>
      </c>
    </row>
    <row r="17" spans="1:2">
      <c r="A17" s="253" t="s">
        <v>151</v>
      </c>
      <c r="B17" s="421">
        <v>15.5</v>
      </c>
    </row>
    <row r="18" spans="1:2">
      <c r="A18" s="253" t="s">
        <v>197</v>
      </c>
      <c r="B18" s="421">
        <v>10</v>
      </c>
    </row>
    <row r="19" spans="1:2">
      <c r="A19" s="229" t="s">
        <v>198</v>
      </c>
      <c r="B19" s="421">
        <v>44</v>
      </c>
    </row>
    <row r="20" spans="1:2">
      <c r="A20" s="254" t="s">
        <v>200</v>
      </c>
      <c r="B20" s="423">
        <f>SUM(B14:B19)</f>
        <v>231</v>
      </c>
    </row>
    <row r="21" spans="1:2">
      <c r="A21" s="253"/>
      <c r="B21" s="421"/>
    </row>
    <row r="22" spans="1:2">
      <c r="A22" s="254" t="s">
        <v>70</v>
      </c>
      <c r="B22" s="421"/>
    </row>
    <row r="23" spans="1:2">
      <c r="A23" s="253" t="s">
        <v>203</v>
      </c>
      <c r="B23" s="424">
        <v>87</v>
      </c>
    </row>
    <row r="24" spans="1:2">
      <c r="A24" s="255" t="s">
        <v>202</v>
      </c>
      <c r="B24" s="421">
        <v>5</v>
      </c>
    </row>
    <row r="25" spans="1:2">
      <c r="A25" s="253" t="s">
        <v>201</v>
      </c>
      <c r="B25" s="421">
        <v>3</v>
      </c>
    </row>
    <row r="26" spans="1:2">
      <c r="A26" s="253" t="s">
        <v>204</v>
      </c>
      <c r="B26" s="421">
        <v>6</v>
      </c>
    </row>
    <row r="27" spans="1:2">
      <c r="A27" s="254" t="s">
        <v>205</v>
      </c>
      <c r="B27" s="423">
        <f>SUM(B23:B26)</f>
        <v>101</v>
      </c>
    </row>
    <row r="28" spans="1:2">
      <c r="A28" s="254"/>
      <c r="B28" s="421"/>
    </row>
    <row r="29" spans="1:2">
      <c r="A29" s="254" t="s">
        <v>854</v>
      </c>
      <c r="B29" s="423">
        <v>3</v>
      </c>
    </row>
    <row r="30" spans="1:2">
      <c r="A30" s="425" t="s">
        <v>526</v>
      </c>
      <c r="B30" s="423">
        <v>12</v>
      </c>
    </row>
    <row r="31" spans="1:2" ht="15.75" thickBot="1">
      <c r="A31" s="425"/>
      <c r="B31" s="426"/>
    </row>
    <row r="32" spans="1:2" ht="15.75" thickBot="1">
      <c r="A32" s="256" t="s">
        <v>64</v>
      </c>
      <c r="B32" s="427">
        <f>B20+B27+B29+B30</f>
        <v>347</v>
      </c>
    </row>
    <row r="33" spans="1:2">
      <c r="A33" s="61"/>
      <c r="B33" s="62"/>
    </row>
    <row r="34" spans="1:2">
      <c r="A34" s="63"/>
      <c r="B34" s="21"/>
    </row>
    <row r="35" spans="1:2">
      <c r="A35" s="1135" t="s">
        <v>206</v>
      </c>
      <c r="B35" s="1135"/>
    </row>
    <row r="36" spans="1:2" ht="15.75" thickBot="1">
      <c r="A36" s="21"/>
      <c r="B36" s="21"/>
    </row>
    <row r="37" spans="1:2">
      <c r="A37" s="1133" t="s">
        <v>2</v>
      </c>
      <c r="B37" s="361" t="s">
        <v>207</v>
      </c>
    </row>
    <row r="38" spans="1:2" ht="15.75" thickBot="1">
      <c r="A38" s="1134"/>
      <c r="B38" s="252" t="s">
        <v>3</v>
      </c>
    </row>
    <row r="39" spans="1:2" ht="15.75" thickBot="1">
      <c r="A39" s="257" t="s">
        <v>199</v>
      </c>
      <c r="B39" s="258">
        <v>35</v>
      </c>
    </row>
    <row r="40" spans="1:2" ht="15.75" thickBot="1">
      <c r="A40" s="259" t="s">
        <v>71</v>
      </c>
      <c r="B40" s="260">
        <f>B39</f>
        <v>35</v>
      </c>
    </row>
    <row r="43" spans="1:2">
      <c r="A43" s="140"/>
    </row>
    <row r="44" spans="1:2">
      <c r="A44" s="140"/>
    </row>
  </sheetData>
  <mergeCells count="4">
    <mergeCell ref="A3:A4"/>
    <mergeCell ref="A37:A38"/>
    <mergeCell ref="A1:B1"/>
    <mergeCell ref="A35:B3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&amp;L&amp;"Times New Roman,Normál"&amp;8 12. melléklet a 24/2019. (XII.19.)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view="pageLayout" zoomScale="130" zoomScaleNormal="100" zoomScalePageLayoutView="130" workbookViewId="0">
      <selection activeCell="G21" sqref="G21"/>
    </sheetView>
  </sheetViews>
  <sheetFormatPr defaultRowHeight="15"/>
  <cols>
    <col min="1" max="1" width="4.7109375" style="648" customWidth="1"/>
    <col min="2" max="2" width="18.85546875" style="648" customWidth="1"/>
    <col min="3" max="3" width="22.42578125" style="648" customWidth="1"/>
    <col min="4" max="4" width="22.42578125" style="1051" customWidth="1"/>
    <col min="5" max="6" width="22.42578125" style="648" customWidth="1"/>
    <col min="7" max="16384" width="9.140625" style="648"/>
  </cols>
  <sheetData>
    <row r="1" spans="1:6">
      <c r="A1" s="1138" t="s">
        <v>464</v>
      </c>
      <c r="B1" s="1138"/>
      <c r="C1" s="1138"/>
      <c r="D1" s="1138"/>
      <c r="E1" s="1138"/>
      <c r="F1" s="1138"/>
    </row>
    <row r="2" spans="1:6">
      <c r="A2" s="1138" t="s">
        <v>799</v>
      </c>
      <c r="B2" s="1138"/>
      <c r="C2" s="1138"/>
      <c r="D2" s="1138"/>
      <c r="E2" s="1138"/>
      <c r="F2" s="1138"/>
    </row>
    <row r="3" spans="1:6">
      <c r="A3" s="1139"/>
      <c r="B3" s="1139"/>
      <c r="C3" s="1139"/>
      <c r="D3" s="1139"/>
      <c r="E3" s="1139"/>
      <c r="F3" s="1139"/>
    </row>
    <row r="4" spans="1:6" ht="42.75" customHeight="1">
      <c r="A4" s="1137" t="s">
        <v>2</v>
      </c>
      <c r="B4" s="1137"/>
      <c r="C4" s="649" t="s">
        <v>579</v>
      </c>
      <c r="D4" s="1050" t="s">
        <v>580</v>
      </c>
      <c r="E4" s="649" t="s">
        <v>800</v>
      </c>
      <c r="F4" s="649" t="s">
        <v>64</v>
      </c>
    </row>
    <row r="5" spans="1:6" ht="42.75" customHeight="1">
      <c r="A5" s="1137"/>
      <c r="B5" s="1137"/>
      <c r="C5" s="649" t="s">
        <v>801</v>
      </c>
      <c r="D5" s="1050" t="s">
        <v>802</v>
      </c>
      <c r="E5" s="649" t="s">
        <v>596</v>
      </c>
      <c r="F5" s="649"/>
    </row>
    <row r="6" spans="1:6" s="650" customFormat="1">
      <c r="A6" s="1137"/>
      <c r="B6" s="1137"/>
      <c r="C6" s="649" t="s">
        <v>4</v>
      </c>
      <c r="D6" s="1050" t="s">
        <v>4</v>
      </c>
      <c r="E6" s="649" t="s">
        <v>3</v>
      </c>
      <c r="F6" s="649" t="s">
        <v>4</v>
      </c>
    </row>
    <row r="7" spans="1:6" s="653" customFormat="1">
      <c r="A7" s="1136" t="s">
        <v>210</v>
      </c>
      <c r="B7" s="1136"/>
      <c r="C7" s="651">
        <v>35030</v>
      </c>
      <c r="D7" s="651">
        <v>393783</v>
      </c>
      <c r="E7" s="651">
        <v>543251</v>
      </c>
      <c r="F7" s="652">
        <f>C7+D7+E7</f>
        <v>972064</v>
      </c>
    </row>
    <row r="8" spans="1:6">
      <c r="A8" s="654"/>
      <c r="B8" s="655" t="s">
        <v>208</v>
      </c>
      <c r="C8" s="656">
        <v>35030</v>
      </c>
      <c r="D8" s="656">
        <v>71519</v>
      </c>
      <c r="E8" s="656">
        <v>0</v>
      </c>
      <c r="F8" s="652">
        <f t="shared" ref="F8:F27" si="0">C8+D8+E8</f>
        <v>106549</v>
      </c>
    </row>
    <row r="9" spans="1:6">
      <c r="A9" s="654"/>
      <c r="B9" s="655" t="s">
        <v>209</v>
      </c>
      <c r="C9" s="656">
        <v>254</v>
      </c>
      <c r="D9" s="656">
        <v>4039</v>
      </c>
      <c r="E9" s="656">
        <v>8561</v>
      </c>
      <c r="F9" s="652">
        <f t="shared" si="0"/>
        <v>12854</v>
      </c>
    </row>
    <row r="10" spans="1:6" s="653" customFormat="1">
      <c r="A10" s="1136" t="s">
        <v>211</v>
      </c>
      <c r="B10" s="1136"/>
      <c r="C10" s="651"/>
      <c r="D10" s="651">
        <f>D7-D8</f>
        <v>322264</v>
      </c>
      <c r="E10" s="651">
        <v>543251</v>
      </c>
      <c r="F10" s="652">
        <f t="shared" si="0"/>
        <v>865515</v>
      </c>
    </row>
    <row r="11" spans="1:6">
      <c r="A11" s="654"/>
      <c r="B11" s="655" t="s">
        <v>208</v>
      </c>
      <c r="C11" s="656"/>
      <c r="D11" s="656">
        <v>71519</v>
      </c>
      <c r="E11" s="656">
        <v>0</v>
      </c>
      <c r="F11" s="652">
        <f t="shared" si="0"/>
        <v>71519</v>
      </c>
    </row>
    <row r="12" spans="1:6">
      <c r="A12" s="654"/>
      <c r="B12" s="655" t="s">
        <v>209</v>
      </c>
      <c r="C12" s="656"/>
      <c r="D12" s="656">
        <v>3232</v>
      </c>
      <c r="E12" s="656">
        <v>8537</v>
      </c>
      <c r="F12" s="652">
        <f t="shared" si="0"/>
        <v>11769</v>
      </c>
    </row>
    <row r="13" spans="1:6" s="653" customFormat="1">
      <c r="A13" s="1136" t="s">
        <v>212</v>
      </c>
      <c r="B13" s="1136"/>
      <c r="C13" s="651"/>
      <c r="D13" s="651">
        <f>D10-D11</f>
        <v>250745</v>
      </c>
      <c r="E13" s="651">
        <v>543251</v>
      </c>
      <c r="F13" s="652">
        <f t="shared" si="0"/>
        <v>793996</v>
      </c>
    </row>
    <row r="14" spans="1:6">
      <c r="A14" s="654"/>
      <c r="B14" s="655" t="s">
        <v>208</v>
      </c>
      <c r="C14" s="656"/>
      <c r="D14" s="656">
        <v>71519</v>
      </c>
      <c r="E14" s="656">
        <v>108650</v>
      </c>
      <c r="F14" s="652">
        <f t="shared" si="0"/>
        <v>180169</v>
      </c>
    </row>
    <row r="15" spans="1:6">
      <c r="A15" s="654"/>
      <c r="B15" s="655" t="s">
        <v>209</v>
      </c>
      <c r="C15" s="656"/>
      <c r="D15" s="656">
        <v>2425</v>
      </c>
      <c r="E15" s="656">
        <v>7893</v>
      </c>
      <c r="F15" s="652">
        <f t="shared" si="0"/>
        <v>10318</v>
      </c>
    </row>
    <row r="16" spans="1:6" s="653" customFormat="1">
      <c r="A16" s="1136" t="s">
        <v>213</v>
      </c>
      <c r="B16" s="1136"/>
      <c r="C16" s="651"/>
      <c r="D16" s="651">
        <f>D13-D14</f>
        <v>179226</v>
      </c>
      <c r="E16" s="651">
        <v>434601</v>
      </c>
      <c r="F16" s="652">
        <f t="shared" si="0"/>
        <v>613827</v>
      </c>
    </row>
    <row r="17" spans="1:6">
      <c r="A17" s="654"/>
      <c r="B17" s="655" t="s">
        <v>208</v>
      </c>
      <c r="C17" s="656"/>
      <c r="D17" s="656">
        <v>71519</v>
      </c>
      <c r="E17" s="656">
        <v>108650</v>
      </c>
      <c r="F17" s="652">
        <f t="shared" si="0"/>
        <v>180169</v>
      </c>
    </row>
    <row r="18" spans="1:6">
      <c r="A18" s="654"/>
      <c r="B18" s="655" t="s">
        <v>209</v>
      </c>
      <c r="C18" s="656"/>
      <c r="D18" s="656">
        <v>1618</v>
      </c>
      <c r="E18" s="656">
        <v>6185</v>
      </c>
      <c r="F18" s="652">
        <f t="shared" si="0"/>
        <v>7803</v>
      </c>
    </row>
    <row r="19" spans="1:6" s="653" customFormat="1">
      <c r="A19" s="1136" t="s">
        <v>214</v>
      </c>
      <c r="B19" s="1136"/>
      <c r="C19" s="651"/>
      <c r="D19" s="651">
        <f>D16-D17</f>
        <v>107707</v>
      </c>
      <c r="E19" s="651">
        <v>325951</v>
      </c>
      <c r="F19" s="652">
        <f t="shared" si="0"/>
        <v>433658</v>
      </c>
    </row>
    <row r="20" spans="1:6">
      <c r="A20" s="654"/>
      <c r="B20" s="655" t="s">
        <v>208</v>
      </c>
      <c r="C20" s="656"/>
      <c r="D20" s="656">
        <v>71519</v>
      </c>
      <c r="E20" s="656">
        <v>108650</v>
      </c>
      <c r="F20" s="652">
        <f t="shared" si="0"/>
        <v>180169</v>
      </c>
    </row>
    <row r="21" spans="1:6">
      <c r="A21" s="654"/>
      <c r="B21" s="655" t="s">
        <v>209</v>
      </c>
      <c r="C21" s="656"/>
      <c r="D21" s="656">
        <v>910</v>
      </c>
      <c r="E21" s="656">
        <v>4492</v>
      </c>
      <c r="F21" s="652">
        <f t="shared" si="0"/>
        <v>5402</v>
      </c>
    </row>
    <row r="22" spans="1:6">
      <c r="A22" s="1136" t="s">
        <v>561</v>
      </c>
      <c r="B22" s="1136"/>
      <c r="C22" s="657"/>
      <c r="D22" s="658">
        <f>D19-D20</f>
        <v>36188</v>
      </c>
      <c r="E22" s="658">
        <v>217301</v>
      </c>
      <c r="F22" s="652">
        <f t="shared" si="0"/>
        <v>253489</v>
      </c>
    </row>
    <row r="23" spans="1:6">
      <c r="A23" s="657"/>
      <c r="B23" s="657" t="s">
        <v>208</v>
      </c>
      <c r="C23" s="657"/>
      <c r="D23" s="658">
        <v>36188</v>
      </c>
      <c r="E23" s="658">
        <v>108650</v>
      </c>
      <c r="F23" s="652">
        <f t="shared" si="0"/>
        <v>144838</v>
      </c>
    </row>
    <row r="24" spans="1:6">
      <c r="A24" s="657"/>
      <c r="B24" s="655" t="s">
        <v>209</v>
      </c>
      <c r="C24" s="657"/>
      <c r="D24" s="658">
        <v>104</v>
      </c>
      <c r="E24" s="658">
        <v>2771</v>
      </c>
      <c r="F24" s="652">
        <f t="shared" si="0"/>
        <v>2875</v>
      </c>
    </row>
    <row r="25" spans="1:6">
      <c r="A25" s="1136" t="s">
        <v>562</v>
      </c>
      <c r="B25" s="1136"/>
      <c r="C25" s="657"/>
      <c r="D25" s="658">
        <f>D22-D23</f>
        <v>0</v>
      </c>
      <c r="E25" s="658">
        <v>108651</v>
      </c>
      <c r="F25" s="652">
        <f t="shared" si="0"/>
        <v>108651</v>
      </c>
    </row>
    <row r="26" spans="1:6">
      <c r="A26" s="657"/>
      <c r="B26" s="657" t="s">
        <v>208</v>
      </c>
      <c r="C26" s="657"/>
      <c r="D26" s="658"/>
      <c r="E26" s="658">
        <v>108651</v>
      </c>
      <c r="F26" s="652">
        <f t="shared" si="0"/>
        <v>108651</v>
      </c>
    </row>
    <row r="27" spans="1:6">
      <c r="A27" s="657"/>
      <c r="B27" s="657" t="s">
        <v>209</v>
      </c>
      <c r="C27" s="657"/>
      <c r="D27" s="658"/>
      <c r="E27" s="658">
        <v>1063</v>
      </c>
      <c r="F27" s="652">
        <f t="shared" si="0"/>
        <v>1063</v>
      </c>
    </row>
    <row r="41" spans="2:2">
      <c r="B41" s="659"/>
    </row>
  </sheetData>
  <mergeCells count="11">
    <mergeCell ref="A4:B6"/>
    <mergeCell ref="A7:B7"/>
    <mergeCell ref="A1:F1"/>
    <mergeCell ref="A2:F2"/>
    <mergeCell ref="A3:F3"/>
    <mergeCell ref="A25:B25"/>
    <mergeCell ref="A10:B10"/>
    <mergeCell ref="A13:B13"/>
    <mergeCell ref="A16:B16"/>
    <mergeCell ref="A19:B19"/>
    <mergeCell ref="A22:B2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&amp;L&amp;"Times New Roman,Normál"&amp;8 13. melléklet 1 a 24/2019. (XII.19.)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view="pageLayout" zoomScaleNormal="100" workbookViewId="0">
      <selection activeCell="H14" sqref="H14"/>
    </sheetView>
  </sheetViews>
  <sheetFormatPr defaultRowHeight="15"/>
  <cols>
    <col min="1" max="1" width="23.28515625" style="308" customWidth="1"/>
    <col min="2" max="5" width="13.7109375" style="39" customWidth="1"/>
    <col min="6" max="6" width="13.28515625" style="39" customWidth="1"/>
    <col min="7" max="7" width="11.5703125" style="39" customWidth="1"/>
    <col min="8" max="8" width="12" style="39" customWidth="1"/>
    <col min="9" max="16384" width="9.140625" style="39"/>
  </cols>
  <sheetData>
    <row r="1" spans="1:8" ht="42.75" customHeight="1">
      <c r="A1" s="1140" t="s">
        <v>465</v>
      </c>
      <c r="B1" s="1141"/>
      <c r="C1" s="1141"/>
      <c r="D1" s="1141"/>
      <c r="E1" s="1141"/>
      <c r="F1" s="1142"/>
      <c r="G1" s="1142"/>
      <c r="H1" s="1142"/>
    </row>
    <row r="2" spans="1:8" ht="15.75" thickBot="1">
      <c r="A2" s="307"/>
      <c r="B2" s="64"/>
      <c r="C2" s="64"/>
      <c r="D2" s="64"/>
      <c r="E2" s="64"/>
    </row>
    <row r="3" spans="1:8" ht="29.25" thickBot="1">
      <c r="A3" s="317" t="s">
        <v>2</v>
      </c>
      <c r="B3" s="316" t="s">
        <v>601</v>
      </c>
      <c r="C3" s="65" t="s">
        <v>215</v>
      </c>
      <c r="D3" s="65" t="s">
        <v>216</v>
      </c>
      <c r="E3" s="65" t="s">
        <v>217</v>
      </c>
      <c r="F3" s="65" t="s">
        <v>463</v>
      </c>
      <c r="G3" s="65" t="s">
        <v>563</v>
      </c>
      <c r="H3" s="65" t="s">
        <v>564</v>
      </c>
    </row>
    <row r="4" spans="1:8" ht="15.75" thickBot="1">
      <c r="A4" s="409" t="s">
        <v>856</v>
      </c>
      <c r="B4" s="271">
        <v>2235000</v>
      </c>
      <c r="C4" s="144">
        <v>2025000</v>
      </c>
      <c r="D4" s="144">
        <v>2025000</v>
      </c>
      <c r="E4" s="144">
        <v>2025000</v>
      </c>
      <c r="F4" s="145">
        <v>2025000</v>
      </c>
      <c r="G4" s="145">
        <v>2025000</v>
      </c>
      <c r="H4" s="145">
        <v>2025000</v>
      </c>
    </row>
    <row r="5" spans="1:8" ht="29.25" thickBot="1">
      <c r="A5" s="409" t="s">
        <v>855</v>
      </c>
      <c r="B5" s="283">
        <f>B6+B7</f>
        <v>2000</v>
      </c>
      <c r="C5" s="410">
        <f>C6+C7</f>
        <v>11100</v>
      </c>
      <c r="D5" s="410">
        <f t="shared" ref="D5:H5" si="0">D6+D7</f>
        <v>10800</v>
      </c>
      <c r="E5" s="410">
        <f t="shared" si="0"/>
        <v>10000</v>
      </c>
      <c r="F5" s="410">
        <f t="shared" si="0"/>
        <v>10000</v>
      </c>
      <c r="G5" s="410">
        <f t="shared" si="0"/>
        <v>10000</v>
      </c>
      <c r="H5" s="410">
        <f t="shared" si="0"/>
        <v>100000</v>
      </c>
    </row>
    <row r="6" spans="1:8" ht="15.75" thickBot="1">
      <c r="A6" s="412" t="s">
        <v>87</v>
      </c>
      <c r="B6" s="284">
        <v>500</v>
      </c>
      <c r="C6" s="413">
        <v>1100</v>
      </c>
      <c r="D6" s="413">
        <v>800</v>
      </c>
      <c r="E6" s="413">
        <v>0</v>
      </c>
      <c r="F6" s="414">
        <v>0</v>
      </c>
      <c r="G6" s="414">
        <v>0</v>
      </c>
      <c r="H6" s="414">
        <v>0</v>
      </c>
    </row>
    <row r="7" spans="1:8" ht="15.75" thickBot="1">
      <c r="A7" s="412" t="s">
        <v>857</v>
      </c>
      <c r="B7" s="284">
        <v>1500</v>
      </c>
      <c r="C7" s="413">
        <v>10000</v>
      </c>
      <c r="D7" s="413">
        <v>10000</v>
      </c>
      <c r="E7" s="413">
        <v>10000</v>
      </c>
      <c r="F7" s="414">
        <v>10000</v>
      </c>
      <c r="G7" s="414">
        <v>10000</v>
      </c>
      <c r="H7" s="414">
        <v>100000</v>
      </c>
    </row>
    <row r="8" spans="1:8" ht="57.75" thickBot="1">
      <c r="A8" s="409" t="s">
        <v>218</v>
      </c>
      <c r="B8" s="284">
        <v>88191</v>
      </c>
      <c r="C8" s="413">
        <v>68000</v>
      </c>
      <c r="D8" s="413">
        <v>67000</v>
      </c>
      <c r="E8" s="413">
        <v>67000</v>
      </c>
      <c r="F8" s="414">
        <v>67000</v>
      </c>
      <c r="G8" s="414">
        <v>0</v>
      </c>
      <c r="H8" s="414">
        <v>0</v>
      </c>
    </row>
    <row r="9" spans="1:8" ht="100.5" thickBot="1">
      <c r="A9" s="409" t="s">
        <v>219</v>
      </c>
      <c r="B9" s="283">
        <v>1397914</v>
      </c>
      <c r="C9" s="410">
        <v>66000</v>
      </c>
      <c r="D9" s="410">
        <v>66000</v>
      </c>
      <c r="E9" s="410">
        <v>66000</v>
      </c>
      <c r="F9" s="411">
        <v>66000</v>
      </c>
      <c r="G9" s="411">
        <v>0</v>
      </c>
      <c r="H9" s="411">
        <v>0</v>
      </c>
    </row>
    <row r="10" spans="1:8" ht="15.75" thickBot="1">
      <c r="A10" s="409" t="s">
        <v>220</v>
      </c>
      <c r="B10" s="283">
        <f>B4+B5+B8+B9</f>
        <v>3723105</v>
      </c>
      <c r="C10" s="410">
        <f>C4+C5+C8+C9</f>
        <v>2170100</v>
      </c>
      <c r="D10" s="410">
        <f t="shared" ref="D10:H10" si="1">D4+D5+D8+D9</f>
        <v>2168800</v>
      </c>
      <c r="E10" s="410">
        <f>E4+E5+E8+E9</f>
        <v>2168000</v>
      </c>
      <c r="F10" s="410">
        <f t="shared" si="1"/>
        <v>2168000</v>
      </c>
      <c r="G10" s="410">
        <f t="shared" si="1"/>
        <v>2035000</v>
      </c>
      <c r="H10" s="410">
        <f t="shared" si="1"/>
        <v>2125000</v>
      </c>
    </row>
    <row r="11" spans="1:8" ht="15.75" thickBot="1">
      <c r="A11" s="409" t="s">
        <v>221</v>
      </c>
      <c r="B11" s="283">
        <f>B10/2</f>
        <v>1861552.5</v>
      </c>
      <c r="C11" s="410">
        <f>C10/2</f>
        <v>1085050</v>
      </c>
      <c r="D11" s="410">
        <f t="shared" ref="D11:H11" si="2">D10/2</f>
        <v>1084400</v>
      </c>
      <c r="E11" s="410">
        <f t="shared" si="2"/>
        <v>1084000</v>
      </c>
      <c r="F11" s="410">
        <f t="shared" si="2"/>
        <v>1084000</v>
      </c>
      <c r="G11" s="410">
        <f t="shared" si="2"/>
        <v>1017500</v>
      </c>
      <c r="H11" s="410">
        <f t="shared" si="2"/>
        <v>1062500</v>
      </c>
    </row>
    <row r="12" spans="1:8" ht="57.75" thickBot="1">
      <c r="A12" s="409" t="s">
        <v>858</v>
      </c>
      <c r="B12" s="283">
        <f>B13</f>
        <v>119403</v>
      </c>
      <c r="C12" s="410">
        <f>C13</f>
        <v>83288</v>
      </c>
      <c r="D12" s="410">
        <f>D13</f>
        <v>190487</v>
      </c>
      <c r="E12" s="410">
        <f>E13</f>
        <v>187972</v>
      </c>
      <c r="F12" s="410">
        <f t="shared" ref="F12:G12" si="3">F13</f>
        <v>185571</v>
      </c>
      <c r="G12" s="410">
        <f t="shared" si="3"/>
        <v>147713</v>
      </c>
      <c r="H12" s="411">
        <f>H13</f>
        <v>109714</v>
      </c>
    </row>
    <row r="13" spans="1:8" ht="45.75" thickBot="1">
      <c r="A13" s="412" t="s">
        <v>222</v>
      </c>
      <c r="B13" s="284">
        <v>119403</v>
      </c>
      <c r="C13" s="413">
        <v>83288</v>
      </c>
      <c r="D13" s="413">
        <v>190487</v>
      </c>
      <c r="E13" s="413">
        <v>187972</v>
      </c>
      <c r="F13" s="414">
        <v>185571</v>
      </c>
      <c r="G13" s="414">
        <v>147713</v>
      </c>
      <c r="H13" s="414">
        <v>109714</v>
      </c>
    </row>
    <row r="14" spans="1:8" ht="72" thickBot="1">
      <c r="A14" s="409" t="s">
        <v>223</v>
      </c>
      <c r="B14" s="410">
        <f t="shared" ref="B14" si="4">B15</f>
        <v>0</v>
      </c>
      <c r="C14" s="410">
        <f t="shared" ref="C14" si="5">C15</f>
        <v>0</v>
      </c>
      <c r="D14" s="410">
        <f t="shared" ref="D14" si="6">D15</f>
        <v>0</v>
      </c>
      <c r="E14" s="410">
        <f t="shared" ref="E14" si="7">E15</f>
        <v>0</v>
      </c>
      <c r="F14" s="410">
        <f t="shared" ref="F14" si="8">F15</f>
        <v>0</v>
      </c>
      <c r="G14" s="410">
        <f t="shared" ref="G14:H14" si="9">G15</f>
        <v>0</v>
      </c>
      <c r="H14" s="410">
        <f t="shared" si="9"/>
        <v>0</v>
      </c>
    </row>
    <row r="15" spans="1:8" ht="60.75" thickBot="1">
      <c r="A15" s="412" t="s">
        <v>223</v>
      </c>
      <c r="B15" s="283">
        <v>0</v>
      </c>
      <c r="C15" s="410">
        <v>0</v>
      </c>
      <c r="D15" s="410">
        <v>0</v>
      </c>
      <c r="E15" s="410">
        <v>0</v>
      </c>
      <c r="F15" s="414">
        <v>0</v>
      </c>
      <c r="G15" s="414">
        <v>0</v>
      </c>
      <c r="H15" s="414">
        <v>0</v>
      </c>
    </row>
    <row r="16" spans="1:8" ht="42.75">
      <c r="A16" s="409" t="s">
        <v>224</v>
      </c>
      <c r="B16" s="283">
        <f t="shared" ref="B16:H16" si="10">B12+B14</f>
        <v>119403</v>
      </c>
      <c r="C16" s="410">
        <f>C12+C14</f>
        <v>83288</v>
      </c>
      <c r="D16" s="410">
        <f t="shared" si="10"/>
        <v>190487</v>
      </c>
      <c r="E16" s="410">
        <f t="shared" si="10"/>
        <v>187972</v>
      </c>
      <c r="F16" s="410">
        <f t="shared" si="10"/>
        <v>185571</v>
      </c>
      <c r="G16" s="410">
        <f t="shared" si="10"/>
        <v>147713</v>
      </c>
      <c r="H16" s="410">
        <f t="shared" si="10"/>
        <v>109714</v>
      </c>
    </row>
    <row r="17" spans="1:8" ht="57.75" thickBot="1">
      <c r="A17" s="344" t="s">
        <v>859</v>
      </c>
      <c r="B17" s="415">
        <f t="shared" ref="B17:H17" si="11">B11-B16</f>
        <v>1742149.5</v>
      </c>
      <c r="C17" s="416">
        <f>C11-C16</f>
        <v>1001762</v>
      </c>
      <c r="D17" s="416">
        <f t="shared" si="11"/>
        <v>893913</v>
      </c>
      <c r="E17" s="416">
        <f t="shared" si="11"/>
        <v>896028</v>
      </c>
      <c r="F17" s="416">
        <f t="shared" si="11"/>
        <v>898429</v>
      </c>
      <c r="G17" s="416">
        <f t="shared" si="11"/>
        <v>869787</v>
      </c>
      <c r="H17" s="416">
        <f t="shared" si="11"/>
        <v>952786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&amp;L&amp;"Times New Roman,Normál"13. melléklet 2 a 24/2019.(XII.19.)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view="pageLayout" zoomScale="98" zoomScaleNormal="100" zoomScalePageLayoutView="98" workbookViewId="0">
      <selection activeCell="A17" sqref="A17"/>
    </sheetView>
  </sheetViews>
  <sheetFormatPr defaultRowHeight="15"/>
  <cols>
    <col min="1" max="1" width="66.5703125" style="335" customWidth="1"/>
    <col min="2" max="2" width="12.140625" customWidth="1"/>
    <col min="3" max="3" width="17.5703125" customWidth="1"/>
    <col min="4" max="4" width="19.5703125" customWidth="1"/>
    <col min="5" max="5" width="21.5703125" customWidth="1"/>
    <col min="6" max="6" width="15.140625" customWidth="1"/>
    <col min="7" max="7" width="17" customWidth="1"/>
  </cols>
  <sheetData>
    <row r="1" spans="1:9" ht="34.5" customHeight="1">
      <c r="A1" s="1143" t="s">
        <v>814</v>
      </c>
      <c r="B1" s="1143"/>
    </row>
    <row r="2" spans="1:9" ht="15.75" thickBot="1"/>
    <row r="3" spans="1:9" ht="15.75" thickBot="1">
      <c r="A3" s="262" t="s">
        <v>2</v>
      </c>
      <c r="B3" s="406" t="s">
        <v>3</v>
      </c>
      <c r="C3" s="285"/>
      <c r="D3" s="285"/>
      <c r="E3" s="285"/>
      <c r="F3" s="285"/>
      <c r="G3" s="285"/>
      <c r="H3" s="285"/>
      <c r="I3" s="285"/>
    </row>
    <row r="4" spans="1:9" ht="28.5">
      <c r="A4" s="336" t="s">
        <v>544</v>
      </c>
      <c r="B4" s="407">
        <v>24174</v>
      </c>
      <c r="C4" s="285"/>
      <c r="D4" s="285"/>
      <c r="E4" s="285"/>
      <c r="F4" s="285"/>
      <c r="G4" s="285"/>
      <c r="H4" s="285"/>
      <c r="I4" s="285"/>
    </row>
    <row r="5" spans="1:9" ht="28.5">
      <c r="A5" s="336" t="s">
        <v>508</v>
      </c>
      <c r="B5" s="407">
        <v>69850</v>
      </c>
      <c r="C5" s="285"/>
      <c r="D5" s="285"/>
      <c r="E5" s="285"/>
      <c r="F5" s="285"/>
      <c r="G5" s="285"/>
      <c r="H5" s="285"/>
      <c r="I5" s="285"/>
    </row>
    <row r="6" spans="1:9" ht="28.5">
      <c r="A6" s="336" t="s">
        <v>545</v>
      </c>
      <c r="B6" s="407">
        <v>116684</v>
      </c>
      <c r="C6" s="565"/>
      <c r="D6" s="285"/>
      <c r="E6" s="285"/>
      <c r="F6" s="285"/>
      <c r="G6" s="285"/>
      <c r="H6" s="285"/>
      <c r="I6" s="285"/>
    </row>
    <row r="7" spans="1:9" ht="28.5">
      <c r="A7" s="336" t="s">
        <v>510</v>
      </c>
      <c r="B7" s="407">
        <v>89734</v>
      </c>
      <c r="C7" s="285"/>
      <c r="D7" s="285"/>
      <c r="E7" s="285"/>
      <c r="F7" s="285"/>
      <c r="G7" s="285"/>
      <c r="H7" s="285"/>
      <c r="I7" s="285"/>
    </row>
    <row r="8" spans="1:9" ht="28.5">
      <c r="A8" s="336" t="s">
        <v>501</v>
      </c>
      <c r="B8" s="407">
        <v>15930</v>
      </c>
      <c r="C8" s="285"/>
      <c r="D8" s="285"/>
      <c r="E8" s="285"/>
      <c r="F8" s="285"/>
      <c r="G8" s="285"/>
      <c r="H8" s="285"/>
      <c r="I8" s="285"/>
    </row>
    <row r="9" spans="1:9" ht="29.25" thickBot="1">
      <c r="A9" s="336" t="s">
        <v>500</v>
      </c>
      <c r="B9" s="407">
        <v>12147</v>
      </c>
      <c r="C9" s="565"/>
      <c r="D9" s="285"/>
      <c r="E9" s="285"/>
      <c r="F9" s="285"/>
      <c r="G9" s="285"/>
      <c r="H9" s="285"/>
      <c r="I9" s="285"/>
    </row>
    <row r="10" spans="1:9" ht="15.75" thickBot="1">
      <c r="A10" s="261" t="s">
        <v>71</v>
      </c>
      <c r="B10" s="408">
        <f>SUM(B4:B9)</f>
        <v>328519</v>
      </c>
      <c r="C10" s="285"/>
      <c r="D10" s="285"/>
      <c r="E10" s="285"/>
      <c r="F10" s="285"/>
      <c r="G10" s="285"/>
      <c r="H10" s="285"/>
      <c r="I10" s="285"/>
    </row>
    <row r="11" spans="1:9">
      <c r="G11" s="286"/>
    </row>
    <row r="13" spans="1:9">
      <c r="A13" s="337"/>
    </row>
    <row r="14" spans="1:9">
      <c r="A14" s="337"/>
    </row>
  </sheetData>
  <mergeCells count="1">
    <mergeCell ref="A1:B1"/>
  </mergeCells>
  <pageMargins left="0.7" right="0.7" top="0.75" bottom="0.75" header="0.3" footer="0.3"/>
  <pageSetup paperSize="9" orientation="portrait" r:id="rId1"/>
  <headerFooter>
    <oddHeader>&amp;L&amp;"Times New Roman,Normál"&amp;8 13. melléklet 3 a 24/2019. (XII.19.)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view="pageLayout" zoomScale="90" zoomScaleNormal="100" zoomScaleSheetLayoutView="80" zoomScalePageLayoutView="90" workbookViewId="0">
      <selection activeCell="G22" sqref="G22"/>
    </sheetView>
  </sheetViews>
  <sheetFormatPr defaultRowHeight="15"/>
  <cols>
    <col min="1" max="1" width="42.28515625" style="67" customWidth="1"/>
    <col min="2" max="2" width="10.140625" style="68" customWidth="1"/>
    <col min="3" max="3" width="42.28515625" style="67" customWidth="1"/>
    <col min="4" max="6" width="10.140625" style="68" customWidth="1"/>
    <col min="7" max="7" width="10.140625" style="69" customWidth="1"/>
    <col min="8" max="16384" width="9.140625" style="67"/>
  </cols>
  <sheetData>
    <row r="1" spans="1:7">
      <c r="A1" s="1144" t="s">
        <v>795</v>
      </c>
      <c r="B1" s="1144"/>
      <c r="C1" s="1144"/>
      <c r="D1" s="1144"/>
      <c r="E1" s="1144"/>
      <c r="F1" s="1144"/>
      <c r="G1" s="1144"/>
    </row>
    <row r="2" spans="1:7" ht="15.75" thickBot="1"/>
    <row r="3" spans="1:7" ht="15.75" thickBot="1">
      <c r="A3" s="1145" t="s">
        <v>98</v>
      </c>
      <c r="B3" s="1147"/>
      <c r="C3" s="1145" t="s">
        <v>517</v>
      </c>
      <c r="D3" s="1146"/>
      <c r="E3" s="1146"/>
      <c r="F3" s="1146"/>
      <c r="G3" s="1147"/>
    </row>
    <row r="4" spans="1:7" s="72" customFormat="1" ht="30.75" customHeight="1">
      <c r="A4" s="1148" t="s">
        <v>796</v>
      </c>
      <c r="B4" s="1150" t="s">
        <v>3</v>
      </c>
      <c r="C4" s="1148" t="s">
        <v>796</v>
      </c>
      <c r="D4" s="382" t="s">
        <v>334</v>
      </c>
      <c r="E4" s="382" t="s">
        <v>59</v>
      </c>
      <c r="F4" s="381" t="s">
        <v>60</v>
      </c>
      <c r="G4" s="835" t="s">
        <v>71</v>
      </c>
    </row>
    <row r="5" spans="1:7" s="72" customFormat="1" ht="15.75" thickBot="1">
      <c r="A5" s="1149"/>
      <c r="B5" s="1151"/>
      <c r="C5" s="1149"/>
      <c r="D5" s="363" t="s">
        <v>3</v>
      </c>
      <c r="E5" s="400" t="s">
        <v>3</v>
      </c>
      <c r="F5" s="400" t="s">
        <v>3</v>
      </c>
      <c r="G5" s="345" t="s">
        <v>3</v>
      </c>
    </row>
    <row r="6" spans="1:7" s="72" customFormat="1" ht="30">
      <c r="A6" s="836" t="s">
        <v>513</v>
      </c>
      <c r="B6" s="837">
        <v>27000</v>
      </c>
      <c r="C6" s="836" t="s">
        <v>513</v>
      </c>
      <c r="D6" s="844"/>
      <c r="E6" s="844">
        <v>27000</v>
      </c>
      <c r="F6" s="844"/>
      <c r="G6" s="845">
        <f t="shared" ref="G6:G18" si="0">D6+F6+E6</f>
        <v>27000</v>
      </c>
    </row>
    <row r="7" spans="1:7" s="72" customFormat="1" ht="30">
      <c r="A7" s="838" t="s">
        <v>507</v>
      </c>
      <c r="B7" s="837">
        <v>169425</v>
      </c>
      <c r="C7" s="838" t="s">
        <v>507</v>
      </c>
      <c r="D7" s="846"/>
      <c r="E7" s="846">
        <v>169425</v>
      </c>
      <c r="F7" s="847"/>
      <c r="G7" s="845">
        <f t="shared" si="0"/>
        <v>169425</v>
      </c>
    </row>
    <row r="8" spans="1:7" s="72" customFormat="1" ht="45">
      <c r="A8" s="839" t="s">
        <v>508</v>
      </c>
      <c r="B8" s="837">
        <v>124460</v>
      </c>
      <c r="C8" s="839" t="s">
        <v>508</v>
      </c>
      <c r="D8" s="848"/>
      <c r="E8" s="848">
        <v>124460</v>
      </c>
      <c r="F8" s="847"/>
      <c r="G8" s="845">
        <f t="shared" si="0"/>
        <v>124460</v>
      </c>
    </row>
    <row r="9" spans="1:7" s="72" customFormat="1" ht="30">
      <c r="A9" s="840" t="s">
        <v>509</v>
      </c>
      <c r="B9" s="837">
        <v>27926</v>
      </c>
      <c r="C9" s="840" t="s">
        <v>509</v>
      </c>
      <c r="D9" s="849"/>
      <c r="E9" s="849">
        <v>27926</v>
      </c>
      <c r="F9" s="847"/>
      <c r="G9" s="845">
        <f t="shared" si="0"/>
        <v>27926</v>
      </c>
    </row>
    <row r="10" spans="1:7" s="72" customFormat="1" ht="30">
      <c r="A10" s="841" t="s">
        <v>510</v>
      </c>
      <c r="B10" s="837">
        <v>311300</v>
      </c>
      <c r="C10" s="841" t="s">
        <v>510</v>
      </c>
      <c r="D10" s="850"/>
      <c r="E10" s="850">
        <v>311300</v>
      </c>
      <c r="F10" s="847"/>
      <c r="G10" s="845">
        <f t="shared" si="0"/>
        <v>311300</v>
      </c>
    </row>
    <row r="11" spans="1:7" s="72" customFormat="1" ht="30">
      <c r="A11" s="838" t="s">
        <v>461</v>
      </c>
      <c r="B11" s="837">
        <v>136646</v>
      </c>
      <c r="C11" s="838" t="s">
        <v>461</v>
      </c>
      <c r="D11" s="846"/>
      <c r="E11" s="846"/>
      <c r="F11" s="847">
        <v>136646</v>
      </c>
      <c r="G11" s="845">
        <f t="shared" si="0"/>
        <v>136646</v>
      </c>
    </row>
    <row r="12" spans="1:7" s="72" customFormat="1" ht="45">
      <c r="A12" s="838" t="s">
        <v>497</v>
      </c>
      <c r="B12" s="837">
        <v>90000</v>
      </c>
      <c r="C12" s="838" t="s">
        <v>497</v>
      </c>
      <c r="D12" s="846"/>
      <c r="E12" s="846">
        <v>90000</v>
      </c>
      <c r="F12" s="847"/>
      <c r="G12" s="845">
        <f t="shared" si="0"/>
        <v>90000</v>
      </c>
    </row>
    <row r="13" spans="1:7" s="72" customFormat="1" ht="60">
      <c r="A13" s="842" t="s">
        <v>455</v>
      </c>
      <c r="B13" s="837">
        <v>4161</v>
      </c>
      <c r="C13" s="842" t="s">
        <v>455</v>
      </c>
      <c r="D13" s="846"/>
      <c r="E13" s="846">
        <v>4161</v>
      </c>
      <c r="F13" s="847"/>
      <c r="G13" s="845">
        <f t="shared" si="0"/>
        <v>4161</v>
      </c>
    </row>
    <row r="14" spans="1:7" s="72" customFormat="1" ht="30">
      <c r="A14" s="842" t="s">
        <v>456</v>
      </c>
      <c r="B14" s="837">
        <v>363888</v>
      </c>
      <c r="C14" s="842" t="s">
        <v>456</v>
      </c>
      <c r="D14" s="846"/>
      <c r="E14" s="846">
        <v>363888</v>
      </c>
      <c r="F14" s="847"/>
      <c r="G14" s="845">
        <f t="shared" si="0"/>
        <v>363888</v>
      </c>
    </row>
    <row r="15" spans="1:7" s="72" customFormat="1" ht="30">
      <c r="A15" s="838" t="s">
        <v>458</v>
      </c>
      <c r="B15" s="837">
        <v>37218</v>
      </c>
      <c r="C15" s="838" t="s">
        <v>458</v>
      </c>
      <c r="D15" s="846"/>
      <c r="E15" s="846">
        <v>37218</v>
      </c>
      <c r="F15" s="847"/>
      <c r="G15" s="845">
        <f t="shared" si="0"/>
        <v>37218</v>
      </c>
    </row>
    <row r="16" spans="1:7" s="72" customFormat="1" ht="30">
      <c r="A16" s="838" t="s">
        <v>457</v>
      </c>
      <c r="B16" s="837">
        <v>33627</v>
      </c>
      <c r="C16" s="838" t="s">
        <v>457</v>
      </c>
      <c r="D16" s="846"/>
      <c r="E16" s="846">
        <v>33627</v>
      </c>
      <c r="F16" s="847"/>
      <c r="G16" s="845">
        <f t="shared" si="0"/>
        <v>33627</v>
      </c>
    </row>
    <row r="17" spans="1:7" s="72" customFormat="1" ht="60">
      <c r="A17" s="843" t="s">
        <v>583</v>
      </c>
      <c r="B17" s="837">
        <v>224517</v>
      </c>
      <c r="C17" s="843" t="s">
        <v>583</v>
      </c>
      <c r="D17" s="846"/>
      <c r="E17" s="846"/>
      <c r="F17" s="847">
        <v>224517</v>
      </c>
      <c r="G17" s="845">
        <f t="shared" si="0"/>
        <v>224517</v>
      </c>
    </row>
    <row r="18" spans="1:7" s="72" customFormat="1">
      <c r="A18" s="843" t="s">
        <v>748</v>
      </c>
      <c r="B18" s="837">
        <v>101040</v>
      </c>
      <c r="C18" s="843" t="s">
        <v>748</v>
      </c>
      <c r="D18" s="846"/>
      <c r="E18" s="846"/>
      <c r="F18" s="847">
        <v>101040</v>
      </c>
      <c r="G18" s="845">
        <f t="shared" si="0"/>
        <v>101040</v>
      </c>
    </row>
    <row r="19" spans="1:7" ht="15.75" thickBot="1">
      <c r="A19" s="401" t="s">
        <v>71</v>
      </c>
      <c r="B19" s="402">
        <f>SUM(B6:B18)</f>
        <v>1651208</v>
      </c>
      <c r="C19" s="401" t="s">
        <v>71</v>
      </c>
      <c r="D19" s="263">
        <f>SUM(D6:D17)</f>
        <v>0</v>
      </c>
      <c r="E19" s="263">
        <f>SUM(E6:E17)</f>
        <v>1189005</v>
      </c>
      <c r="F19" s="263">
        <f>SUM(F6:F18)</f>
        <v>462203</v>
      </c>
      <c r="G19" s="402">
        <f>D19+E19+F19</f>
        <v>1651208</v>
      </c>
    </row>
    <row r="20" spans="1:7">
      <c r="A20" s="74"/>
      <c r="B20" s="75"/>
      <c r="C20" s="74"/>
      <c r="D20" s="76"/>
      <c r="E20" s="76"/>
      <c r="F20" s="75"/>
      <c r="G20" s="75"/>
    </row>
    <row r="22" spans="1:7">
      <c r="A22" s="140"/>
    </row>
    <row r="23" spans="1:7">
      <c r="A23" s="140"/>
    </row>
  </sheetData>
  <sortState ref="A6:R14">
    <sortCondition ref="H6:H14"/>
  </sortState>
  <mergeCells count="6">
    <mergeCell ref="A1:G1"/>
    <mergeCell ref="C3:G3"/>
    <mergeCell ref="A4:A5"/>
    <mergeCell ref="B4:B5"/>
    <mergeCell ref="C4:C5"/>
    <mergeCell ref="A3:B3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&amp;L&amp;"Times New Roman,Normál"&amp;8 14. melléklet 1 a 24/2019. (XII.19.)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view="pageLayout" zoomScale="95" zoomScaleNormal="100" zoomScalePageLayoutView="95" workbookViewId="0">
      <selection activeCell="C4" sqref="C4:C5"/>
    </sheetView>
  </sheetViews>
  <sheetFormatPr defaultRowHeight="15"/>
  <cols>
    <col min="1" max="1" width="42.28515625" style="67" customWidth="1"/>
    <col min="2" max="2" width="10" style="68" customWidth="1"/>
    <col min="3" max="3" width="42.28515625" style="67" customWidth="1"/>
    <col min="4" max="4" width="11.5703125" style="68" bestFit="1" customWidth="1"/>
    <col min="5" max="5" width="10" style="68" customWidth="1"/>
    <col min="6" max="6" width="10.5703125" style="68" bestFit="1" customWidth="1"/>
    <col min="7" max="7" width="10" style="68" customWidth="1"/>
    <col min="8" max="8" width="12.5703125" style="68" customWidth="1"/>
    <col min="9" max="9" width="10" style="69" customWidth="1"/>
    <col min="10" max="10" width="10.5703125" style="66" customWidth="1"/>
    <col min="11" max="16384" width="9.140625" style="67"/>
  </cols>
  <sheetData>
    <row r="1" spans="1:10">
      <c r="A1" s="1144" t="s">
        <v>797</v>
      </c>
      <c r="B1" s="1144"/>
      <c r="C1" s="1144"/>
      <c r="D1" s="1144"/>
      <c r="E1" s="1144"/>
      <c r="F1" s="1144"/>
      <c r="G1" s="1144"/>
      <c r="H1" s="1144"/>
      <c r="I1" s="1144"/>
    </row>
    <row r="2" spans="1:10" ht="15.75" thickBot="1"/>
    <row r="3" spans="1:10" ht="15.75" thickBot="1">
      <c r="A3" s="1145" t="s">
        <v>98</v>
      </c>
      <c r="B3" s="1152"/>
      <c r="C3" s="1145" t="s">
        <v>517</v>
      </c>
      <c r="D3" s="1146"/>
      <c r="E3" s="1146"/>
      <c r="F3" s="1146"/>
      <c r="G3" s="1146"/>
      <c r="H3" s="1146"/>
      <c r="I3" s="1147"/>
      <c r="J3" s="70"/>
    </row>
    <row r="4" spans="1:10" s="72" customFormat="1" ht="63" customHeight="1">
      <c r="A4" s="1148" t="s">
        <v>772</v>
      </c>
      <c r="B4" s="1155" t="s">
        <v>3</v>
      </c>
      <c r="C4" s="1153" t="s">
        <v>772</v>
      </c>
      <c r="D4" s="397" t="s">
        <v>6</v>
      </c>
      <c r="E4" s="398" t="s">
        <v>225</v>
      </c>
      <c r="F4" s="397" t="s">
        <v>12</v>
      </c>
      <c r="G4" s="397" t="s">
        <v>334</v>
      </c>
      <c r="H4" s="397" t="s">
        <v>600</v>
      </c>
      <c r="I4" s="399" t="s">
        <v>71</v>
      </c>
      <c r="J4" s="71"/>
    </row>
    <row r="5" spans="1:10" s="72" customFormat="1" ht="15.75" thickBot="1">
      <c r="A5" s="1149"/>
      <c r="B5" s="1156"/>
      <c r="C5" s="1154"/>
      <c r="D5" s="400" t="s">
        <v>3</v>
      </c>
      <c r="E5" s="400" t="s">
        <v>3</v>
      </c>
      <c r="F5" s="400" t="s">
        <v>3</v>
      </c>
      <c r="G5" s="400" t="s">
        <v>3</v>
      </c>
      <c r="H5" s="400" t="s">
        <v>3</v>
      </c>
      <c r="I5" s="345" t="s">
        <v>3</v>
      </c>
      <c r="J5" s="71"/>
    </row>
    <row r="6" spans="1:10" s="72" customFormat="1" ht="30">
      <c r="A6" s="403" t="s">
        <v>513</v>
      </c>
      <c r="B6" s="549">
        <v>46700</v>
      </c>
      <c r="C6" s="403" t="s">
        <v>513</v>
      </c>
      <c r="D6" s="404"/>
      <c r="E6" s="404"/>
      <c r="F6" s="404">
        <v>46700</v>
      </c>
      <c r="G6" s="404"/>
      <c r="H6" s="404"/>
      <c r="I6" s="405">
        <f t="shared" ref="I6:I19" si="0">D6+E6+F6+G6</f>
        <v>46700</v>
      </c>
      <c r="J6" s="73"/>
    </row>
    <row r="7" spans="1:10" s="72" customFormat="1" ht="45">
      <c r="A7" s="266" t="s">
        <v>514</v>
      </c>
      <c r="B7" s="550">
        <v>50000</v>
      </c>
      <c r="C7" s="266" t="s">
        <v>514</v>
      </c>
      <c r="D7" s="267"/>
      <c r="E7" s="267"/>
      <c r="F7" s="267">
        <v>50000</v>
      </c>
      <c r="G7" s="268"/>
      <c r="H7" s="268"/>
      <c r="I7" s="265">
        <f t="shared" si="0"/>
        <v>50000</v>
      </c>
      <c r="J7" s="73"/>
    </row>
    <row r="8" spans="1:10" s="72" customFormat="1" ht="30">
      <c r="A8" s="266" t="s">
        <v>515</v>
      </c>
      <c r="B8" s="550">
        <v>10</v>
      </c>
      <c r="C8" s="266" t="s">
        <v>515</v>
      </c>
      <c r="D8" s="267">
        <v>10</v>
      </c>
      <c r="E8" s="267"/>
      <c r="F8" s="267"/>
      <c r="G8" s="267"/>
      <c r="H8" s="267"/>
      <c r="I8" s="265">
        <f t="shared" si="0"/>
        <v>10</v>
      </c>
      <c r="J8" s="73"/>
    </row>
    <row r="9" spans="1:10" s="72" customFormat="1" ht="30">
      <c r="A9" s="266" t="s">
        <v>511</v>
      </c>
      <c r="B9" s="550">
        <v>500</v>
      </c>
      <c r="C9" s="266" t="s">
        <v>511</v>
      </c>
      <c r="D9" s="267"/>
      <c r="E9" s="267"/>
      <c r="F9" s="267">
        <v>500</v>
      </c>
      <c r="G9" s="267"/>
      <c r="H9" s="267"/>
      <c r="I9" s="265">
        <f t="shared" si="0"/>
        <v>500</v>
      </c>
      <c r="J9" s="73"/>
    </row>
    <row r="10" spans="1:10" s="72" customFormat="1" ht="30">
      <c r="A10" s="266" t="s">
        <v>512</v>
      </c>
      <c r="B10" s="550">
        <v>8000</v>
      </c>
      <c r="C10" s="266" t="s">
        <v>512</v>
      </c>
      <c r="D10" s="267">
        <v>4720</v>
      </c>
      <c r="E10" s="267">
        <v>1000</v>
      </c>
      <c r="F10" s="267">
        <v>2280</v>
      </c>
      <c r="G10" s="267"/>
      <c r="H10" s="267"/>
      <c r="I10" s="265">
        <f t="shared" si="0"/>
        <v>8000</v>
      </c>
      <c r="J10" s="73"/>
    </row>
    <row r="11" spans="1:10" s="72" customFormat="1" ht="30">
      <c r="A11" s="395" t="s">
        <v>507</v>
      </c>
      <c r="B11" s="550">
        <v>5444</v>
      </c>
      <c r="C11" s="395" t="s">
        <v>507</v>
      </c>
      <c r="D11" s="269">
        <v>1169</v>
      </c>
      <c r="E11" s="269">
        <v>205</v>
      </c>
      <c r="F11" s="269">
        <v>4070</v>
      </c>
      <c r="G11" s="269"/>
      <c r="H11" s="269"/>
      <c r="I11" s="265">
        <f t="shared" si="0"/>
        <v>5444</v>
      </c>
      <c r="J11" s="73"/>
    </row>
    <row r="12" spans="1:10" s="72" customFormat="1" ht="45">
      <c r="A12" s="150" t="s">
        <v>508</v>
      </c>
      <c r="B12" s="550">
        <v>7100</v>
      </c>
      <c r="C12" s="150" t="s">
        <v>508</v>
      </c>
      <c r="D12" s="264">
        <v>1353</v>
      </c>
      <c r="E12" s="264">
        <v>213</v>
      </c>
      <c r="F12" s="264">
        <v>5534</v>
      </c>
      <c r="G12" s="269"/>
      <c r="H12" s="269"/>
      <c r="I12" s="265">
        <f t="shared" si="0"/>
        <v>7100</v>
      </c>
      <c r="J12" s="73"/>
    </row>
    <row r="13" spans="1:10" s="72" customFormat="1" ht="30">
      <c r="A13" s="396" t="s">
        <v>509</v>
      </c>
      <c r="B13" s="550">
        <v>5694</v>
      </c>
      <c r="C13" s="396" t="s">
        <v>509</v>
      </c>
      <c r="D13" s="264">
        <v>340</v>
      </c>
      <c r="E13" s="264"/>
      <c r="F13" s="264">
        <v>5354</v>
      </c>
      <c r="G13" s="270"/>
      <c r="H13" s="270"/>
      <c r="I13" s="265">
        <f t="shared" si="0"/>
        <v>5694</v>
      </c>
      <c r="J13" s="73"/>
    </row>
    <row r="14" spans="1:10" s="72" customFormat="1" ht="30">
      <c r="A14" s="396" t="s">
        <v>510</v>
      </c>
      <c r="B14" s="550">
        <v>9438</v>
      </c>
      <c r="C14" s="396" t="s">
        <v>510</v>
      </c>
      <c r="D14" s="270">
        <v>1483</v>
      </c>
      <c r="E14" s="270">
        <v>319</v>
      </c>
      <c r="F14" s="270">
        <v>7636</v>
      </c>
      <c r="G14" s="270"/>
      <c r="H14" s="270"/>
      <c r="I14" s="265">
        <f t="shared" si="0"/>
        <v>9438</v>
      </c>
      <c r="J14" s="73"/>
    </row>
    <row r="15" spans="1:10" s="72" customFormat="1" ht="60">
      <c r="A15" s="456" t="s">
        <v>455</v>
      </c>
      <c r="B15" s="551">
        <v>2308</v>
      </c>
      <c r="C15" s="456" t="s">
        <v>455</v>
      </c>
      <c r="D15" s="264"/>
      <c r="E15" s="264"/>
      <c r="F15" s="264">
        <v>2308</v>
      </c>
      <c r="G15" s="268"/>
      <c r="H15" s="268"/>
      <c r="I15" s="265">
        <f t="shared" si="0"/>
        <v>2308</v>
      </c>
      <c r="J15" s="73"/>
    </row>
    <row r="16" spans="1:10" s="72" customFormat="1" ht="30">
      <c r="A16" s="456" t="s">
        <v>456</v>
      </c>
      <c r="B16" s="551">
        <v>21888</v>
      </c>
      <c r="C16" s="456" t="s">
        <v>456</v>
      </c>
      <c r="D16" s="264">
        <v>6219</v>
      </c>
      <c r="E16" s="264">
        <v>1565</v>
      </c>
      <c r="F16" s="264">
        <v>14104</v>
      </c>
      <c r="G16" s="268"/>
      <c r="H16" s="268"/>
      <c r="I16" s="265">
        <f t="shared" si="0"/>
        <v>21888</v>
      </c>
      <c r="J16" s="73"/>
    </row>
    <row r="17" spans="1:10" s="72" customFormat="1" ht="30">
      <c r="A17" s="541" t="s">
        <v>458</v>
      </c>
      <c r="B17" s="550">
        <v>2219</v>
      </c>
      <c r="C17" s="541" t="s">
        <v>458</v>
      </c>
      <c r="D17" s="267">
        <v>840</v>
      </c>
      <c r="E17" s="267">
        <v>197</v>
      </c>
      <c r="F17" s="267">
        <v>1182</v>
      </c>
      <c r="G17" s="267"/>
      <c r="H17" s="267"/>
      <c r="I17" s="265">
        <f t="shared" si="0"/>
        <v>2219</v>
      </c>
      <c r="J17" s="73"/>
    </row>
    <row r="18" spans="1:10" s="72" customFormat="1" ht="30">
      <c r="A18" s="541" t="s">
        <v>457</v>
      </c>
      <c r="B18" s="550">
        <v>1088</v>
      </c>
      <c r="C18" s="541" t="s">
        <v>457</v>
      </c>
      <c r="D18" s="267">
        <v>307</v>
      </c>
      <c r="E18" s="267">
        <v>112</v>
      </c>
      <c r="F18" s="267">
        <v>669</v>
      </c>
      <c r="G18" s="267"/>
      <c r="H18" s="267"/>
      <c r="I18" s="265">
        <f t="shared" si="0"/>
        <v>1088</v>
      </c>
      <c r="J18" s="73"/>
    </row>
    <row r="19" spans="1:10" s="72" customFormat="1">
      <c r="A19" s="548" t="s">
        <v>584</v>
      </c>
      <c r="B19" s="550">
        <v>97510</v>
      </c>
      <c r="C19" s="266" t="s">
        <v>585</v>
      </c>
      <c r="D19" s="267"/>
      <c r="E19" s="267"/>
      <c r="F19" s="267"/>
      <c r="G19" s="267">
        <v>97510</v>
      </c>
      <c r="H19" s="267"/>
      <c r="I19" s="265">
        <f t="shared" si="0"/>
        <v>97510</v>
      </c>
      <c r="J19" s="73"/>
    </row>
    <row r="20" spans="1:10" ht="15.75" thickBot="1">
      <c r="A20" s="401" t="s">
        <v>71</v>
      </c>
      <c r="B20" s="552">
        <f>SUM(B6:B19)</f>
        <v>257899</v>
      </c>
      <c r="C20" s="401" t="s">
        <v>71</v>
      </c>
      <c r="D20" s="263">
        <f t="shared" ref="D20:I20" si="1">SUM(D6:D19)</f>
        <v>16441</v>
      </c>
      <c r="E20" s="263">
        <f t="shared" si="1"/>
        <v>3611</v>
      </c>
      <c r="F20" s="263">
        <f t="shared" si="1"/>
        <v>140337</v>
      </c>
      <c r="G20" s="263">
        <f t="shared" si="1"/>
        <v>97510</v>
      </c>
      <c r="H20" s="263">
        <f t="shared" si="1"/>
        <v>0</v>
      </c>
      <c r="I20" s="402">
        <f t="shared" si="1"/>
        <v>257899</v>
      </c>
      <c r="J20" s="70"/>
    </row>
    <row r="21" spans="1:10">
      <c r="A21" s="74"/>
      <c r="B21" s="76"/>
      <c r="C21" s="74"/>
      <c r="D21" s="76"/>
      <c r="E21" s="76"/>
      <c r="F21" s="76"/>
      <c r="G21" s="76"/>
      <c r="H21" s="76"/>
      <c r="I21" s="75"/>
      <c r="J21" s="70"/>
    </row>
    <row r="22" spans="1:10">
      <c r="A22" s="68"/>
    </row>
    <row r="23" spans="1:10">
      <c r="A23" s="140"/>
    </row>
    <row r="24" spans="1:10">
      <c r="A24" s="140"/>
    </row>
  </sheetData>
  <sortState ref="A6:Z16">
    <sortCondition ref="K6:K16"/>
  </sortState>
  <mergeCells count="6">
    <mergeCell ref="C3:I3"/>
    <mergeCell ref="A1:I1"/>
    <mergeCell ref="A3:B3"/>
    <mergeCell ref="A4:A5"/>
    <mergeCell ref="C4:C5"/>
    <mergeCell ref="B4:B5"/>
  </mergeCells>
  <pageMargins left="0.70866141732283472" right="0.70866141732283472" top="0.74803149606299213" bottom="0.74803149606299213" header="0.31496062992125984" footer="0.31496062992125984"/>
  <pageSetup paperSize="9" scale="82" fitToHeight="2" orientation="landscape" r:id="rId1"/>
  <headerFooter>
    <oddHeader>&amp;L&amp;"Times New Roman,Normál"&amp;8 14. melléklet 2 a 24/2019. (XII.19.)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view="pageLayout" zoomScaleNormal="100" workbookViewId="0">
      <selection activeCell="A40" sqref="A40"/>
    </sheetView>
  </sheetViews>
  <sheetFormatPr defaultRowHeight="15"/>
  <cols>
    <col min="1" max="1" width="65.140625" style="7" bestFit="1" customWidth="1"/>
    <col min="2" max="2" width="15.5703125" style="5" customWidth="1"/>
    <col min="3" max="3" width="6.5703125" style="5" customWidth="1"/>
    <col min="4" max="4" width="65.28515625" style="7" customWidth="1"/>
    <col min="5" max="5" width="15.5703125" style="5" customWidth="1"/>
    <col min="6" max="6" width="14.85546875" style="5" customWidth="1"/>
    <col min="7" max="16384" width="9.140625" style="5"/>
  </cols>
  <sheetData>
    <row r="1" spans="1:5" s="6" customFormat="1" ht="15" customHeight="1">
      <c r="A1" s="1057" t="s">
        <v>608</v>
      </c>
      <c r="B1" s="1057"/>
      <c r="C1" s="1057"/>
      <c r="D1" s="1057"/>
      <c r="E1" s="1057"/>
    </row>
    <row r="2" spans="1:5" ht="15.75" thickBot="1"/>
    <row r="3" spans="1:5">
      <c r="A3" s="1053" t="s">
        <v>0</v>
      </c>
      <c r="B3" s="1054"/>
      <c r="C3" s="604"/>
      <c r="D3" s="1055" t="s">
        <v>1</v>
      </c>
      <c r="E3" s="1056"/>
    </row>
    <row r="4" spans="1:5" ht="15.75" thickBot="1">
      <c r="A4" s="633" t="s">
        <v>2</v>
      </c>
      <c r="B4" s="634" t="s">
        <v>3</v>
      </c>
      <c r="C4" s="604"/>
      <c r="D4" s="633" t="s">
        <v>2</v>
      </c>
      <c r="E4" s="634" t="s">
        <v>3</v>
      </c>
    </row>
    <row r="5" spans="1:5">
      <c r="A5" s="641" t="s">
        <v>5</v>
      </c>
      <c r="B5" s="636">
        <f>'3. melléklet'!E6</f>
        <v>1269779.419</v>
      </c>
      <c r="C5" s="606"/>
      <c r="D5" s="635" t="s">
        <v>6</v>
      </c>
      <c r="E5" s="636">
        <f>'4. melléklet'!G6</f>
        <v>1852786</v>
      </c>
    </row>
    <row r="6" spans="1:5">
      <c r="A6" s="175"/>
      <c r="B6" s="613"/>
      <c r="C6" s="606"/>
      <c r="D6" s="179"/>
      <c r="E6" s="613"/>
    </row>
    <row r="7" spans="1:5">
      <c r="A7" s="175" t="s">
        <v>7</v>
      </c>
      <c r="B7" s="626">
        <f>SUM(B8:B9)</f>
        <v>404378</v>
      </c>
      <c r="C7" s="608"/>
      <c r="D7" s="165" t="s">
        <v>9</v>
      </c>
      <c r="E7" s="613">
        <f>'4. melléklet'!G7</f>
        <v>342937</v>
      </c>
    </row>
    <row r="8" spans="1:5" s="88" customFormat="1">
      <c r="A8" s="176" t="s">
        <v>327</v>
      </c>
      <c r="B8" s="614">
        <f>'3. melléklet'!E9</f>
        <v>0</v>
      </c>
      <c r="C8" s="607"/>
      <c r="D8" s="186"/>
      <c r="E8" s="614"/>
    </row>
    <row r="9" spans="1:5">
      <c r="A9" s="177" t="s">
        <v>8</v>
      </c>
      <c r="B9" s="615">
        <f>'3. melléklet'!E10</f>
        <v>404378</v>
      </c>
      <c r="C9" s="609"/>
      <c r="D9" s="179" t="s">
        <v>12</v>
      </c>
      <c r="E9" s="613">
        <f>'4. melléklet'!G8</f>
        <v>2410608</v>
      </c>
    </row>
    <row r="10" spans="1:5">
      <c r="A10" s="175"/>
      <c r="B10" s="613"/>
      <c r="C10" s="606"/>
      <c r="D10" s="179"/>
      <c r="E10" s="613"/>
    </row>
    <row r="11" spans="1:5">
      <c r="A11" s="175" t="s">
        <v>11</v>
      </c>
      <c r="B11" s="626">
        <f>SUM(B12:B16)</f>
        <v>2350000</v>
      </c>
      <c r="C11" s="608"/>
      <c r="D11" s="179" t="s">
        <v>14</v>
      </c>
      <c r="E11" s="626">
        <f>'4. melléklet'!G9</f>
        <v>64850</v>
      </c>
    </row>
    <row r="12" spans="1:5">
      <c r="A12" s="177" t="s">
        <v>13</v>
      </c>
      <c r="B12" s="615">
        <f>'3. melléklet'!E14</f>
        <v>530000</v>
      </c>
      <c r="C12" s="609"/>
      <c r="D12" s="179"/>
      <c r="E12" s="615"/>
    </row>
    <row r="13" spans="1:5">
      <c r="A13" s="177" t="s">
        <v>78</v>
      </c>
      <c r="B13" s="615">
        <f>'3. melléklet'!E17</f>
        <v>1815000</v>
      </c>
      <c r="C13" s="609"/>
      <c r="D13" s="179" t="s">
        <v>16</v>
      </c>
      <c r="E13" s="626">
        <f>SUM(E14:E18)</f>
        <v>1323721</v>
      </c>
    </row>
    <row r="14" spans="1:5">
      <c r="A14" s="177" t="s">
        <v>15</v>
      </c>
      <c r="B14" s="615">
        <f>'3. melléklet'!E21</f>
        <v>3000</v>
      </c>
      <c r="C14" s="609"/>
      <c r="D14" s="166" t="s">
        <v>17</v>
      </c>
      <c r="E14" s="615">
        <f>'4. melléklet'!G11</f>
        <v>0</v>
      </c>
    </row>
    <row r="15" spans="1:5">
      <c r="A15" s="177" t="s">
        <v>328</v>
      </c>
      <c r="B15" s="615">
        <f>'3. melléklet'!E22</f>
        <v>1500</v>
      </c>
      <c r="C15" s="609"/>
      <c r="D15" s="166" t="s">
        <v>18</v>
      </c>
      <c r="E15" s="615">
        <f>'4. melléklet'!G12</f>
        <v>18000</v>
      </c>
    </row>
    <row r="16" spans="1:5">
      <c r="A16" s="177" t="s">
        <v>87</v>
      </c>
      <c r="B16" s="615">
        <f>'3. melléklet'!E23</f>
        <v>500</v>
      </c>
      <c r="C16" s="609"/>
      <c r="D16" s="166" t="s">
        <v>19</v>
      </c>
      <c r="E16" s="615">
        <f>'4. melléklet'!G13</f>
        <v>20000</v>
      </c>
    </row>
    <row r="17" spans="1:5" ht="15" customHeight="1">
      <c r="A17" s="177"/>
      <c r="B17" s="615"/>
      <c r="C17" s="609"/>
      <c r="D17" s="166" t="s">
        <v>21</v>
      </c>
      <c r="E17" s="615">
        <f>'4. melléklet'!G14</f>
        <v>1182077</v>
      </c>
    </row>
    <row r="18" spans="1:5">
      <c r="A18" s="175" t="s">
        <v>20</v>
      </c>
      <c r="B18" s="626">
        <f>SUM(B19:B26)</f>
        <v>2371771</v>
      </c>
      <c r="C18" s="608"/>
      <c r="D18" s="166" t="s">
        <v>23</v>
      </c>
      <c r="E18" s="615">
        <f>SUM(E19:E21)</f>
        <v>103644</v>
      </c>
    </row>
    <row r="19" spans="1:5" ht="30">
      <c r="A19" s="177" t="s">
        <v>65</v>
      </c>
      <c r="B19" s="614">
        <f>'3. melléklet'!E25</f>
        <v>1402614</v>
      </c>
      <c r="C19" s="607"/>
      <c r="D19" s="310" t="s">
        <v>25</v>
      </c>
      <c r="E19" s="637">
        <f>'4. melléklet'!G16</f>
        <v>30000</v>
      </c>
    </row>
    <row r="20" spans="1:5">
      <c r="A20" s="177" t="s">
        <v>24</v>
      </c>
      <c r="B20" s="614">
        <f>'3. melléklet'!E26</f>
        <v>255073</v>
      </c>
      <c r="C20" s="607"/>
      <c r="D20" s="311" t="s">
        <v>27</v>
      </c>
      <c r="E20" s="637">
        <f>'4. melléklet'!G17</f>
        <v>73644</v>
      </c>
    </row>
    <row r="21" spans="1:5">
      <c r="A21" s="177" t="s">
        <v>26</v>
      </c>
      <c r="B21" s="614">
        <f>'3. melléklet'!E27</f>
        <v>28516</v>
      </c>
      <c r="C21" s="607"/>
      <c r="D21" s="312" t="s">
        <v>29</v>
      </c>
      <c r="E21" s="617">
        <f>'4. melléklet'!G18</f>
        <v>0</v>
      </c>
    </row>
    <row r="22" spans="1:5">
      <c r="A22" s="177" t="s">
        <v>28</v>
      </c>
      <c r="B22" s="614">
        <f>'3. melléklet'!E28</f>
        <v>88191</v>
      </c>
      <c r="C22" s="607"/>
      <c r="D22" s="312"/>
      <c r="E22" s="617"/>
    </row>
    <row r="23" spans="1:5">
      <c r="A23" s="177" t="s">
        <v>30</v>
      </c>
      <c r="B23" s="614">
        <f>'3. melléklet'!E29</f>
        <v>100617</v>
      </c>
      <c r="C23" s="607"/>
      <c r="D23" s="312"/>
      <c r="E23" s="615"/>
    </row>
    <row r="24" spans="1:5">
      <c r="A24" s="177" t="s">
        <v>31</v>
      </c>
      <c r="B24" s="614">
        <f>'3. melléklet'!E30</f>
        <v>429193</v>
      </c>
      <c r="C24" s="607"/>
      <c r="D24" s="313"/>
      <c r="E24" s="617"/>
    </row>
    <row r="25" spans="1:5">
      <c r="A25" s="177" t="s">
        <v>329</v>
      </c>
      <c r="B25" s="614">
        <f>'3. melléklet'!E31</f>
        <v>14811</v>
      </c>
      <c r="C25" s="607"/>
      <c r="D25" s="314"/>
      <c r="E25" s="617"/>
    </row>
    <row r="26" spans="1:5">
      <c r="A26" s="178" t="s">
        <v>33</v>
      </c>
      <c r="B26" s="614">
        <f>'3. melléklet'!E32</f>
        <v>52756</v>
      </c>
      <c r="C26" s="607"/>
      <c r="D26" s="314"/>
      <c r="E26" s="615"/>
    </row>
    <row r="27" spans="1:5">
      <c r="A27" s="178"/>
      <c r="B27" s="615"/>
      <c r="C27" s="609"/>
      <c r="D27" s="314"/>
      <c r="E27" s="615"/>
    </row>
    <row r="28" spans="1:5">
      <c r="A28" s="175" t="s">
        <v>54</v>
      </c>
      <c r="B28" s="647">
        <f>B29</f>
        <v>756474</v>
      </c>
      <c r="C28" s="645"/>
      <c r="D28" s="187"/>
      <c r="E28" s="615"/>
    </row>
    <row r="29" spans="1:5">
      <c r="A29" s="177" t="s">
        <v>55</v>
      </c>
      <c r="B29" s="615">
        <v>756474</v>
      </c>
      <c r="C29" s="609"/>
      <c r="D29" s="187"/>
      <c r="E29" s="615"/>
    </row>
    <row r="30" spans="1:5" ht="17.25" customHeight="1">
      <c r="A30" s="177"/>
      <c r="B30" s="615"/>
      <c r="C30" s="609"/>
      <c r="D30" s="187"/>
      <c r="E30" s="615"/>
    </row>
    <row r="31" spans="1:5">
      <c r="A31" s="175" t="s">
        <v>38</v>
      </c>
      <c r="B31" s="613">
        <f>SUM(B32:B33)</f>
        <v>77549</v>
      </c>
      <c r="C31" s="606"/>
      <c r="D31" s="187"/>
      <c r="E31" s="615"/>
    </row>
    <row r="32" spans="1:5">
      <c r="A32" s="177" t="s">
        <v>19</v>
      </c>
      <c r="B32" s="615">
        <f>'3. melléklet'!E37</f>
        <v>77549</v>
      </c>
      <c r="C32" s="609"/>
      <c r="D32" s="187"/>
      <c r="E32" s="615"/>
    </row>
    <row r="33" spans="1:7">
      <c r="A33" s="177" t="s">
        <v>8</v>
      </c>
      <c r="B33" s="615">
        <f>'3. melléklet'!E38</f>
        <v>0</v>
      </c>
      <c r="C33" s="609"/>
      <c r="D33" s="187"/>
      <c r="E33" s="615"/>
    </row>
    <row r="34" spans="1:7" ht="15.75" thickBot="1">
      <c r="A34" s="627"/>
      <c r="B34" s="630"/>
      <c r="C34" s="609"/>
      <c r="D34" s="638"/>
      <c r="E34" s="630"/>
    </row>
    <row r="35" spans="1:7" ht="15.75" thickBot="1">
      <c r="A35" s="309" t="s">
        <v>51</v>
      </c>
      <c r="B35" s="620">
        <f>B5+B7+B11+B18-B28+B31</f>
        <v>5717003.4189999998</v>
      </c>
      <c r="C35" s="606"/>
      <c r="D35" s="160" t="s">
        <v>52</v>
      </c>
      <c r="E35" s="620">
        <f>E5+E7+E9+E11+E13</f>
        <v>5994902</v>
      </c>
      <c r="F35" s="90"/>
    </row>
    <row r="36" spans="1:7">
      <c r="A36" s="130" t="s">
        <v>550</v>
      </c>
      <c r="B36" s="639"/>
      <c r="C36" s="606"/>
      <c r="D36" s="130"/>
      <c r="E36" s="639"/>
    </row>
    <row r="37" spans="1:7">
      <c r="A37" s="179" t="s">
        <v>326</v>
      </c>
      <c r="B37" s="642">
        <f>'14. melléklet 2'!B20+'14. melléklet 3'!B10</f>
        <v>277899</v>
      </c>
      <c r="C37" s="631"/>
      <c r="D37" s="179"/>
      <c r="E37" s="613"/>
    </row>
    <row r="38" spans="1:7">
      <c r="A38" s="179" t="s">
        <v>871</v>
      </c>
      <c r="B38" s="626">
        <f>'3. melléklet'!E44</f>
        <v>2000000</v>
      </c>
      <c r="C38" s="608"/>
      <c r="D38" s="179" t="s">
        <v>794</v>
      </c>
      <c r="E38" s="613">
        <f>'4. melléklet'!G29</f>
        <v>2000000</v>
      </c>
      <c r="F38" s="319"/>
      <c r="G38" s="319"/>
    </row>
    <row r="39" spans="1:7">
      <c r="A39" s="180" t="s">
        <v>56</v>
      </c>
      <c r="B39" s="613">
        <f>E39</f>
        <v>2252621</v>
      </c>
      <c r="C39" s="606"/>
      <c r="D39" s="179" t="s">
        <v>57</v>
      </c>
      <c r="E39" s="640">
        <f>'4. melléklet'!G31-E67</f>
        <v>2252621</v>
      </c>
      <c r="F39" s="320"/>
      <c r="G39" s="321"/>
    </row>
    <row r="40" spans="1:7">
      <c r="A40" s="180" t="s">
        <v>85</v>
      </c>
      <c r="B40" s="613">
        <f>'3. melléklet'!E45</f>
        <v>60000</v>
      </c>
      <c r="C40" s="606"/>
      <c r="D40" s="179" t="s">
        <v>96</v>
      </c>
      <c r="E40" s="613">
        <f>'4. melléklet'!G30</f>
        <v>60000</v>
      </c>
    </row>
    <row r="41" spans="1:7" ht="15.75" thickBot="1">
      <c r="A41" s="643"/>
      <c r="B41" s="619"/>
      <c r="C41" s="606"/>
      <c r="D41" s="618"/>
      <c r="E41" s="619"/>
    </row>
    <row r="42" spans="1:7" ht="15.75" thickBot="1">
      <c r="A42" s="20" t="s">
        <v>50</v>
      </c>
      <c r="B42" s="620">
        <f>SUM(B37:B40)</f>
        <v>4590520</v>
      </c>
      <c r="C42" s="606"/>
      <c r="D42" s="160" t="s">
        <v>53</v>
      </c>
      <c r="E42" s="620">
        <f>SUM(E38:E40)</f>
        <v>4312621</v>
      </c>
    </row>
    <row r="43" spans="1:7" ht="15.75" thickBot="1">
      <c r="A43" s="121"/>
      <c r="B43" s="623"/>
      <c r="C43" s="606"/>
      <c r="D43" s="121"/>
      <c r="E43" s="623"/>
    </row>
    <row r="44" spans="1:7" ht="15.75" thickBot="1">
      <c r="A44" s="9" t="s">
        <v>92</v>
      </c>
      <c r="B44" s="644">
        <f>B35+B42</f>
        <v>10307523.419</v>
      </c>
      <c r="C44" s="632"/>
      <c r="D44" s="9" t="s">
        <v>95</v>
      </c>
      <c r="E44" s="620">
        <f>E35+E42</f>
        <v>10307523</v>
      </c>
      <c r="F44" s="90">
        <f>B44-E44</f>
        <v>0.41899999976158142</v>
      </c>
      <c r="G44" s="90"/>
    </row>
    <row r="45" spans="1:7" s="6" customFormat="1" ht="15" customHeight="1">
      <c r="A45" s="10"/>
      <c r="B45" s="11"/>
      <c r="C45" s="11"/>
      <c r="D45" s="10"/>
      <c r="E45" s="5"/>
    </row>
    <row r="46" spans="1:7" ht="14.25" customHeight="1">
      <c r="A46" s="1057" t="s">
        <v>609</v>
      </c>
      <c r="B46" s="1057"/>
      <c r="C46" s="1057"/>
      <c r="D46" s="1057"/>
      <c r="E46" s="1057"/>
    </row>
    <row r="47" spans="1:7" s="6" customFormat="1" ht="15.75" thickBot="1">
      <c r="A47" s="7"/>
      <c r="B47" s="5"/>
      <c r="C47" s="5"/>
      <c r="D47" s="12"/>
      <c r="E47" s="5"/>
    </row>
    <row r="48" spans="1:7" s="6" customFormat="1" ht="14.25">
      <c r="A48" s="1053" t="s">
        <v>0</v>
      </c>
      <c r="B48" s="1054"/>
      <c r="C48" s="604"/>
      <c r="D48" s="1055" t="s">
        <v>1</v>
      </c>
      <c r="E48" s="1056"/>
    </row>
    <row r="49" spans="1:5" s="6" customFormat="1" thickBot="1">
      <c r="A49" s="8" t="s">
        <v>2</v>
      </c>
      <c r="B49" s="610" t="s">
        <v>3</v>
      </c>
      <c r="C49" s="604"/>
      <c r="D49" s="8" t="s">
        <v>2</v>
      </c>
      <c r="E49" s="610" t="s">
        <v>4</v>
      </c>
    </row>
    <row r="50" spans="1:5" s="6" customFormat="1" ht="14.25">
      <c r="A50" s="184" t="s">
        <v>5</v>
      </c>
      <c r="B50" s="624">
        <f>'15. melléklet'!G92</f>
        <v>80000</v>
      </c>
      <c r="C50" s="605"/>
      <c r="D50" s="185"/>
      <c r="E50" s="611"/>
    </row>
    <row r="51" spans="1:5" s="6" customFormat="1" ht="14.25">
      <c r="A51" s="182"/>
      <c r="B51" s="612"/>
      <c r="C51" s="604"/>
      <c r="D51" s="182"/>
      <c r="E51" s="612"/>
    </row>
    <row r="52" spans="1:5" s="6" customFormat="1" ht="14.25">
      <c r="A52" s="175" t="s">
        <v>35</v>
      </c>
      <c r="B52" s="613">
        <f>SUM(B53:B54)</f>
        <v>300</v>
      </c>
      <c r="C52" s="606"/>
      <c r="D52" s="179" t="s">
        <v>59</v>
      </c>
      <c r="E52" s="613">
        <f>'4. melléklet'!G19</f>
        <v>2196341</v>
      </c>
    </row>
    <row r="53" spans="1:5" s="88" customFormat="1">
      <c r="A53" s="183" t="s">
        <v>36</v>
      </c>
      <c r="B53" s="625">
        <f>'3. melléklet'!E34</f>
        <v>300</v>
      </c>
      <c r="C53" s="607"/>
      <c r="D53" s="186"/>
      <c r="E53" s="614"/>
    </row>
    <row r="54" spans="1:5" s="6" customFormat="1">
      <c r="A54" s="177" t="s">
        <v>330</v>
      </c>
      <c r="B54" s="614">
        <f>'3. melléklet'!E35</f>
        <v>0</v>
      </c>
      <c r="C54" s="607"/>
      <c r="D54" s="179" t="s">
        <v>60</v>
      </c>
      <c r="E54" s="613">
        <f>'4. melléklet'!G20</f>
        <v>602340</v>
      </c>
    </row>
    <row r="55" spans="1:5" s="6" customFormat="1">
      <c r="A55" s="177"/>
      <c r="B55" s="614"/>
      <c r="C55" s="607"/>
      <c r="D55" s="179"/>
      <c r="E55" s="613"/>
    </row>
    <row r="56" spans="1:5" s="6" customFormat="1" ht="14.25">
      <c r="A56" s="175" t="s">
        <v>61</v>
      </c>
      <c r="B56" s="626">
        <f>'3. melléklet'!E12</f>
        <v>113219</v>
      </c>
      <c r="C56" s="608"/>
      <c r="D56" s="181" t="s">
        <v>62</v>
      </c>
      <c r="E56" s="613">
        <f>SUM(E57:E59)</f>
        <v>25100</v>
      </c>
    </row>
    <row r="57" spans="1:5">
      <c r="A57" s="177"/>
      <c r="B57" s="614"/>
      <c r="C57" s="607"/>
      <c r="D57" s="187" t="s">
        <v>19</v>
      </c>
      <c r="E57" s="614">
        <f>'4. melléklet'!G22</f>
        <v>1200</v>
      </c>
    </row>
    <row r="58" spans="1:5" ht="31.5" customHeight="1">
      <c r="A58" s="175" t="s">
        <v>43</v>
      </c>
      <c r="B58" s="613">
        <f>SUM(B59:B60)</f>
        <v>610</v>
      </c>
      <c r="C58" s="606"/>
      <c r="D58" s="187" t="s">
        <v>39</v>
      </c>
      <c r="E58" s="614">
        <f>'4. melléklet'!G23</f>
        <v>13900</v>
      </c>
    </row>
    <row r="59" spans="1:5">
      <c r="A59" s="177" t="s">
        <v>19</v>
      </c>
      <c r="B59" s="615">
        <f>'3. melléklet'!E40</f>
        <v>610</v>
      </c>
      <c r="C59" s="609"/>
      <c r="D59" s="187" t="s">
        <v>40</v>
      </c>
      <c r="E59" s="615">
        <f>SUM(E60:E61)</f>
        <v>10000</v>
      </c>
    </row>
    <row r="60" spans="1:5">
      <c r="A60" s="177" t="s">
        <v>63</v>
      </c>
      <c r="B60" s="615">
        <f>'3. melléklet'!E41</f>
        <v>0</v>
      </c>
      <c r="C60" s="609"/>
      <c r="D60" s="188" t="s">
        <v>42</v>
      </c>
      <c r="E60" s="616">
        <f>'4. melléklet'!G25</f>
        <v>10000</v>
      </c>
    </row>
    <row r="61" spans="1:5">
      <c r="A61" s="175"/>
      <c r="B61" s="613"/>
      <c r="C61" s="606"/>
      <c r="D61" s="188" t="s">
        <v>546</v>
      </c>
      <c r="E61" s="616">
        <f>'4. melléklet'!G26</f>
        <v>0</v>
      </c>
    </row>
    <row r="62" spans="1:5">
      <c r="A62" s="175" t="s">
        <v>66</v>
      </c>
      <c r="B62" s="626">
        <f>B63</f>
        <v>756474</v>
      </c>
      <c r="C62" s="608"/>
      <c r="D62" s="188"/>
      <c r="E62" s="616"/>
    </row>
    <row r="63" spans="1:5">
      <c r="A63" s="177" t="s">
        <v>55</v>
      </c>
      <c r="B63" s="615">
        <f>B29</f>
        <v>756474</v>
      </c>
      <c r="C63" s="609"/>
      <c r="D63" s="189"/>
      <c r="E63" s="617"/>
    </row>
    <row r="64" spans="1:5" ht="15.75" thickBot="1">
      <c r="A64" s="627"/>
      <c r="B64" s="619"/>
      <c r="C64" s="606"/>
      <c r="D64" s="618"/>
      <c r="E64" s="619"/>
    </row>
    <row r="65" spans="1:5" ht="15.75" thickBot="1">
      <c r="A65" s="25" t="s">
        <v>51</v>
      </c>
      <c r="B65" s="620">
        <f>B52+B56+B58+B62+B50</f>
        <v>950603</v>
      </c>
      <c r="C65" s="606"/>
      <c r="D65" s="160" t="s">
        <v>52</v>
      </c>
      <c r="E65" s="620">
        <f>E52+E54+E56</f>
        <v>2823781</v>
      </c>
    </row>
    <row r="66" spans="1:5">
      <c r="A66" s="129" t="s">
        <v>550</v>
      </c>
      <c r="B66" s="628"/>
      <c r="C66" s="608"/>
      <c r="D66" s="340"/>
      <c r="E66" s="621"/>
    </row>
    <row r="67" spans="1:5">
      <c r="A67" s="129" t="s">
        <v>56</v>
      </c>
      <c r="B67" s="628">
        <f>'3. melléklet'!E47-'2. melléklet'!B39</f>
        <v>124650</v>
      </c>
      <c r="C67" s="608"/>
      <c r="D67" s="341" t="s">
        <v>56</v>
      </c>
      <c r="E67" s="622">
        <f>124900-250</f>
        <v>124650</v>
      </c>
    </row>
    <row r="68" spans="1:5" ht="15.75" customHeight="1">
      <c r="A68" s="129" t="s">
        <v>804</v>
      </c>
      <c r="B68" s="628">
        <f>'3. melléklet'!E43</f>
        <v>328519</v>
      </c>
      <c r="C68" s="608"/>
      <c r="D68" s="179" t="s">
        <v>44</v>
      </c>
      <c r="E68" s="613">
        <f>'4. melléklet'!G28</f>
        <v>106549</v>
      </c>
    </row>
    <row r="69" spans="1:5" ht="15.75" customHeight="1">
      <c r="A69" s="175" t="s">
        <v>67</v>
      </c>
      <c r="B69" s="613">
        <f>B70</f>
        <v>1651208</v>
      </c>
      <c r="C69" s="606"/>
      <c r="D69" s="179"/>
      <c r="E69" s="613"/>
    </row>
    <row r="70" spans="1:5">
      <c r="A70" s="176" t="s">
        <v>45</v>
      </c>
      <c r="B70" s="614">
        <f>'3. melléklet'!E46-'2. melléklet'!B37</f>
        <v>1651208</v>
      </c>
      <c r="C70" s="607"/>
      <c r="D70" s="179"/>
      <c r="E70" s="613"/>
    </row>
    <row r="71" spans="1:5" ht="15.75" thickBot="1">
      <c r="A71" s="629"/>
      <c r="B71" s="630"/>
      <c r="C71" s="609"/>
      <c r="D71" s="618"/>
      <c r="E71" s="619"/>
    </row>
    <row r="72" spans="1:5" ht="15.75" thickBot="1">
      <c r="A72" s="20" t="s">
        <v>50</v>
      </c>
      <c r="B72" s="620">
        <f>B69+B67+B68</f>
        <v>2104377</v>
      </c>
      <c r="C72" s="606"/>
      <c r="D72" s="160" t="s">
        <v>53</v>
      </c>
      <c r="E72" s="620">
        <f>SUM(E67:E68)</f>
        <v>231199</v>
      </c>
    </row>
    <row r="73" spans="1:5" ht="15.75" thickBot="1">
      <c r="A73" s="121"/>
      <c r="B73" s="623"/>
      <c r="C73" s="606"/>
      <c r="D73" s="121"/>
      <c r="E73" s="623"/>
    </row>
    <row r="74" spans="1:5" ht="15.75" thickBot="1">
      <c r="A74" s="9" t="s">
        <v>93</v>
      </c>
      <c r="B74" s="620">
        <f>B65+B72</f>
        <v>3054980</v>
      </c>
      <c r="C74" s="606"/>
      <c r="D74" s="9" t="s">
        <v>94</v>
      </c>
      <c r="E74" s="620">
        <f>E65+E72</f>
        <v>3054980</v>
      </c>
    </row>
    <row r="75" spans="1:5">
      <c r="A75" s="13"/>
      <c r="B75" s="14"/>
      <c r="C75" s="14"/>
      <c r="D75" s="13"/>
      <c r="E75" s="14"/>
    </row>
    <row r="76" spans="1:5">
      <c r="A76" s="15" t="s">
        <v>48</v>
      </c>
      <c r="B76" s="16">
        <f>B44+B74</f>
        <v>13362503.419</v>
      </c>
      <c r="C76" s="16"/>
      <c r="D76" s="15" t="s">
        <v>49</v>
      </c>
      <c r="E76" s="16">
        <f>E44+E74</f>
        <v>13362503</v>
      </c>
    </row>
    <row r="78" spans="1:5">
      <c r="A78" s="140"/>
      <c r="B78" s="17"/>
      <c r="C78" s="17"/>
      <c r="D78" s="18"/>
      <c r="E78" s="90"/>
    </row>
    <row r="79" spans="1:5">
      <c r="A79" s="140"/>
      <c r="B79" s="19"/>
      <c r="C79" s="19"/>
      <c r="D79" s="18"/>
    </row>
  </sheetData>
  <mergeCells count="6">
    <mergeCell ref="A48:B48"/>
    <mergeCell ref="D48:E48"/>
    <mergeCell ref="A1:E1"/>
    <mergeCell ref="A46:E46"/>
    <mergeCell ref="A3:B3"/>
    <mergeCell ref="D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>&amp;L&amp;"Times New Roman,Normál"&amp;8 2. melléklet a 24/2019. (XII.19.) önkormányzati rendelethez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view="pageLayout" zoomScale="80" zoomScaleNormal="100" zoomScalePageLayoutView="80" workbookViewId="0">
      <selection activeCell="B21" sqref="B21"/>
    </sheetView>
  </sheetViews>
  <sheetFormatPr defaultRowHeight="15"/>
  <cols>
    <col min="1" max="1" width="40.85546875" style="67" customWidth="1"/>
    <col min="2" max="2" width="10.140625" style="68" customWidth="1"/>
    <col min="3" max="3" width="33.5703125" style="67" customWidth="1"/>
    <col min="4" max="4" width="11.140625" style="68" customWidth="1"/>
    <col min="5" max="5" width="9.140625" style="68" customWidth="1"/>
    <col min="6" max="6" width="9.7109375" style="68" bestFit="1" customWidth="1"/>
    <col min="7" max="7" width="11.28515625" style="68" bestFit="1" customWidth="1"/>
    <col min="8" max="8" width="10.28515625" style="69" bestFit="1" customWidth="1"/>
    <col min="9" max="16384" width="9.140625" style="67"/>
  </cols>
  <sheetData>
    <row r="1" spans="1:8">
      <c r="A1" s="1144" t="s">
        <v>798</v>
      </c>
      <c r="B1" s="1144"/>
      <c r="C1" s="1144"/>
      <c r="D1" s="1144"/>
      <c r="E1" s="1144"/>
      <c r="F1" s="1144"/>
      <c r="G1" s="1144"/>
      <c r="H1" s="123"/>
    </row>
    <row r="3" spans="1:8">
      <c r="A3" s="1144" t="s">
        <v>70</v>
      </c>
      <c r="B3" s="1144"/>
      <c r="C3" s="1144"/>
      <c r="D3" s="1144"/>
      <c r="E3" s="1144"/>
      <c r="F3" s="1144"/>
      <c r="G3" s="1144"/>
      <c r="H3" s="123"/>
    </row>
    <row r="4" spans="1:8" ht="15.75" thickBot="1"/>
    <row r="5" spans="1:8" ht="15.75" thickBot="1">
      <c r="A5" s="1145" t="s">
        <v>98</v>
      </c>
      <c r="B5" s="1152"/>
      <c r="C5" s="1145" t="s">
        <v>517</v>
      </c>
      <c r="D5" s="1146"/>
      <c r="E5" s="1146"/>
      <c r="F5" s="1146"/>
      <c r="G5" s="1147"/>
      <c r="H5" s="126"/>
    </row>
    <row r="6" spans="1:8" s="72" customFormat="1" ht="33" customHeight="1">
      <c r="A6" s="1153" t="s">
        <v>772</v>
      </c>
      <c r="B6" s="1157" t="s">
        <v>3</v>
      </c>
      <c r="C6" s="1159" t="s">
        <v>772</v>
      </c>
      <c r="D6" s="381" t="s">
        <v>322</v>
      </c>
      <c r="E6" s="382" t="s">
        <v>225</v>
      </c>
      <c r="F6" s="362" t="s">
        <v>12</v>
      </c>
      <c r="G6" s="375" t="s">
        <v>71</v>
      </c>
      <c r="H6" s="125"/>
    </row>
    <row r="7" spans="1:8" s="72" customFormat="1" ht="15.75" thickBot="1">
      <c r="A7" s="1154"/>
      <c r="B7" s="1158"/>
      <c r="C7" s="1160"/>
      <c r="D7" s="363" t="s">
        <v>3</v>
      </c>
      <c r="E7" s="363" t="s">
        <v>3</v>
      </c>
      <c r="F7" s="389" t="s">
        <v>3</v>
      </c>
      <c r="G7" s="376" t="s">
        <v>3</v>
      </c>
      <c r="H7" s="125"/>
    </row>
    <row r="8" spans="1:8" s="72" customFormat="1">
      <c r="A8" s="383" t="s">
        <v>121</v>
      </c>
      <c r="B8" s="362"/>
      <c r="C8" s="387"/>
      <c r="D8" s="381"/>
      <c r="E8" s="381"/>
      <c r="F8" s="362"/>
      <c r="G8" s="375"/>
      <c r="H8" s="125"/>
    </row>
    <row r="9" spans="1:8" s="72" customFormat="1" ht="30.75" thickBot="1">
      <c r="A9" s="384" t="s">
        <v>516</v>
      </c>
      <c r="B9" s="385">
        <v>20000</v>
      </c>
      <c r="C9" s="384" t="s">
        <v>516</v>
      </c>
      <c r="D9" s="304">
        <v>20000</v>
      </c>
      <c r="E9" s="304"/>
      <c r="F9" s="390"/>
      <c r="G9" s="391">
        <f>D9+F9+E9</f>
        <v>20000</v>
      </c>
      <c r="H9" s="127"/>
    </row>
    <row r="10" spans="1:8">
      <c r="A10" s="380" t="s">
        <v>71</v>
      </c>
      <c r="B10" s="305">
        <f>SUM(B9:B9)</f>
        <v>20000</v>
      </c>
      <c r="C10" s="380" t="s">
        <v>71</v>
      </c>
      <c r="D10" s="303">
        <f t="shared" ref="D10:F10" si="0">SUM(D9:D9)</f>
        <v>20000</v>
      </c>
      <c r="E10" s="303">
        <f t="shared" si="0"/>
        <v>0</v>
      </c>
      <c r="F10" s="305">
        <f t="shared" si="0"/>
        <v>0</v>
      </c>
      <c r="G10" s="392">
        <f>D10+F10+E10</f>
        <v>20000</v>
      </c>
      <c r="H10" s="75"/>
    </row>
    <row r="11" spans="1:8">
      <c r="A11" s="377" t="s">
        <v>589</v>
      </c>
      <c r="B11" s="306"/>
      <c r="C11" s="377"/>
      <c r="D11" s="302"/>
      <c r="E11" s="302"/>
      <c r="F11" s="306"/>
      <c r="G11" s="393"/>
      <c r="H11" s="75"/>
    </row>
    <row r="12" spans="1:8">
      <c r="A12" s="377" t="s">
        <v>125</v>
      </c>
      <c r="B12" s="306"/>
      <c r="C12" s="377"/>
      <c r="D12" s="302"/>
      <c r="E12" s="302"/>
      <c r="F12" s="306"/>
      <c r="G12" s="393"/>
      <c r="H12" s="75"/>
    </row>
    <row r="13" spans="1:8">
      <c r="A13" s="377" t="s">
        <v>123</v>
      </c>
      <c r="B13" s="306"/>
      <c r="C13" s="377"/>
      <c r="D13" s="302"/>
      <c r="E13" s="302"/>
      <c r="F13" s="306"/>
      <c r="G13" s="393"/>
      <c r="H13" s="75"/>
    </row>
    <row r="14" spans="1:8" ht="15.75" thickBot="1">
      <c r="A14" s="378" t="s">
        <v>590</v>
      </c>
      <c r="B14" s="386">
        <f t="shared" ref="B14" si="1">SUM(B10:B13)</f>
        <v>20000</v>
      </c>
      <c r="C14" s="388" t="s">
        <v>591</v>
      </c>
      <c r="D14" s="379">
        <f t="shared" ref="D14:G14" si="2">SUM(D10:D13)</f>
        <v>20000</v>
      </c>
      <c r="E14" s="379">
        <f t="shared" si="2"/>
        <v>0</v>
      </c>
      <c r="F14" s="386">
        <f t="shared" si="2"/>
        <v>0</v>
      </c>
      <c r="G14" s="394">
        <f t="shared" si="2"/>
        <v>20000</v>
      </c>
      <c r="H14" s="75"/>
    </row>
    <row r="15" spans="1:8">
      <c r="A15" s="300"/>
      <c r="B15" s="301"/>
      <c r="C15" s="300"/>
      <c r="D15" s="301"/>
      <c r="E15" s="301"/>
      <c r="F15" s="301"/>
      <c r="G15" s="301"/>
      <c r="H15" s="75"/>
    </row>
  </sheetData>
  <mergeCells count="7">
    <mergeCell ref="A1:G1"/>
    <mergeCell ref="A3:G3"/>
    <mergeCell ref="C5:G5"/>
    <mergeCell ref="A6:A7"/>
    <mergeCell ref="B6:B7"/>
    <mergeCell ref="C6:C7"/>
    <mergeCell ref="A5:B5"/>
  </mergeCells>
  <pageMargins left="0.7" right="0.7" top="0.75" bottom="0.75" header="0.3" footer="0.3"/>
  <pageSetup paperSize="9" orientation="landscape" r:id="rId1"/>
  <headerFooter>
    <oddHeader>&amp;L&amp;"Times New Roman,Normál"&amp;8 14. melléklet 3 a 24/2019. (XII.19.)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6"/>
  <sheetViews>
    <sheetView view="pageLayout" zoomScaleNormal="100" workbookViewId="0">
      <selection activeCell="A62" sqref="A62:G62"/>
    </sheetView>
  </sheetViews>
  <sheetFormatPr defaultRowHeight="15.75"/>
  <cols>
    <col min="1" max="1" width="12.5703125" style="523" customWidth="1"/>
    <col min="2" max="2" width="85.28515625" style="744" customWidth="1"/>
    <col min="3" max="3" width="14.85546875" style="523" customWidth="1"/>
    <col min="4" max="4" width="14.42578125" style="524" customWidth="1"/>
    <col min="5" max="5" width="13.7109375" style="525" customWidth="1"/>
    <col min="6" max="6" width="6.5703125" style="526" hidden="1" customWidth="1"/>
    <col min="7" max="7" width="12.7109375" style="526" customWidth="1"/>
    <col min="8" max="8" width="10.140625" style="523" bestFit="1" customWidth="1"/>
    <col min="9" max="9" width="9.140625" style="523" customWidth="1"/>
    <col min="10" max="16384" width="9.140625" style="523"/>
  </cols>
  <sheetData>
    <row r="1" spans="1:7" customFormat="1" ht="29.25" customHeight="1">
      <c r="A1" s="1175" t="s">
        <v>644</v>
      </c>
      <c r="B1" s="1175"/>
      <c r="C1" s="1175"/>
      <c r="D1" s="1175"/>
      <c r="E1" s="1175"/>
      <c r="F1" s="1175"/>
      <c r="G1" s="1175"/>
    </row>
    <row r="2" spans="1:7" customFormat="1" ht="18.75">
      <c r="A2" s="1175" t="s">
        <v>226</v>
      </c>
      <c r="B2" s="1175"/>
      <c r="C2" s="1175"/>
      <c r="D2" s="1175"/>
      <c r="E2" s="1175"/>
      <c r="F2" s="1175"/>
      <c r="G2" s="1175"/>
    </row>
    <row r="3" spans="1:7" customFormat="1" ht="16.5" thickBot="1">
      <c r="A3" s="523"/>
      <c r="B3" s="744"/>
      <c r="C3" s="523"/>
      <c r="D3" s="524"/>
      <c r="E3" s="525"/>
      <c r="F3" s="526"/>
      <c r="G3" s="526"/>
    </row>
    <row r="4" spans="1:7" customFormat="1" ht="28.5" customHeight="1">
      <c r="A4" s="1176" t="s">
        <v>539</v>
      </c>
      <c r="B4" s="1178" t="s">
        <v>227</v>
      </c>
      <c r="C4" s="1180" t="s">
        <v>599</v>
      </c>
      <c r="D4" s="1180"/>
      <c r="E4" s="1180"/>
      <c r="F4" s="1180"/>
      <c r="G4" s="1182" t="s">
        <v>807</v>
      </c>
    </row>
    <row r="5" spans="1:7" customFormat="1" ht="35.25" customHeight="1" thickBot="1">
      <c r="A5" s="1177"/>
      <c r="B5" s="1179"/>
      <c r="C5" s="1181" t="s">
        <v>540</v>
      </c>
      <c r="D5" s="1181"/>
      <c r="E5" s="771" t="s">
        <v>541</v>
      </c>
      <c r="F5" s="772" t="s">
        <v>808</v>
      </c>
      <c r="G5" s="1183"/>
    </row>
    <row r="6" spans="1:7" customFormat="1" ht="23.25" customHeight="1">
      <c r="A6" s="773" t="s">
        <v>228</v>
      </c>
      <c r="B6" s="774" t="s">
        <v>229</v>
      </c>
      <c r="C6" s="775"/>
      <c r="D6" s="776"/>
      <c r="E6" s="777"/>
      <c r="F6" s="778"/>
      <c r="G6" s="779"/>
    </row>
    <row r="7" spans="1:7" customFormat="1" ht="31.5">
      <c r="A7" s="711" t="s">
        <v>230</v>
      </c>
      <c r="B7" s="745" t="s">
        <v>809</v>
      </c>
      <c r="C7" s="661">
        <v>56.73</v>
      </c>
      <c r="D7" s="670" t="s">
        <v>231</v>
      </c>
      <c r="E7" s="671">
        <v>5450000</v>
      </c>
      <c r="F7" s="672"/>
      <c r="G7" s="712"/>
    </row>
    <row r="8" spans="1:7" customFormat="1">
      <c r="A8" s="711"/>
      <c r="B8" s="746" t="s">
        <v>645</v>
      </c>
      <c r="C8" s="661">
        <v>58.37</v>
      </c>
      <c r="D8" s="670" t="s">
        <v>231</v>
      </c>
      <c r="E8" s="671">
        <v>4580000</v>
      </c>
      <c r="F8" s="673">
        <f>(C8*E8)/12*2</f>
        <v>44555766.666666664</v>
      </c>
      <c r="G8" s="713">
        <v>44556</v>
      </c>
    </row>
    <row r="9" spans="1:7" customFormat="1">
      <c r="A9" s="711"/>
      <c r="B9" s="746" t="s">
        <v>646</v>
      </c>
      <c r="C9" s="661">
        <v>56.73</v>
      </c>
      <c r="D9" s="670" t="s">
        <v>231</v>
      </c>
      <c r="E9" s="671">
        <v>5450000</v>
      </c>
      <c r="F9" s="673">
        <f>(C9*E9)/12*10</f>
        <v>257648750</v>
      </c>
      <c r="G9" s="713">
        <v>257649</v>
      </c>
    </row>
    <row r="10" spans="1:7" customFormat="1">
      <c r="A10" s="711"/>
      <c r="B10" s="747" t="s">
        <v>647</v>
      </c>
      <c r="C10" s="674"/>
      <c r="D10" s="675"/>
      <c r="E10" s="676"/>
      <c r="F10" s="672">
        <f>F8+F9</f>
        <v>302204516.66666669</v>
      </c>
      <c r="G10" s="712">
        <f>G8+G9</f>
        <v>302205</v>
      </c>
    </row>
    <row r="11" spans="1:7" customFormat="1">
      <c r="A11" s="711"/>
      <c r="B11" s="748" t="s">
        <v>527</v>
      </c>
      <c r="C11" s="661"/>
      <c r="D11" s="670"/>
      <c r="E11" s="671"/>
      <c r="F11" s="673">
        <v>-107695914.03231999</v>
      </c>
      <c r="G11" s="713">
        <v>-107696</v>
      </c>
    </row>
    <row r="12" spans="1:7" customFormat="1">
      <c r="A12" s="711"/>
      <c r="B12" s="749" t="s">
        <v>232</v>
      </c>
      <c r="C12" s="661"/>
      <c r="D12" s="670"/>
      <c r="E12" s="671"/>
      <c r="F12" s="672">
        <f>F10+F11</f>
        <v>194508602.63434669</v>
      </c>
      <c r="G12" s="712">
        <f>G10+G11</f>
        <v>194509</v>
      </c>
    </row>
    <row r="13" spans="1:7" customFormat="1">
      <c r="A13" s="714" t="s">
        <v>234</v>
      </c>
      <c r="B13" s="748" t="s">
        <v>648</v>
      </c>
      <c r="C13" s="677">
        <v>1705.3</v>
      </c>
      <c r="D13" s="662" t="s">
        <v>235</v>
      </c>
      <c r="E13" s="663">
        <v>25200</v>
      </c>
      <c r="F13" s="672">
        <f>C13*E13</f>
        <v>42973560</v>
      </c>
      <c r="G13" s="712">
        <v>42974</v>
      </c>
    </row>
    <row r="14" spans="1:7" customFormat="1">
      <c r="A14" s="714"/>
      <c r="B14" s="748" t="s">
        <v>527</v>
      </c>
      <c r="C14" s="677"/>
      <c r="D14" s="662"/>
      <c r="E14" s="663"/>
      <c r="F14" s="673">
        <v>-42973560</v>
      </c>
      <c r="G14" s="713">
        <v>-42974</v>
      </c>
    </row>
    <row r="15" spans="1:7" customFormat="1">
      <c r="A15" s="714" t="s">
        <v>236</v>
      </c>
      <c r="B15" s="748" t="s">
        <v>649</v>
      </c>
      <c r="C15" s="661">
        <f>F15/E15</f>
        <v>209.4</v>
      </c>
      <c r="D15" s="662" t="s">
        <v>237</v>
      </c>
      <c r="E15" s="663">
        <v>400000</v>
      </c>
      <c r="F15" s="672">
        <v>83760000</v>
      </c>
      <c r="G15" s="712">
        <v>83760</v>
      </c>
    </row>
    <row r="16" spans="1:7" customFormat="1">
      <c r="A16" s="714"/>
      <c r="B16" s="748" t="s">
        <v>527</v>
      </c>
      <c r="C16" s="661"/>
      <c r="D16" s="662"/>
      <c r="E16" s="663"/>
      <c r="F16" s="673">
        <v>-83760000</v>
      </c>
      <c r="G16" s="713">
        <v>-83760</v>
      </c>
    </row>
    <row r="17" spans="1:7" customFormat="1">
      <c r="A17" s="714" t="s">
        <v>238</v>
      </c>
      <c r="B17" s="748" t="s">
        <v>650</v>
      </c>
      <c r="C17" s="673">
        <f>F17/E17</f>
        <v>129404</v>
      </c>
      <c r="D17" s="662" t="s">
        <v>239</v>
      </c>
      <c r="E17" s="663">
        <v>104</v>
      </c>
      <c r="F17" s="672">
        <v>13458016</v>
      </c>
      <c r="G17" s="712">
        <v>13458</v>
      </c>
    </row>
    <row r="18" spans="1:7" customFormat="1">
      <c r="A18" s="714"/>
      <c r="B18" s="748" t="s">
        <v>527</v>
      </c>
      <c r="C18" s="673"/>
      <c r="D18" s="662"/>
      <c r="E18" s="663"/>
      <c r="F18" s="673">
        <v>-13458016</v>
      </c>
      <c r="G18" s="713">
        <v>-13458</v>
      </c>
    </row>
    <row r="19" spans="1:7" customFormat="1">
      <c r="A19" s="714" t="s">
        <v>240</v>
      </c>
      <c r="B19" s="748" t="s">
        <v>651</v>
      </c>
      <c r="C19" s="661">
        <f>F19/E19</f>
        <v>102.41</v>
      </c>
      <c r="D19" s="662" t="s">
        <v>237</v>
      </c>
      <c r="E19" s="663">
        <v>295000</v>
      </c>
      <c r="F19" s="672">
        <v>30210950</v>
      </c>
      <c r="G19" s="712">
        <v>30211</v>
      </c>
    </row>
    <row r="20" spans="1:7" customFormat="1">
      <c r="A20" s="714"/>
      <c r="B20" s="748" t="s">
        <v>527</v>
      </c>
      <c r="C20" s="661"/>
      <c r="D20" s="662"/>
      <c r="E20" s="663"/>
      <c r="F20" s="673">
        <v>-30210950</v>
      </c>
      <c r="G20" s="713">
        <v>-30211</v>
      </c>
    </row>
    <row r="21" spans="1:7" customFormat="1">
      <c r="A21" s="711" t="s">
        <v>233</v>
      </c>
      <c r="B21" s="749" t="s">
        <v>241</v>
      </c>
      <c r="C21" s="661"/>
      <c r="D21" s="670"/>
      <c r="E21" s="671"/>
      <c r="F21" s="672">
        <f>SUM(F13:F20)</f>
        <v>0</v>
      </c>
      <c r="G21" s="712">
        <f>G13+G14+G15+G16+G17+G18+G19+G20</f>
        <v>0</v>
      </c>
    </row>
    <row r="22" spans="1:7" customFormat="1">
      <c r="A22" s="711" t="s">
        <v>242</v>
      </c>
      <c r="B22" s="745" t="s">
        <v>810</v>
      </c>
      <c r="C22" s="673">
        <v>23169</v>
      </c>
      <c r="D22" s="670" t="s">
        <v>231</v>
      </c>
      <c r="E22" s="671">
        <v>2700</v>
      </c>
      <c r="F22" s="672">
        <f>C22*E22</f>
        <v>62556300</v>
      </c>
      <c r="G22" s="712">
        <v>62556</v>
      </c>
    </row>
    <row r="23" spans="1:7" customFormat="1">
      <c r="A23" s="711"/>
      <c r="B23" s="748" t="s">
        <v>527</v>
      </c>
      <c r="C23" s="673"/>
      <c r="D23" s="670"/>
      <c r="E23" s="671"/>
      <c r="F23" s="673">
        <v>-62556300</v>
      </c>
      <c r="G23" s="713">
        <v>-62556</v>
      </c>
    </row>
    <row r="24" spans="1:7" customFormat="1">
      <c r="A24" s="711" t="s">
        <v>243</v>
      </c>
      <c r="B24" s="749" t="s">
        <v>244</v>
      </c>
      <c r="C24" s="661">
        <v>527</v>
      </c>
      <c r="D24" s="670" t="s">
        <v>231</v>
      </c>
      <c r="E24" s="671">
        <v>2550</v>
      </c>
      <c r="F24" s="672">
        <f>C24*E24</f>
        <v>1343850</v>
      </c>
      <c r="G24" s="712">
        <v>1344</v>
      </c>
    </row>
    <row r="25" spans="1:7" customFormat="1">
      <c r="A25" s="711"/>
      <c r="B25" s="748" t="s">
        <v>527</v>
      </c>
      <c r="C25" s="661"/>
      <c r="D25" s="670"/>
      <c r="E25" s="671"/>
      <c r="F25" s="673">
        <v>-1343850</v>
      </c>
      <c r="G25" s="713">
        <v>-1344</v>
      </c>
    </row>
    <row r="26" spans="1:7" customFormat="1">
      <c r="A26" s="711" t="s">
        <v>245</v>
      </c>
      <c r="B26" s="749" t="s">
        <v>811</v>
      </c>
      <c r="C26" s="668">
        <v>46767280</v>
      </c>
      <c r="D26" s="678" t="s">
        <v>246</v>
      </c>
      <c r="E26" s="679">
        <v>1</v>
      </c>
      <c r="F26" s="680">
        <f>C26*E26</f>
        <v>46767280</v>
      </c>
      <c r="G26" s="712">
        <v>46767</v>
      </c>
    </row>
    <row r="27" spans="1:7" customFormat="1">
      <c r="A27" s="711"/>
      <c r="B27" s="748" t="s">
        <v>527</v>
      </c>
      <c r="C27" s="668"/>
      <c r="D27" s="678"/>
      <c r="E27" s="679"/>
      <c r="F27" s="668">
        <v>-46767280</v>
      </c>
      <c r="G27" s="713">
        <v>-46767</v>
      </c>
    </row>
    <row r="28" spans="1:7" customFormat="1">
      <c r="A28" s="711" t="s">
        <v>528</v>
      </c>
      <c r="B28" s="748" t="s">
        <v>529</v>
      </c>
      <c r="C28" s="668"/>
      <c r="D28" s="678"/>
      <c r="E28" s="660"/>
      <c r="F28" s="668">
        <v>388765870.03231966</v>
      </c>
      <c r="G28" s="713">
        <v>388766</v>
      </c>
    </row>
    <row r="29" spans="1:7" customFormat="1">
      <c r="A29" s="715" t="s">
        <v>247</v>
      </c>
      <c r="B29" s="664" t="s">
        <v>652</v>
      </c>
      <c r="C29" s="664"/>
      <c r="D29" s="664"/>
      <c r="E29" s="664"/>
      <c r="F29" s="681">
        <f>F10+F13+F15+F17+F19+F22+F24+F26</f>
        <v>583274472.66666675</v>
      </c>
      <c r="G29" s="716">
        <f>G10+G13+G15+G17+G19+G22+G24+G26</f>
        <v>583275</v>
      </c>
    </row>
    <row r="30" spans="1:7" customFormat="1">
      <c r="A30" s="715" t="s">
        <v>228</v>
      </c>
      <c r="B30" s="682" t="s">
        <v>653</v>
      </c>
      <c r="C30" s="682"/>
      <c r="D30" s="682"/>
      <c r="E30" s="682"/>
      <c r="F30" s="683">
        <f>F10+F11+F13+F14+F15+F16+F17+F18+F19+F20+F22+F23+F24+F25+F26+F27</f>
        <v>194508602.63434672</v>
      </c>
      <c r="G30" s="717">
        <f>G10+G11+G13+G14+G15+G16+G17+G18+G19+G20+G22+G23+G24+G25+G26+G27</f>
        <v>194509</v>
      </c>
    </row>
    <row r="31" spans="1:7" customFormat="1">
      <c r="A31" s="715" t="s">
        <v>255</v>
      </c>
      <c r="B31" s="664" t="s">
        <v>654</v>
      </c>
      <c r="C31" s="664"/>
      <c r="D31" s="664"/>
      <c r="E31" s="664"/>
      <c r="F31" s="664"/>
      <c r="G31" s="718"/>
    </row>
    <row r="32" spans="1:7" customFormat="1">
      <c r="A32" s="711" t="s">
        <v>248</v>
      </c>
      <c r="B32" s="746" t="s">
        <v>655</v>
      </c>
      <c r="C32" s="665">
        <v>50.1</v>
      </c>
      <c r="D32" s="666" t="s">
        <v>231</v>
      </c>
      <c r="E32" s="667">
        <v>4371500</v>
      </c>
      <c r="F32" s="668">
        <f>C32*E32</f>
        <v>219012150</v>
      </c>
      <c r="G32" s="710">
        <v>219012</v>
      </c>
    </row>
    <row r="33" spans="1:7" customFormat="1">
      <c r="A33" s="711"/>
      <c r="B33" s="746" t="s">
        <v>656</v>
      </c>
      <c r="C33" s="684">
        <v>34</v>
      </c>
      <c r="D33" s="666" t="s">
        <v>231</v>
      </c>
      <c r="E33" s="667">
        <v>2400000</v>
      </c>
      <c r="F33" s="668">
        <f>C33*E33</f>
        <v>81600000</v>
      </c>
      <c r="G33" s="710">
        <v>81600</v>
      </c>
    </row>
    <row r="34" spans="1:7" customFormat="1" ht="32.25" customHeight="1">
      <c r="A34" s="715" t="s">
        <v>657</v>
      </c>
      <c r="B34" s="747" t="s">
        <v>249</v>
      </c>
      <c r="C34" s="665"/>
      <c r="D34" s="666"/>
      <c r="E34" s="667"/>
      <c r="F34" s="680">
        <f>SUM(F32:F33)</f>
        <v>300612150</v>
      </c>
      <c r="G34" s="719">
        <f>G32+G33</f>
        <v>300612</v>
      </c>
    </row>
    <row r="35" spans="1:7" customFormat="1">
      <c r="A35" s="720" t="s">
        <v>250</v>
      </c>
      <c r="B35" s="750" t="s">
        <v>251</v>
      </c>
      <c r="C35" s="661"/>
      <c r="D35" s="670"/>
      <c r="E35" s="671"/>
      <c r="F35" s="673"/>
      <c r="G35" s="721"/>
    </row>
    <row r="36" spans="1:7" customFormat="1" ht="31.5">
      <c r="A36" s="722" t="s">
        <v>658</v>
      </c>
      <c r="B36" s="751" t="s">
        <v>659</v>
      </c>
      <c r="C36" s="665">
        <v>540</v>
      </c>
      <c r="D36" s="666" t="s">
        <v>231</v>
      </c>
      <c r="E36" s="667">
        <v>97400</v>
      </c>
      <c r="F36" s="668">
        <f>(C36*E36)*8/12</f>
        <v>35064000</v>
      </c>
      <c r="G36" s="710">
        <v>35064</v>
      </c>
    </row>
    <row r="37" spans="1:7" customFormat="1" ht="31.5">
      <c r="A37" s="720"/>
      <c r="B37" s="752" t="s">
        <v>660</v>
      </c>
      <c r="C37" s="665">
        <v>540</v>
      </c>
      <c r="D37" s="666" t="s">
        <v>231</v>
      </c>
      <c r="E37" s="667">
        <v>97400</v>
      </c>
      <c r="F37" s="668">
        <f>(C37*E37)*4/12</f>
        <v>17532000</v>
      </c>
      <c r="G37" s="710">
        <v>17532</v>
      </c>
    </row>
    <row r="38" spans="1:7" customFormat="1">
      <c r="A38" s="723"/>
      <c r="B38" s="750" t="s">
        <v>252</v>
      </c>
      <c r="C38" s="661"/>
      <c r="D38" s="670"/>
      <c r="E38" s="671"/>
      <c r="F38" s="672">
        <f>SUM(F36:F37)</f>
        <v>52596000</v>
      </c>
      <c r="G38" s="724">
        <f>G36+G37</f>
        <v>52596</v>
      </c>
    </row>
    <row r="39" spans="1:7" customFormat="1">
      <c r="A39" s="711" t="s">
        <v>253</v>
      </c>
      <c r="B39" s="749" t="s">
        <v>254</v>
      </c>
      <c r="C39" s="665"/>
      <c r="D39" s="666"/>
      <c r="E39" s="667"/>
      <c r="F39" s="668"/>
      <c r="G39" s="710"/>
    </row>
    <row r="40" spans="1:7" customFormat="1">
      <c r="A40" s="711"/>
      <c r="B40" s="746" t="s">
        <v>661</v>
      </c>
      <c r="C40" s="665">
        <v>24</v>
      </c>
      <c r="D40" s="666" t="s">
        <v>231</v>
      </c>
      <c r="E40" s="667">
        <v>396700</v>
      </c>
      <c r="F40" s="680">
        <f>C40*E40</f>
        <v>9520800</v>
      </c>
      <c r="G40" s="719">
        <v>9521</v>
      </c>
    </row>
    <row r="41" spans="1:7" customFormat="1" ht="23.25" customHeight="1">
      <c r="A41" s="715" t="s">
        <v>255</v>
      </c>
      <c r="B41" s="664" t="s">
        <v>654</v>
      </c>
      <c r="C41" s="665"/>
      <c r="D41" s="666"/>
      <c r="E41" s="667"/>
      <c r="F41" s="680">
        <f>F34+F38+F40</f>
        <v>362728950</v>
      </c>
      <c r="G41" s="719">
        <f>G34+G38+G40</f>
        <v>362729</v>
      </c>
    </row>
    <row r="42" spans="1:7" customFormat="1">
      <c r="A42" s="715" t="s">
        <v>662</v>
      </c>
      <c r="B42" s="1161" t="s">
        <v>663</v>
      </c>
      <c r="C42" s="1161"/>
      <c r="D42" s="1161"/>
      <c r="E42" s="1161"/>
      <c r="F42" s="1161"/>
      <c r="G42" s="1162"/>
    </row>
    <row r="43" spans="1:7" customFormat="1" ht="31.5">
      <c r="A43" s="715" t="s">
        <v>256</v>
      </c>
      <c r="B43" s="747" t="s">
        <v>664</v>
      </c>
      <c r="C43" s="665"/>
      <c r="D43" s="666"/>
      <c r="E43" s="667"/>
      <c r="F43" s="680">
        <v>0</v>
      </c>
      <c r="G43" s="710">
        <v>0</v>
      </c>
    </row>
    <row r="44" spans="1:7" customFormat="1">
      <c r="A44" s="725" t="s">
        <v>665</v>
      </c>
      <c r="B44" s="753" t="s">
        <v>666</v>
      </c>
      <c r="C44" s="665"/>
      <c r="D44" s="666"/>
      <c r="E44" s="667"/>
      <c r="F44" s="668"/>
      <c r="G44" s="710"/>
    </row>
    <row r="45" spans="1:7" customFormat="1">
      <c r="A45" s="711" t="s">
        <v>667</v>
      </c>
      <c r="B45" s="754" t="s">
        <v>668</v>
      </c>
      <c r="C45" s="665">
        <v>8.3000000000000007</v>
      </c>
      <c r="D45" s="666" t="s">
        <v>231</v>
      </c>
      <c r="E45" s="667">
        <v>3780000</v>
      </c>
      <c r="F45" s="668"/>
      <c r="G45" s="710"/>
    </row>
    <row r="46" spans="1:7" customFormat="1">
      <c r="A46" s="711"/>
      <c r="B46" s="746" t="s">
        <v>669</v>
      </c>
      <c r="C46" s="665">
        <v>8.4</v>
      </c>
      <c r="D46" s="666" t="s">
        <v>231</v>
      </c>
      <c r="E46" s="667">
        <v>3400000</v>
      </c>
      <c r="F46" s="668">
        <f>C46*E46/12*2</f>
        <v>4760000</v>
      </c>
      <c r="G46" s="710"/>
    </row>
    <row r="47" spans="1:7" customFormat="1">
      <c r="A47" s="711"/>
      <c r="B47" s="746" t="s">
        <v>670</v>
      </c>
      <c r="C47" s="665">
        <v>8.3000000000000007</v>
      </c>
      <c r="D47" s="666" t="s">
        <v>231</v>
      </c>
      <c r="E47" s="667">
        <v>3780000</v>
      </c>
      <c r="F47" s="668">
        <f>C47*E47/12*10</f>
        <v>26145000.000000004</v>
      </c>
      <c r="G47" s="710"/>
    </row>
    <row r="48" spans="1:7" customFormat="1">
      <c r="A48" s="711"/>
      <c r="B48" s="747" t="s">
        <v>671</v>
      </c>
      <c r="C48" s="686"/>
      <c r="D48" s="687"/>
      <c r="E48" s="688"/>
      <c r="F48" s="680">
        <f>F46+F47</f>
        <v>30905000.000000004</v>
      </c>
      <c r="G48" s="719">
        <v>28560</v>
      </c>
    </row>
    <row r="49" spans="1:7" customFormat="1">
      <c r="A49" s="711" t="s">
        <v>672</v>
      </c>
      <c r="B49" s="746" t="s">
        <v>673</v>
      </c>
      <c r="C49" s="665">
        <v>5.9</v>
      </c>
      <c r="D49" s="666" t="s">
        <v>231</v>
      </c>
      <c r="E49" s="667">
        <v>3300000</v>
      </c>
      <c r="F49" s="668">
        <f>C49*E49</f>
        <v>19470000</v>
      </c>
      <c r="G49" s="710">
        <v>19470</v>
      </c>
    </row>
    <row r="50" spans="1:7" customFormat="1">
      <c r="A50" s="711" t="s">
        <v>674</v>
      </c>
      <c r="B50" s="754" t="s">
        <v>675</v>
      </c>
      <c r="C50" s="665">
        <v>69</v>
      </c>
      <c r="D50" s="666" t="s">
        <v>231</v>
      </c>
      <c r="E50" s="667">
        <f>65360*1.1</f>
        <v>71896</v>
      </c>
      <c r="F50" s="668">
        <f>C50*E50</f>
        <v>4960824</v>
      </c>
      <c r="G50" s="710">
        <v>4961</v>
      </c>
    </row>
    <row r="51" spans="1:7" customFormat="1">
      <c r="A51" s="711" t="s">
        <v>676</v>
      </c>
      <c r="B51" s="746" t="s">
        <v>812</v>
      </c>
      <c r="C51" s="665">
        <v>0</v>
      </c>
      <c r="D51" s="666" t="s">
        <v>231</v>
      </c>
      <c r="E51" s="667"/>
      <c r="F51" s="668"/>
      <c r="G51" s="710">
        <v>0</v>
      </c>
    </row>
    <row r="52" spans="1:7" customFormat="1" ht="38.25" customHeight="1">
      <c r="A52" s="711" t="s">
        <v>677</v>
      </c>
      <c r="B52" s="746" t="s">
        <v>813</v>
      </c>
      <c r="C52" s="665">
        <v>21</v>
      </c>
      <c r="D52" s="666" t="s">
        <v>231</v>
      </c>
      <c r="E52" s="667">
        <f>330000*1.3</f>
        <v>429000</v>
      </c>
      <c r="F52" s="668">
        <f t="shared" ref="F52:F60" si="0">C52*E52</f>
        <v>9009000</v>
      </c>
      <c r="G52" s="710">
        <v>9009</v>
      </c>
    </row>
    <row r="53" spans="1:7" customFormat="1" ht="34.5" customHeight="1">
      <c r="A53" s="711" t="s">
        <v>678</v>
      </c>
      <c r="B53" s="755" t="s">
        <v>679</v>
      </c>
      <c r="C53" s="665">
        <v>50</v>
      </c>
      <c r="D53" s="666" t="s">
        <v>231</v>
      </c>
      <c r="E53" s="667">
        <f>190000*1.5</f>
        <v>285000</v>
      </c>
      <c r="F53" s="668">
        <f t="shared" si="0"/>
        <v>14250000</v>
      </c>
      <c r="G53" s="710">
        <v>14250</v>
      </c>
    </row>
    <row r="54" spans="1:7" customFormat="1" ht="35.25" customHeight="1">
      <c r="A54" s="711" t="s">
        <v>680</v>
      </c>
      <c r="B54" s="746" t="s">
        <v>681</v>
      </c>
      <c r="C54" s="665">
        <v>32</v>
      </c>
      <c r="D54" s="666" t="s">
        <v>231</v>
      </c>
      <c r="E54" s="667">
        <f>689000*1.1</f>
        <v>757900.00000000012</v>
      </c>
      <c r="F54" s="668">
        <f t="shared" si="0"/>
        <v>24252800.000000004</v>
      </c>
      <c r="G54" s="710">
        <v>24253</v>
      </c>
    </row>
    <row r="55" spans="1:7" customFormat="1" ht="40.5" customHeight="1">
      <c r="A55" s="711" t="s">
        <v>682</v>
      </c>
      <c r="B55" s="746" t="s">
        <v>683</v>
      </c>
      <c r="C55" s="665">
        <v>35</v>
      </c>
      <c r="D55" s="666" t="s">
        <v>231</v>
      </c>
      <c r="E55" s="667">
        <f>239100*1.2</f>
        <v>286920</v>
      </c>
      <c r="F55" s="668">
        <f t="shared" si="0"/>
        <v>10042200</v>
      </c>
      <c r="G55" s="710">
        <v>10042</v>
      </c>
    </row>
    <row r="56" spans="1:7" customFormat="1" ht="37.5" customHeight="1">
      <c r="A56" s="711" t="s">
        <v>684</v>
      </c>
      <c r="B56" s="746" t="s">
        <v>685</v>
      </c>
      <c r="C56" s="665">
        <v>32</v>
      </c>
      <c r="D56" s="666" t="s">
        <v>260</v>
      </c>
      <c r="E56" s="667">
        <f>569350*1.1</f>
        <v>626285</v>
      </c>
      <c r="F56" s="668">
        <f t="shared" si="0"/>
        <v>20041120</v>
      </c>
      <c r="G56" s="710">
        <v>20041</v>
      </c>
    </row>
    <row r="57" spans="1:7" customFormat="1" ht="36" customHeight="1">
      <c r="A57" s="711" t="s">
        <v>686</v>
      </c>
      <c r="B57" s="746" t="s">
        <v>687</v>
      </c>
      <c r="C57" s="689">
        <v>1</v>
      </c>
      <c r="D57" s="690" t="s">
        <v>542</v>
      </c>
      <c r="E57" s="667">
        <v>3000000</v>
      </c>
      <c r="F57" s="668">
        <f t="shared" si="0"/>
        <v>3000000</v>
      </c>
      <c r="G57" s="710">
        <v>3000</v>
      </c>
    </row>
    <row r="58" spans="1:7" customFormat="1" ht="26.25" customHeight="1">
      <c r="A58" s="711"/>
      <c r="B58" s="746" t="s">
        <v>530</v>
      </c>
      <c r="C58" s="665">
        <v>5339</v>
      </c>
      <c r="D58" s="678" t="s">
        <v>261</v>
      </c>
      <c r="E58" s="667">
        <v>2500</v>
      </c>
      <c r="F58" s="668">
        <f t="shared" si="0"/>
        <v>13347500</v>
      </c>
      <c r="G58" s="710">
        <v>13347</v>
      </c>
    </row>
    <row r="59" spans="1:7" customFormat="1" ht="36.75" customHeight="1">
      <c r="A59" s="711" t="s">
        <v>688</v>
      </c>
      <c r="B59" s="746" t="s">
        <v>531</v>
      </c>
      <c r="C59" s="689">
        <v>1</v>
      </c>
      <c r="D59" s="690" t="s">
        <v>542</v>
      </c>
      <c r="E59" s="667">
        <v>2000000</v>
      </c>
      <c r="F59" s="668">
        <f t="shared" si="0"/>
        <v>2000000</v>
      </c>
      <c r="G59" s="710">
        <v>2000</v>
      </c>
    </row>
    <row r="60" spans="1:7" customFormat="1" ht="20.25" customHeight="1">
      <c r="A60" s="711"/>
      <c r="B60" s="746" t="s">
        <v>262</v>
      </c>
      <c r="C60" s="665">
        <v>40</v>
      </c>
      <c r="D60" s="691" t="s">
        <v>263</v>
      </c>
      <c r="E60" s="667">
        <v>196000</v>
      </c>
      <c r="F60" s="668">
        <f t="shared" si="0"/>
        <v>7840000</v>
      </c>
      <c r="G60" s="710">
        <v>7840</v>
      </c>
    </row>
    <row r="61" spans="1:7" customFormat="1" ht="60" customHeight="1">
      <c r="A61" s="711" t="s">
        <v>689</v>
      </c>
      <c r="B61" s="746" t="s">
        <v>264</v>
      </c>
      <c r="C61" s="1167" t="s">
        <v>690</v>
      </c>
      <c r="D61" s="1167"/>
      <c r="E61" s="1167"/>
      <c r="F61" s="668">
        <v>0</v>
      </c>
      <c r="G61" s="710">
        <v>0</v>
      </c>
    </row>
    <row r="62" spans="1:7" customFormat="1">
      <c r="A62" s="934" t="s">
        <v>665</v>
      </c>
      <c r="B62" s="935" t="s">
        <v>691</v>
      </c>
      <c r="C62" s="936"/>
      <c r="D62" s="937"/>
      <c r="E62" s="938"/>
      <c r="F62" s="939" t="e">
        <f>#REF!+F49+F50+F51+F52+F53+F54+F55+F56+F57+F58+F59+F60+F61</f>
        <v>#REF!</v>
      </c>
      <c r="G62" s="940">
        <f>G48+G49+G50+G51+G52+G53+G54+G55+G56+G57+G58+G59+G60+G61</f>
        <v>156773</v>
      </c>
    </row>
    <row r="63" spans="1:7" customFormat="1">
      <c r="A63" s="715" t="s">
        <v>257</v>
      </c>
      <c r="B63" s="753" t="s">
        <v>692</v>
      </c>
      <c r="C63" s="665"/>
      <c r="D63" s="666"/>
      <c r="E63" s="667"/>
      <c r="F63" s="680"/>
      <c r="G63" s="719"/>
    </row>
    <row r="64" spans="1:7" customFormat="1">
      <c r="A64" s="725" t="s">
        <v>258</v>
      </c>
      <c r="B64" s="752" t="s">
        <v>270</v>
      </c>
      <c r="C64" s="661">
        <v>3</v>
      </c>
      <c r="D64" s="670" t="s">
        <v>231</v>
      </c>
      <c r="E64" s="671">
        <v>4419000</v>
      </c>
      <c r="F64" s="672">
        <f>C64*E64</f>
        <v>13257000</v>
      </c>
      <c r="G64" s="724">
        <v>13257</v>
      </c>
    </row>
    <row r="65" spans="1:7" customFormat="1">
      <c r="A65" s="715"/>
      <c r="B65" s="752" t="s">
        <v>693</v>
      </c>
      <c r="C65" s="661">
        <v>16.600000000000001</v>
      </c>
      <c r="D65" s="670" t="s">
        <v>231</v>
      </c>
      <c r="E65" s="671">
        <v>2993000</v>
      </c>
      <c r="F65" s="672">
        <f>C65*E65</f>
        <v>49683800.000000007</v>
      </c>
      <c r="G65" s="724">
        <v>49684</v>
      </c>
    </row>
    <row r="66" spans="1:7" customFormat="1" ht="42" customHeight="1">
      <c r="A66" s="725" t="s">
        <v>259</v>
      </c>
      <c r="B66" s="752" t="s">
        <v>694</v>
      </c>
      <c r="C66" s="1168" t="s">
        <v>805</v>
      </c>
      <c r="D66" s="1168"/>
      <c r="E66" s="1168"/>
      <c r="F66" s="692">
        <v>48719000</v>
      </c>
      <c r="G66" s="724">
        <v>48719</v>
      </c>
    </row>
    <row r="67" spans="1:7" customFormat="1" ht="46.5" customHeight="1">
      <c r="A67" s="715" t="s">
        <v>265</v>
      </c>
      <c r="B67" s="1169" t="s">
        <v>695</v>
      </c>
      <c r="C67" s="1169"/>
      <c r="D67" s="693"/>
      <c r="E67" s="693"/>
      <c r="F67" s="672"/>
      <c r="G67" s="724"/>
    </row>
    <row r="68" spans="1:7" customFormat="1" ht="22.5">
      <c r="A68" s="726" t="s">
        <v>532</v>
      </c>
      <c r="B68" s="752" t="s">
        <v>696</v>
      </c>
      <c r="C68" s="661">
        <v>42</v>
      </c>
      <c r="D68" s="694" t="s">
        <v>543</v>
      </c>
      <c r="E68" s="671">
        <v>3858040</v>
      </c>
      <c r="F68" s="673">
        <f>C68*E68</f>
        <v>162037680</v>
      </c>
      <c r="G68" s="721">
        <v>162038</v>
      </c>
    </row>
    <row r="69" spans="1:7" customFormat="1" ht="42" customHeight="1">
      <c r="A69" s="727" t="s">
        <v>533</v>
      </c>
      <c r="B69" s="756" t="s">
        <v>697</v>
      </c>
      <c r="C69" s="1165" t="s">
        <v>698</v>
      </c>
      <c r="D69" s="1165"/>
      <c r="E69" s="1165"/>
      <c r="F69" s="673">
        <v>61581000</v>
      </c>
      <c r="G69" s="721">
        <v>61581</v>
      </c>
    </row>
    <row r="70" spans="1:7" customFormat="1">
      <c r="A70" s="715" t="s">
        <v>265</v>
      </c>
      <c r="B70" s="750" t="s">
        <v>699</v>
      </c>
      <c r="C70" s="661"/>
      <c r="D70" s="670"/>
      <c r="E70" s="671"/>
      <c r="F70" s="672">
        <f>SUM(F68:F69)</f>
        <v>223618680</v>
      </c>
      <c r="G70" s="724">
        <f>G68+G69</f>
        <v>223619</v>
      </c>
    </row>
    <row r="71" spans="1:7" customFormat="1">
      <c r="A71" s="711" t="s">
        <v>266</v>
      </c>
      <c r="B71" s="749" t="s">
        <v>267</v>
      </c>
      <c r="C71" s="665"/>
      <c r="D71" s="666"/>
      <c r="E71" s="667"/>
      <c r="F71" s="668"/>
      <c r="G71" s="710"/>
    </row>
    <row r="72" spans="1:7" customFormat="1" ht="32.25" customHeight="1">
      <c r="A72" s="714" t="s">
        <v>534</v>
      </c>
      <c r="B72" s="746" t="s">
        <v>700</v>
      </c>
      <c r="C72" s="665">
        <v>43.92</v>
      </c>
      <c r="D72" s="666" t="s">
        <v>268</v>
      </c>
      <c r="E72" s="667">
        <v>2200000</v>
      </c>
      <c r="F72" s="668">
        <f>C72*E72</f>
        <v>96624000</v>
      </c>
      <c r="G72" s="710">
        <v>96624</v>
      </c>
    </row>
    <row r="73" spans="1:7" customFormat="1" ht="29.25" customHeight="1">
      <c r="A73" s="714" t="s">
        <v>535</v>
      </c>
      <c r="B73" s="754" t="s">
        <v>536</v>
      </c>
      <c r="C73" s="1170" t="s">
        <v>701</v>
      </c>
      <c r="D73" s="1170"/>
      <c r="E73" s="1170"/>
      <c r="F73" s="668">
        <v>94349758</v>
      </c>
      <c r="G73" s="710">
        <v>94350</v>
      </c>
    </row>
    <row r="74" spans="1:7" customFormat="1" ht="31.5">
      <c r="A74" s="725" t="s">
        <v>537</v>
      </c>
      <c r="B74" s="746" t="s">
        <v>702</v>
      </c>
      <c r="C74" s="665">
        <v>1862</v>
      </c>
      <c r="D74" s="666" t="s">
        <v>231</v>
      </c>
      <c r="E74" s="667">
        <v>285</v>
      </c>
      <c r="F74" s="668">
        <f>C74*E74</f>
        <v>530670</v>
      </c>
      <c r="G74" s="710">
        <v>531</v>
      </c>
    </row>
    <row r="75" spans="1:7" customFormat="1">
      <c r="A75" s="715" t="s">
        <v>266</v>
      </c>
      <c r="B75" s="753" t="s">
        <v>269</v>
      </c>
      <c r="C75" s="665"/>
      <c r="D75" s="666"/>
      <c r="E75" s="667"/>
      <c r="F75" s="680">
        <f>SUM(F72:F74)</f>
        <v>191504428</v>
      </c>
      <c r="G75" s="719">
        <f>G72+G73+G74</f>
        <v>191505</v>
      </c>
    </row>
    <row r="76" spans="1:7" customFormat="1" ht="30.75" customHeight="1">
      <c r="A76" s="728" t="s">
        <v>271</v>
      </c>
      <c r="B76" s="747" t="s">
        <v>272</v>
      </c>
      <c r="C76" s="665"/>
      <c r="D76" s="666"/>
      <c r="E76" s="667"/>
      <c r="F76" s="680" t="e">
        <f>F62+F64+F65+F66+F70+F75</f>
        <v>#REF!</v>
      </c>
      <c r="G76" s="719">
        <f>G43+G62+G64+G65+G66+G70+G75</f>
        <v>683557</v>
      </c>
    </row>
    <row r="77" spans="1:7" customFormat="1" ht="31.5" customHeight="1">
      <c r="A77" s="715" t="s">
        <v>273</v>
      </c>
      <c r="B77" s="757" t="s">
        <v>274</v>
      </c>
      <c r="C77" s="665"/>
      <c r="D77" s="666"/>
      <c r="E77" s="667"/>
      <c r="F77" s="668"/>
      <c r="G77" s="710"/>
    </row>
    <row r="78" spans="1:7" customFormat="1" ht="31.5" customHeight="1">
      <c r="A78" s="711" t="s">
        <v>703</v>
      </c>
      <c r="B78" s="755" t="s">
        <v>806</v>
      </c>
      <c r="C78" s="668">
        <v>23169</v>
      </c>
      <c r="D78" s="666" t="s">
        <v>231</v>
      </c>
      <c r="E78" s="667">
        <v>1251</v>
      </c>
      <c r="F78" s="668">
        <f>C78*E78</f>
        <v>28984419</v>
      </c>
      <c r="G78" s="729">
        <f>F78/1000</f>
        <v>28984.419000000002</v>
      </c>
    </row>
    <row r="79" spans="1:7" customFormat="1" ht="19.5" customHeight="1">
      <c r="A79" s="728" t="s">
        <v>276</v>
      </c>
      <c r="B79" s="753" t="s">
        <v>277</v>
      </c>
      <c r="C79" s="665"/>
      <c r="D79" s="666"/>
      <c r="E79" s="667"/>
      <c r="F79" s="680">
        <f>SUM(F78:F78)</f>
        <v>28984419</v>
      </c>
      <c r="G79" s="719">
        <f>SUM(G78:G78)</f>
        <v>28984.419000000002</v>
      </c>
    </row>
    <row r="80" spans="1:7" customFormat="1" ht="31.5">
      <c r="A80" s="728" t="s">
        <v>278</v>
      </c>
      <c r="B80" s="746" t="s">
        <v>704</v>
      </c>
      <c r="C80" s="665"/>
      <c r="D80" s="666"/>
      <c r="E80" s="669"/>
      <c r="F80" s="685">
        <v>0</v>
      </c>
      <c r="G80" s="710">
        <v>0</v>
      </c>
    </row>
    <row r="81" spans="1:8" customFormat="1" ht="36.75" customHeight="1">
      <c r="A81" s="1171" t="s">
        <v>538</v>
      </c>
      <c r="B81" s="1172"/>
      <c r="C81" s="695"/>
      <c r="D81" s="696"/>
      <c r="E81" s="697"/>
      <c r="F81" s="698" t="e">
        <f>F30+F41+F76+F79+F80</f>
        <v>#REF!</v>
      </c>
      <c r="G81" s="730">
        <f>G30+G41+G76+G79+G80</f>
        <v>1269779.419</v>
      </c>
    </row>
    <row r="82" spans="1:8" customFormat="1">
      <c r="A82" s="709" t="s">
        <v>705</v>
      </c>
      <c r="B82" s="664" t="s">
        <v>706</v>
      </c>
      <c r="C82" s="665"/>
      <c r="D82" s="666"/>
      <c r="E82" s="1173"/>
      <c r="F82" s="1173"/>
      <c r="G82" s="710"/>
    </row>
    <row r="83" spans="1:8" customFormat="1" ht="28.5">
      <c r="A83" s="731" t="s">
        <v>707</v>
      </c>
      <c r="B83" s="758" t="s">
        <v>708</v>
      </c>
      <c r="C83" s="1174"/>
      <c r="D83" s="1174"/>
      <c r="E83" s="1174"/>
      <c r="F83" s="699"/>
      <c r="G83" s="710"/>
    </row>
    <row r="84" spans="1:8" customFormat="1" ht="30" customHeight="1">
      <c r="A84" s="711" t="s">
        <v>709</v>
      </c>
      <c r="B84" s="758" t="s">
        <v>710</v>
      </c>
      <c r="C84" s="1164" t="s">
        <v>711</v>
      </c>
      <c r="D84" s="1164"/>
      <c r="E84" s="1164"/>
      <c r="F84" s="768"/>
      <c r="G84" s="710"/>
    </row>
    <row r="85" spans="1:8" customFormat="1" ht="30" customHeight="1">
      <c r="A85" s="711" t="s">
        <v>712</v>
      </c>
      <c r="B85" s="758" t="s">
        <v>713</v>
      </c>
      <c r="C85" s="1164" t="s">
        <v>711</v>
      </c>
      <c r="D85" s="1164"/>
      <c r="E85" s="1164"/>
      <c r="F85" s="768"/>
      <c r="G85" s="710"/>
    </row>
    <row r="86" spans="1:8" customFormat="1" ht="47.25" customHeight="1">
      <c r="A86" s="711" t="s">
        <v>714</v>
      </c>
      <c r="B86" s="758" t="s">
        <v>715</v>
      </c>
      <c r="C86" s="1164" t="s">
        <v>716</v>
      </c>
      <c r="D86" s="1164"/>
      <c r="E86" s="1164"/>
      <c r="F86" s="769">
        <v>100800000</v>
      </c>
      <c r="G86" s="710"/>
    </row>
    <row r="87" spans="1:8" customFormat="1" ht="30" customHeight="1">
      <c r="A87" s="711" t="s">
        <v>717</v>
      </c>
      <c r="B87" s="758" t="s">
        <v>275</v>
      </c>
      <c r="C87" s="1164" t="s">
        <v>711</v>
      </c>
      <c r="D87" s="1164"/>
      <c r="E87" s="1164"/>
      <c r="F87" s="1164"/>
      <c r="G87" s="710"/>
    </row>
    <row r="88" spans="1:8" customFormat="1">
      <c r="A88" s="732" t="s">
        <v>705</v>
      </c>
      <c r="B88" s="700" t="s">
        <v>718</v>
      </c>
      <c r="C88" s="1166"/>
      <c r="D88" s="1166"/>
      <c r="E88" s="1166"/>
      <c r="F88" s="701" t="e">
        <f>F86+#REF!</f>
        <v>#REF!</v>
      </c>
      <c r="G88" s="733">
        <f>G83+G84+G85+G86+G87</f>
        <v>0</v>
      </c>
    </row>
    <row r="89" spans="1:8" customFormat="1" ht="18.75">
      <c r="A89" s="734"/>
      <c r="B89" s="759" t="s">
        <v>749</v>
      </c>
      <c r="C89" s="702"/>
      <c r="D89" s="703"/>
      <c r="E89" s="704"/>
      <c r="F89" s="705" t="e">
        <f>F81+#REF!</f>
        <v>#REF!</v>
      </c>
      <c r="G89" s="735">
        <f>G81+G88</f>
        <v>1269779.419</v>
      </c>
    </row>
    <row r="90" spans="1:8" s="543" customFormat="1">
      <c r="A90" s="736"/>
      <c r="B90" s="760" t="s">
        <v>752</v>
      </c>
      <c r="C90" s="706"/>
      <c r="D90" s="707"/>
      <c r="E90" s="708"/>
      <c r="F90" s="708"/>
      <c r="G90" s="737">
        <v>80000</v>
      </c>
    </row>
    <row r="91" spans="1:8" s="543" customFormat="1">
      <c r="A91" s="736"/>
      <c r="B91" s="760"/>
      <c r="C91" s="706"/>
      <c r="D91" s="707"/>
      <c r="E91" s="708"/>
      <c r="F91" s="708"/>
      <c r="G91" s="737"/>
    </row>
    <row r="92" spans="1:8" s="543" customFormat="1">
      <c r="A92" s="736"/>
      <c r="B92" s="761" t="s">
        <v>750</v>
      </c>
      <c r="C92" s="706"/>
      <c r="D92" s="707"/>
      <c r="E92" s="708"/>
      <c r="F92" s="708"/>
      <c r="G92" s="738">
        <f>SUM(G90:G91)</f>
        <v>80000</v>
      </c>
    </row>
    <row r="93" spans="1:8" s="543" customFormat="1" ht="19.5" thickBot="1">
      <c r="A93" s="739"/>
      <c r="B93" s="762" t="s">
        <v>751</v>
      </c>
      <c r="C93" s="740"/>
      <c r="D93" s="741"/>
      <c r="E93" s="742"/>
      <c r="F93" s="742"/>
      <c r="G93" s="743">
        <f>G89+G92</f>
        <v>1349779.419</v>
      </c>
      <c r="H93" s="544"/>
    </row>
    <row r="94" spans="1:8" customFormat="1" ht="30" customHeight="1">
      <c r="A94" s="527"/>
      <c r="B94" s="763"/>
      <c r="C94" s="523"/>
      <c r="D94" s="524"/>
      <c r="E94" s="528"/>
      <c r="F94" s="528"/>
      <c r="G94" s="529"/>
    </row>
    <row r="95" spans="1:8" customFormat="1">
      <c r="A95" s="523"/>
      <c r="B95" s="764"/>
      <c r="C95" s="523"/>
      <c r="D95" s="524"/>
      <c r="E95" s="525"/>
      <c r="F95" s="526"/>
      <c r="G95" s="526"/>
    </row>
    <row r="96" spans="1:8" customFormat="1" ht="18.75">
      <c r="A96" s="523"/>
      <c r="B96" s="765" t="s">
        <v>719</v>
      </c>
      <c r="C96" s="530"/>
      <c r="D96" s="531"/>
      <c r="E96" s="532"/>
      <c r="G96" s="529"/>
    </row>
    <row r="97" spans="1:7" customFormat="1" ht="18.75">
      <c r="A97" s="523"/>
      <c r="B97" s="766" t="s">
        <v>720</v>
      </c>
      <c r="C97" s="533"/>
      <c r="D97" s="534"/>
      <c r="E97" s="535"/>
      <c r="G97" s="529"/>
    </row>
    <row r="98" spans="1:7" customFormat="1" ht="18.75" customHeight="1">
      <c r="A98" s="523"/>
      <c r="B98" s="770" t="s">
        <v>279</v>
      </c>
      <c r="C98" s="1163" t="s">
        <v>721</v>
      </c>
      <c r="D98" s="1163"/>
      <c r="E98" s="536">
        <v>388765870.03231966</v>
      </c>
      <c r="F98" t="s">
        <v>722</v>
      </c>
      <c r="G98" s="529"/>
    </row>
    <row r="99" spans="1:7" customFormat="1" ht="18.75">
      <c r="A99" s="523"/>
      <c r="B99" s="767" t="s">
        <v>242</v>
      </c>
      <c r="C99" s="537">
        <v>62556300</v>
      </c>
      <c r="D99" s="538"/>
      <c r="E99" s="537">
        <f t="shared" ref="E99:E105" si="1">E98-C99</f>
        <v>326209570.03231966</v>
      </c>
      <c r="G99" s="529"/>
    </row>
    <row r="100" spans="1:7" customFormat="1" ht="18.75">
      <c r="B100" s="767" t="s">
        <v>243</v>
      </c>
      <c r="C100" s="539">
        <v>1343850</v>
      </c>
      <c r="D100" s="540"/>
      <c r="E100" s="537">
        <f t="shared" si="1"/>
        <v>324865720.03231966</v>
      </c>
      <c r="G100" s="529"/>
    </row>
    <row r="101" spans="1:7" customFormat="1" ht="18.75">
      <c r="B101" s="767" t="s">
        <v>234</v>
      </c>
      <c r="C101" s="539">
        <v>42973560</v>
      </c>
      <c r="D101" s="540"/>
      <c r="E101" s="537">
        <f t="shared" si="1"/>
        <v>281892160.03231966</v>
      </c>
      <c r="G101" s="529"/>
    </row>
    <row r="102" spans="1:7" customFormat="1" ht="18.75">
      <c r="B102" s="767" t="s">
        <v>236</v>
      </c>
      <c r="C102" s="539">
        <v>83760000</v>
      </c>
      <c r="D102" s="540"/>
      <c r="E102" s="537">
        <f t="shared" si="1"/>
        <v>198132160.03231966</v>
      </c>
      <c r="G102" s="529"/>
    </row>
    <row r="103" spans="1:7" customFormat="1" ht="18.75">
      <c r="B103" s="767" t="s">
        <v>238</v>
      </c>
      <c r="C103" s="539">
        <v>13458016</v>
      </c>
      <c r="D103" s="540"/>
      <c r="E103" s="537">
        <f t="shared" si="1"/>
        <v>184674144.03231966</v>
      </c>
      <c r="G103" s="529"/>
    </row>
    <row r="104" spans="1:7" customFormat="1" ht="18.75">
      <c r="B104" s="767" t="s">
        <v>240</v>
      </c>
      <c r="C104" s="539">
        <v>30210950</v>
      </c>
      <c r="D104" s="540"/>
      <c r="E104" s="537">
        <f t="shared" si="1"/>
        <v>154463194.03231966</v>
      </c>
      <c r="G104" s="529"/>
    </row>
    <row r="105" spans="1:7" customFormat="1" ht="18.75">
      <c r="B105" s="767" t="s">
        <v>245</v>
      </c>
      <c r="C105" s="539">
        <v>46767280</v>
      </c>
      <c r="D105" s="540"/>
      <c r="E105" s="537">
        <f t="shared" si="1"/>
        <v>107695914.03231966</v>
      </c>
      <c r="G105" s="529"/>
    </row>
    <row r="106" spans="1:7" customFormat="1" ht="18.75">
      <c r="B106" s="767" t="s">
        <v>230</v>
      </c>
      <c r="C106" s="537">
        <v>302204516.66666669</v>
      </c>
      <c r="D106" s="540"/>
      <c r="E106" s="537">
        <f>C106-E105</f>
        <v>194508602.63434702</v>
      </c>
      <c r="F106" t="s">
        <v>723</v>
      </c>
      <c r="G106" s="529"/>
    </row>
  </sheetData>
  <mergeCells count="22">
    <mergeCell ref="A1:G1"/>
    <mergeCell ref="A2:G2"/>
    <mergeCell ref="A4:A5"/>
    <mergeCell ref="B4:B5"/>
    <mergeCell ref="C4:F4"/>
    <mergeCell ref="C5:D5"/>
    <mergeCell ref="G4:G5"/>
    <mergeCell ref="B42:G42"/>
    <mergeCell ref="C98:D98"/>
    <mergeCell ref="C86:E86"/>
    <mergeCell ref="C69:E69"/>
    <mergeCell ref="C87:F87"/>
    <mergeCell ref="C88:E88"/>
    <mergeCell ref="C61:E61"/>
    <mergeCell ref="C66:E66"/>
    <mergeCell ref="B67:C67"/>
    <mergeCell ref="C73:E73"/>
    <mergeCell ref="A81:B81"/>
    <mergeCell ref="E82:F82"/>
    <mergeCell ref="C83:E83"/>
    <mergeCell ref="C84:E84"/>
    <mergeCell ref="C85:E85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Header>&amp;L&amp;"Times New Roman,Normál"&amp;8 15. melléklet a 24/2019. (XII.19.) önkormányzati rendelethez</oddHeader>
  </headerFooter>
  <rowBreaks count="1" manualBreakCount="1">
    <brk id="62" max="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2"/>
  <sheetViews>
    <sheetView view="pageLayout" zoomScaleNormal="100" workbookViewId="0">
      <selection activeCell="B12" sqref="B12"/>
    </sheetView>
  </sheetViews>
  <sheetFormatPr defaultRowHeight="15"/>
  <cols>
    <col min="1" max="1" width="59.28515625" style="81" bestFit="1" customWidth="1"/>
    <col min="2" max="2" width="12.28515625" style="81" customWidth="1"/>
    <col min="3" max="16384" width="9.140625" style="77"/>
  </cols>
  <sheetData>
    <row r="2" spans="1:5">
      <c r="A2" s="1184" t="s">
        <v>617</v>
      </c>
      <c r="B2" s="1184"/>
    </row>
    <row r="3" spans="1:5" ht="15.75" thickBot="1">
      <c r="A3" s="78"/>
      <c r="B3" s="78"/>
    </row>
    <row r="4" spans="1:5" ht="15.75" thickBot="1">
      <c r="A4" s="273" t="s">
        <v>2</v>
      </c>
      <c r="B4" s="273" t="s">
        <v>3</v>
      </c>
    </row>
    <row r="5" spans="1:5">
      <c r="A5" s="274" t="s">
        <v>280</v>
      </c>
      <c r="B5" s="274">
        <f>B7+B10+B18</f>
        <v>103644</v>
      </c>
    </row>
    <row r="6" spans="1:5" s="79" customFormat="1" ht="14.25">
      <c r="A6" s="275"/>
      <c r="B6" s="275"/>
    </row>
    <row r="7" spans="1:5" s="79" customFormat="1" ht="14.25">
      <c r="A7" s="276" t="s">
        <v>281</v>
      </c>
      <c r="B7" s="276">
        <f>B8</f>
        <v>30000</v>
      </c>
    </row>
    <row r="8" spans="1:5" s="80" customFormat="1">
      <c r="A8" s="277" t="s">
        <v>281</v>
      </c>
      <c r="B8" s="277">
        <v>30000</v>
      </c>
      <c r="C8" s="89"/>
      <c r="E8" s="89"/>
    </row>
    <row r="9" spans="1:5">
      <c r="A9" s="277"/>
      <c r="B9" s="277"/>
    </row>
    <row r="10" spans="1:5">
      <c r="A10" s="276" t="s">
        <v>282</v>
      </c>
      <c r="B10" s="276">
        <f>SUM(B11:B12)</f>
        <v>73644</v>
      </c>
    </row>
    <row r="11" spans="1:5" s="80" customFormat="1">
      <c r="A11" s="558" t="s">
        <v>282</v>
      </c>
      <c r="B11" s="558">
        <v>11540</v>
      </c>
      <c r="C11" s="89"/>
    </row>
    <row r="12" spans="1:5" s="80" customFormat="1">
      <c r="A12" s="557" t="s">
        <v>775</v>
      </c>
      <c r="B12" s="557">
        <f>SUM(B13:B16)</f>
        <v>62104</v>
      </c>
      <c r="C12" s="89"/>
    </row>
    <row r="13" spans="1:5" s="80" customFormat="1" ht="30">
      <c r="A13" s="555" t="s">
        <v>774</v>
      </c>
      <c r="B13" s="556">
        <v>18174</v>
      </c>
      <c r="C13" s="89"/>
    </row>
    <row r="14" spans="1:5" s="80" customFormat="1" ht="30">
      <c r="A14" s="555" t="s">
        <v>776</v>
      </c>
      <c r="B14" s="556">
        <v>14811</v>
      </c>
      <c r="C14" s="89"/>
    </row>
    <row r="15" spans="1:5" s="80" customFormat="1">
      <c r="A15" s="559" t="s">
        <v>777</v>
      </c>
      <c r="B15" s="560">
        <v>24589</v>
      </c>
      <c r="C15" s="89"/>
    </row>
    <row r="16" spans="1:5" s="80" customFormat="1">
      <c r="A16" s="277" t="s">
        <v>780</v>
      </c>
      <c r="B16" s="277">
        <v>4530</v>
      </c>
    </row>
    <row r="17" spans="1:4" s="80" customFormat="1">
      <c r="A17" s="560"/>
      <c r="B17" s="560"/>
    </row>
    <row r="18" spans="1:4" s="80" customFormat="1" ht="14.25">
      <c r="A18" s="276" t="s">
        <v>283</v>
      </c>
      <c r="B18" s="276">
        <f>B19</f>
        <v>0</v>
      </c>
    </row>
    <row r="19" spans="1:4" s="80" customFormat="1">
      <c r="A19" s="278"/>
      <c r="B19" s="278"/>
      <c r="C19" s="89"/>
    </row>
    <row r="20" spans="1:4">
      <c r="A20" s="277"/>
      <c r="B20" s="277"/>
      <c r="D20" s="82"/>
    </row>
    <row r="21" spans="1:4">
      <c r="A21" s="276" t="s">
        <v>284</v>
      </c>
      <c r="B21" s="276">
        <f>B26+B23</f>
        <v>10000</v>
      </c>
    </row>
    <row r="22" spans="1:4">
      <c r="A22" s="276"/>
      <c r="B22" s="276"/>
    </row>
    <row r="23" spans="1:4">
      <c r="A23" s="276" t="s">
        <v>285</v>
      </c>
      <c r="B23" s="276">
        <f>B24</f>
        <v>10000</v>
      </c>
    </row>
    <row r="24" spans="1:4">
      <c r="A24" s="277" t="s">
        <v>285</v>
      </c>
      <c r="B24" s="277">
        <v>10000</v>
      </c>
      <c r="C24" s="82"/>
    </row>
    <row r="25" spans="1:4">
      <c r="A25" s="277"/>
      <c r="B25" s="277"/>
    </row>
    <row r="26" spans="1:4">
      <c r="A26" s="276" t="s">
        <v>518</v>
      </c>
      <c r="B26" s="276">
        <f>B27</f>
        <v>0</v>
      </c>
    </row>
    <row r="27" spans="1:4" ht="15.75" thickBot="1">
      <c r="A27" s="278"/>
      <c r="B27" s="278"/>
      <c r="C27" s="82"/>
    </row>
    <row r="28" spans="1:4" ht="15.75" thickBot="1">
      <c r="A28" s="279" t="s">
        <v>286</v>
      </c>
      <c r="B28" s="279">
        <f>B5+B21</f>
        <v>113644</v>
      </c>
      <c r="D28" s="82"/>
    </row>
    <row r="29" spans="1:4" s="80" customFormat="1" ht="14.25">
      <c r="A29" s="272"/>
      <c r="B29" s="124"/>
    </row>
    <row r="31" spans="1:4">
      <c r="A31" s="140"/>
    </row>
    <row r="32" spans="1:4">
      <c r="A32" s="140"/>
    </row>
  </sheetData>
  <mergeCells count="1">
    <mergeCell ref="A2:B2"/>
  </mergeCells>
  <printOptions horizontalCentered="1"/>
  <pageMargins left="0.70866141732283472" right="0.58458333333333334" top="0.74803149606299213" bottom="0.74803149606299213" header="0.31496062992125984" footer="0.31496062992125984"/>
  <pageSetup paperSize="9" orientation="portrait" r:id="rId1"/>
  <headerFooter>
    <oddHeader>&amp;L&amp;"Times New Roman,Normál"&amp;8 16. melléklet a 24/2019. (XII.19.)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8"/>
  <sheetViews>
    <sheetView view="pageLayout" zoomScale="250" zoomScaleNormal="80" zoomScalePageLayoutView="250" workbookViewId="0">
      <selection activeCell="I22" sqref="I22"/>
    </sheetView>
  </sheetViews>
  <sheetFormatPr defaultRowHeight="15"/>
  <cols>
    <col min="1" max="1" width="58.28515625" style="282" customWidth="1"/>
    <col min="2" max="2" width="38.140625" style="46" customWidth="1"/>
    <col min="3" max="10" width="17.42578125" style="46" customWidth="1"/>
    <col min="11" max="14" width="9.140625" style="156"/>
    <col min="15" max="258" width="9.140625" style="46"/>
    <col min="259" max="259" width="78.7109375" style="46" customWidth="1"/>
    <col min="260" max="260" width="55.140625" style="46" customWidth="1"/>
    <col min="261" max="261" width="34" style="46" customWidth="1"/>
    <col min="262" max="262" width="31.42578125" style="46" customWidth="1"/>
    <col min="263" max="263" width="18.7109375" style="46" customWidth="1"/>
    <col min="264" max="264" width="13" style="46" customWidth="1"/>
    <col min="265" max="265" width="16.28515625" style="46" customWidth="1"/>
    <col min="266" max="266" width="21.5703125" style="46" bestFit="1" customWidth="1"/>
    <col min="267" max="514" width="9.140625" style="46"/>
    <col min="515" max="515" width="78.7109375" style="46" customWidth="1"/>
    <col min="516" max="516" width="55.140625" style="46" customWidth="1"/>
    <col min="517" max="517" width="34" style="46" customWidth="1"/>
    <col min="518" max="518" width="31.42578125" style="46" customWidth="1"/>
    <col min="519" max="519" width="18.7109375" style="46" customWidth="1"/>
    <col min="520" max="520" width="13" style="46" customWidth="1"/>
    <col min="521" max="521" width="16.28515625" style="46" customWidth="1"/>
    <col min="522" max="522" width="21.5703125" style="46" bestFit="1" customWidth="1"/>
    <col min="523" max="770" width="9.140625" style="46"/>
    <col min="771" max="771" width="78.7109375" style="46" customWidth="1"/>
    <col min="772" max="772" width="55.140625" style="46" customWidth="1"/>
    <col min="773" max="773" width="34" style="46" customWidth="1"/>
    <col min="774" max="774" width="31.42578125" style="46" customWidth="1"/>
    <col min="775" max="775" width="18.7109375" style="46" customWidth="1"/>
    <col min="776" max="776" width="13" style="46" customWidth="1"/>
    <col min="777" max="777" width="16.28515625" style="46" customWidth="1"/>
    <col min="778" max="778" width="21.5703125" style="46" bestFit="1" customWidth="1"/>
    <col min="779" max="1026" width="9.140625" style="46"/>
    <col min="1027" max="1027" width="78.7109375" style="46" customWidth="1"/>
    <col min="1028" max="1028" width="55.140625" style="46" customWidth="1"/>
    <col min="1029" max="1029" width="34" style="46" customWidth="1"/>
    <col min="1030" max="1030" width="31.42578125" style="46" customWidth="1"/>
    <col min="1031" max="1031" width="18.7109375" style="46" customWidth="1"/>
    <col min="1032" max="1032" width="13" style="46" customWidth="1"/>
    <col min="1033" max="1033" width="16.28515625" style="46" customWidth="1"/>
    <col min="1034" max="1034" width="21.5703125" style="46" bestFit="1" customWidth="1"/>
    <col min="1035" max="1282" width="9.140625" style="46"/>
    <col min="1283" max="1283" width="78.7109375" style="46" customWidth="1"/>
    <col min="1284" max="1284" width="55.140625" style="46" customWidth="1"/>
    <col min="1285" max="1285" width="34" style="46" customWidth="1"/>
    <col min="1286" max="1286" width="31.42578125" style="46" customWidth="1"/>
    <col min="1287" max="1287" width="18.7109375" style="46" customWidth="1"/>
    <col min="1288" max="1288" width="13" style="46" customWidth="1"/>
    <col min="1289" max="1289" width="16.28515625" style="46" customWidth="1"/>
    <col min="1290" max="1290" width="21.5703125" style="46" bestFit="1" customWidth="1"/>
    <col min="1291" max="1538" width="9.140625" style="46"/>
    <col min="1539" max="1539" width="78.7109375" style="46" customWidth="1"/>
    <col min="1540" max="1540" width="55.140625" style="46" customWidth="1"/>
    <col min="1541" max="1541" width="34" style="46" customWidth="1"/>
    <col min="1542" max="1542" width="31.42578125" style="46" customWidth="1"/>
    <col min="1543" max="1543" width="18.7109375" style="46" customWidth="1"/>
    <col min="1544" max="1544" width="13" style="46" customWidth="1"/>
    <col min="1545" max="1545" width="16.28515625" style="46" customWidth="1"/>
    <col min="1546" max="1546" width="21.5703125" style="46" bestFit="1" customWidth="1"/>
    <col min="1547" max="1794" width="9.140625" style="46"/>
    <col min="1795" max="1795" width="78.7109375" style="46" customWidth="1"/>
    <col min="1796" max="1796" width="55.140625" style="46" customWidth="1"/>
    <col min="1797" max="1797" width="34" style="46" customWidth="1"/>
    <col min="1798" max="1798" width="31.42578125" style="46" customWidth="1"/>
    <col min="1799" max="1799" width="18.7109375" style="46" customWidth="1"/>
    <col min="1800" max="1800" width="13" style="46" customWidth="1"/>
    <col min="1801" max="1801" width="16.28515625" style="46" customWidth="1"/>
    <col min="1802" max="1802" width="21.5703125" style="46" bestFit="1" customWidth="1"/>
    <col min="1803" max="2050" width="9.140625" style="46"/>
    <col min="2051" max="2051" width="78.7109375" style="46" customWidth="1"/>
    <col min="2052" max="2052" width="55.140625" style="46" customWidth="1"/>
    <col min="2053" max="2053" width="34" style="46" customWidth="1"/>
    <col min="2054" max="2054" width="31.42578125" style="46" customWidth="1"/>
    <col min="2055" max="2055" width="18.7109375" style="46" customWidth="1"/>
    <col min="2056" max="2056" width="13" style="46" customWidth="1"/>
    <col min="2057" max="2057" width="16.28515625" style="46" customWidth="1"/>
    <col min="2058" max="2058" width="21.5703125" style="46" bestFit="1" customWidth="1"/>
    <col min="2059" max="2306" width="9.140625" style="46"/>
    <col min="2307" max="2307" width="78.7109375" style="46" customWidth="1"/>
    <col min="2308" max="2308" width="55.140625" style="46" customWidth="1"/>
    <col min="2309" max="2309" width="34" style="46" customWidth="1"/>
    <col min="2310" max="2310" width="31.42578125" style="46" customWidth="1"/>
    <col min="2311" max="2311" width="18.7109375" style="46" customWidth="1"/>
    <col min="2312" max="2312" width="13" style="46" customWidth="1"/>
    <col min="2313" max="2313" width="16.28515625" style="46" customWidth="1"/>
    <col min="2314" max="2314" width="21.5703125" style="46" bestFit="1" customWidth="1"/>
    <col min="2315" max="2562" width="9.140625" style="46"/>
    <col min="2563" max="2563" width="78.7109375" style="46" customWidth="1"/>
    <col min="2564" max="2564" width="55.140625" style="46" customWidth="1"/>
    <col min="2565" max="2565" width="34" style="46" customWidth="1"/>
    <col min="2566" max="2566" width="31.42578125" style="46" customWidth="1"/>
    <col min="2567" max="2567" width="18.7109375" style="46" customWidth="1"/>
    <col min="2568" max="2568" width="13" style="46" customWidth="1"/>
    <col min="2569" max="2569" width="16.28515625" style="46" customWidth="1"/>
    <col min="2570" max="2570" width="21.5703125" style="46" bestFit="1" customWidth="1"/>
    <col min="2571" max="2818" width="9.140625" style="46"/>
    <col min="2819" max="2819" width="78.7109375" style="46" customWidth="1"/>
    <col min="2820" max="2820" width="55.140625" style="46" customWidth="1"/>
    <col min="2821" max="2821" width="34" style="46" customWidth="1"/>
    <col min="2822" max="2822" width="31.42578125" style="46" customWidth="1"/>
    <col min="2823" max="2823" width="18.7109375" style="46" customWidth="1"/>
    <col min="2824" max="2824" width="13" style="46" customWidth="1"/>
    <col min="2825" max="2825" width="16.28515625" style="46" customWidth="1"/>
    <col min="2826" max="2826" width="21.5703125" style="46" bestFit="1" customWidth="1"/>
    <col min="2827" max="3074" width="9.140625" style="46"/>
    <col min="3075" max="3075" width="78.7109375" style="46" customWidth="1"/>
    <col min="3076" max="3076" width="55.140625" style="46" customWidth="1"/>
    <col min="3077" max="3077" width="34" style="46" customWidth="1"/>
    <col min="3078" max="3078" width="31.42578125" style="46" customWidth="1"/>
    <col min="3079" max="3079" width="18.7109375" style="46" customWidth="1"/>
    <col min="3080" max="3080" width="13" style="46" customWidth="1"/>
    <col min="3081" max="3081" width="16.28515625" style="46" customWidth="1"/>
    <col min="3082" max="3082" width="21.5703125" style="46" bestFit="1" customWidth="1"/>
    <col min="3083" max="3330" width="9.140625" style="46"/>
    <col min="3331" max="3331" width="78.7109375" style="46" customWidth="1"/>
    <col min="3332" max="3332" width="55.140625" style="46" customWidth="1"/>
    <col min="3333" max="3333" width="34" style="46" customWidth="1"/>
    <col min="3334" max="3334" width="31.42578125" style="46" customWidth="1"/>
    <col min="3335" max="3335" width="18.7109375" style="46" customWidth="1"/>
    <col min="3336" max="3336" width="13" style="46" customWidth="1"/>
    <col min="3337" max="3337" width="16.28515625" style="46" customWidth="1"/>
    <col min="3338" max="3338" width="21.5703125" style="46" bestFit="1" customWidth="1"/>
    <col min="3339" max="3586" width="9.140625" style="46"/>
    <col min="3587" max="3587" width="78.7109375" style="46" customWidth="1"/>
    <col min="3588" max="3588" width="55.140625" style="46" customWidth="1"/>
    <col min="3589" max="3589" width="34" style="46" customWidth="1"/>
    <col min="3590" max="3590" width="31.42578125" style="46" customWidth="1"/>
    <col min="3591" max="3591" width="18.7109375" style="46" customWidth="1"/>
    <col min="3592" max="3592" width="13" style="46" customWidth="1"/>
    <col min="3593" max="3593" width="16.28515625" style="46" customWidth="1"/>
    <col min="3594" max="3594" width="21.5703125" style="46" bestFit="1" customWidth="1"/>
    <col min="3595" max="3842" width="9.140625" style="46"/>
    <col min="3843" max="3843" width="78.7109375" style="46" customWidth="1"/>
    <col min="3844" max="3844" width="55.140625" style="46" customWidth="1"/>
    <col min="3845" max="3845" width="34" style="46" customWidth="1"/>
    <col min="3846" max="3846" width="31.42578125" style="46" customWidth="1"/>
    <col min="3847" max="3847" width="18.7109375" style="46" customWidth="1"/>
    <col min="3848" max="3848" width="13" style="46" customWidth="1"/>
    <col min="3849" max="3849" width="16.28515625" style="46" customWidth="1"/>
    <col min="3850" max="3850" width="21.5703125" style="46" bestFit="1" customWidth="1"/>
    <col min="3851" max="4098" width="9.140625" style="46"/>
    <col min="4099" max="4099" width="78.7109375" style="46" customWidth="1"/>
    <col min="4100" max="4100" width="55.140625" style="46" customWidth="1"/>
    <col min="4101" max="4101" width="34" style="46" customWidth="1"/>
    <col min="4102" max="4102" width="31.42578125" style="46" customWidth="1"/>
    <col min="4103" max="4103" width="18.7109375" style="46" customWidth="1"/>
    <col min="4104" max="4104" width="13" style="46" customWidth="1"/>
    <col min="4105" max="4105" width="16.28515625" style="46" customWidth="1"/>
    <col min="4106" max="4106" width="21.5703125" style="46" bestFit="1" customWidth="1"/>
    <col min="4107" max="4354" width="9.140625" style="46"/>
    <col min="4355" max="4355" width="78.7109375" style="46" customWidth="1"/>
    <col min="4356" max="4356" width="55.140625" style="46" customWidth="1"/>
    <col min="4357" max="4357" width="34" style="46" customWidth="1"/>
    <col min="4358" max="4358" width="31.42578125" style="46" customWidth="1"/>
    <col min="4359" max="4359" width="18.7109375" style="46" customWidth="1"/>
    <col min="4360" max="4360" width="13" style="46" customWidth="1"/>
    <col min="4361" max="4361" width="16.28515625" style="46" customWidth="1"/>
    <col min="4362" max="4362" width="21.5703125" style="46" bestFit="1" customWidth="1"/>
    <col min="4363" max="4610" width="9.140625" style="46"/>
    <col min="4611" max="4611" width="78.7109375" style="46" customWidth="1"/>
    <col min="4612" max="4612" width="55.140625" style="46" customWidth="1"/>
    <col min="4613" max="4613" width="34" style="46" customWidth="1"/>
    <col min="4614" max="4614" width="31.42578125" style="46" customWidth="1"/>
    <col min="4615" max="4615" width="18.7109375" style="46" customWidth="1"/>
    <col min="4616" max="4616" width="13" style="46" customWidth="1"/>
    <col min="4617" max="4617" width="16.28515625" style="46" customWidth="1"/>
    <col min="4618" max="4618" width="21.5703125" style="46" bestFit="1" customWidth="1"/>
    <col min="4619" max="4866" width="9.140625" style="46"/>
    <col min="4867" max="4867" width="78.7109375" style="46" customWidth="1"/>
    <col min="4868" max="4868" width="55.140625" style="46" customWidth="1"/>
    <col min="4869" max="4869" width="34" style="46" customWidth="1"/>
    <col min="4870" max="4870" width="31.42578125" style="46" customWidth="1"/>
    <col min="4871" max="4871" width="18.7109375" style="46" customWidth="1"/>
    <col min="4872" max="4872" width="13" style="46" customWidth="1"/>
    <col min="4873" max="4873" width="16.28515625" style="46" customWidth="1"/>
    <col min="4874" max="4874" width="21.5703125" style="46" bestFit="1" customWidth="1"/>
    <col min="4875" max="5122" width="9.140625" style="46"/>
    <col min="5123" max="5123" width="78.7109375" style="46" customWidth="1"/>
    <col min="5124" max="5124" width="55.140625" style="46" customWidth="1"/>
    <col min="5125" max="5125" width="34" style="46" customWidth="1"/>
    <col min="5126" max="5126" width="31.42578125" style="46" customWidth="1"/>
    <col min="5127" max="5127" width="18.7109375" style="46" customWidth="1"/>
    <col min="5128" max="5128" width="13" style="46" customWidth="1"/>
    <col min="5129" max="5129" width="16.28515625" style="46" customWidth="1"/>
    <col min="5130" max="5130" width="21.5703125" style="46" bestFit="1" customWidth="1"/>
    <col min="5131" max="5378" width="9.140625" style="46"/>
    <col min="5379" max="5379" width="78.7109375" style="46" customWidth="1"/>
    <col min="5380" max="5380" width="55.140625" style="46" customWidth="1"/>
    <col min="5381" max="5381" width="34" style="46" customWidth="1"/>
    <col min="5382" max="5382" width="31.42578125" style="46" customWidth="1"/>
    <col min="5383" max="5383" width="18.7109375" style="46" customWidth="1"/>
    <col min="5384" max="5384" width="13" style="46" customWidth="1"/>
    <col min="5385" max="5385" width="16.28515625" style="46" customWidth="1"/>
    <col min="5386" max="5386" width="21.5703125" style="46" bestFit="1" customWidth="1"/>
    <col min="5387" max="5634" width="9.140625" style="46"/>
    <col min="5635" max="5635" width="78.7109375" style="46" customWidth="1"/>
    <col min="5636" max="5636" width="55.140625" style="46" customWidth="1"/>
    <col min="5637" max="5637" width="34" style="46" customWidth="1"/>
    <col min="5638" max="5638" width="31.42578125" style="46" customWidth="1"/>
    <col min="5639" max="5639" width="18.7109375" style="46" customWidth="1"/>
    <col min="5640" max="5640" width="13" style="46" customWidth="1"/>
    <col min="5641" max="5641" width="16.28515625" style="46" customWidth="1"/>
    <col min="5642" max="5642" width="21.5703125" style="46" bestFit="1" customWidth="1"/>
    <col min="5643" max="5890" width="9.140625" style="46"/>
    <col min="5891" max="5891" width="78.7109375" style="46" customWidth="1"/>
    <col min="5892" max="5892" width="55.140625" style="46" customWidth="1"/>
    <col min="5893" max="5893" width="34" style="46" customWidth="1"/>
    <col min="5894" max="5894" width="31.42578125" style="46" customWidth="1"/>
    <col min="5895" max="5895" width="18.7109375" style="46" customWidth="1"/>
    <col min="5896" max="5896" width="13" style="46" customWidth="1"/>
    <col min="5897" max="5897" width="16.28515625" style="46" customWidth="1"/>
    <col min="5898" max="5898" width="21.5703125" style="46" bestFit="1" customWidth="1"/>
    <col min="5899" max="6146" width="9.140625" style="46"/>
    <col min="6147" max="6147" width="78.7109375" style="46" customWidth="1"/>
    <col min="6148" max="6148" width="55.140625" style="46" customWidth="1"/>
    <col min="6149" max="6149" width="34" style="46" customWidth="1"/>
    <col min="6150" max="6150" width="31.42578125" style="46" customWidth="1"/>
    <col min="6151" max="6151" width="18.7109375" style="46" customWidth="1"/>
    <col min="6152" max="6152" width="13" style="46" customWidth="1"/>
    <col min="6153" max="6153" width="16.28515625" style="46" customWidth="1"/>
    <col min="6154" max="6154" width="21.5703125" style="46" bestFit="1" customWidth="1"/>
    <col min="6155" max="6402" width="9.140625" style="46"/>
    <col min="6403" max="6403" width="78.7109375" style="46" customWidth="1"/>
    <col min="6404" max="6404" width="55.140625" style="46" customWidth="1"/>
    <col min="6405" max="6405" width="34" style="46" customWidth="1"/>
    <col min="6406" max="6406" width="31.42578125" style="46" customWidth="1"/>
    <col min="6407" max="6407" width="18.7109375" style="46" customWidth="1"/>
    <col min="6408" max="6408" width="13" style="46" customWidth="1"/>
    <col min="6409" max="6409" width="16.28515625" style="46" customWidth="1"/>
    <col min="6410" max="6410" width="21.5703125" style="46" bestFit="1" customWidth="1"/>
    <col min="6411" max="6658" width="9.140625" style="46"/>
    <col min="6659" max="6659" width="78.7109375" style="46" customWidth="1"/>
    <col min="6660" max="6660" width="55.140625" style="46" customWidth="1"/>
    <col min="6661" max="6661" width="34" style="46" customWidth="1"/>
    <col min="6662" max="6662" width="31.42578125" style="46" customWidth="1"/>
    <col min="6663" max="6663" width="18.7109375" style="46" customWidth="1"/>
    <col min="6664" max="6664" width="13" style="46" customWidth="1"/>
    <col min="6665" max="6665" width="16.28515625" style="46" customWidth="1"/>
    <col min="6666" max="6666" width="21.5703125" style="46" bestFit="1" customWidth="1"/>
    <col min="6667" max="6914" width="9.140625" style="46"/>
    <col min="6915" max="6915" width="78.7109375" style="46" customWidth="1"/>
    <col min="6916" max="6916" width="55.140625" style="46" customWidth="1"/>
    <col min="6917" max="6917" width="34" style="46" customWidth="1"/>
    <col min="6918" max="6918" width="31.42578125" style="46" customWidth="1"/>
    <col min="6919" max="6919" width="18.7109375" style="46" customWidth="1"/>
    <col min="6920" max="6920" width="13" style="46" customWidth="1"/>
    <col min="6921" max="6921" width="16.28515625" style="46" customWidth="1"/>
    <col min="6922" max="6922" width="21.5703125" style="46" bestFit="1" customWidth="1"/>
    <col min="6923" max="7170" width="9.140625" style="46"/>
    <col min="7171" max="7171" width="78.7109375" style="46" customWidth="1"/>
    <col min="7172" max="7172" width="55.140625" style="46" customWidth="1"/>
    <col min="7173" max="7173" width="34" style="46" customWidth="1"/>
    <col min="7174" max="7174" width="31.42578125" style="46" customWidth="1"/>
    <col min="7175" max="7175" width="18.7109375" style="46" customWidth="1"/>
    <col min="7176" max="7176" width="13" style="46" customWidth="1"/>
    <col min="7177" max="7177" width="16.28515625" style="46" customWidth="1"/>
    <col min="7178" max="7178" width="21.5703125" style="46" bestFit="1" customWidth="1"/>
    <col min="7179" max="7426" width="9.140625" style="46"/>
    <col min="7427" max="7427" width="78.7109375" style="46" customWidth="1"/>
    <col min="7428" max="7428" width="55.140625" style="46" customWidth="1"/>
    <col min="7429" max="7429" width="34" style="46" customWidth="1"/>
    <col min="7430" max="7430" width="31.42578125" style="46" customWidth="1"/>
    <col min="7431" max="7431" width="18.7109375" style="46" customWidth="1"/>
    <col min="7432" max="7432" width="13" style="46" customWidth="1"/>
    <col min="7433" max="7433" width="16.28515625" style="46" customWidth="1"/>
    <col min="7434" max="7434" width="21.5703125" style="46" bestFit="1" customWidth="1"/>
    <col min="7435" max="7682" width="9.140625" style="46"/>
    <col min="7683" max="7683" width="78.7109375" style="46" customWidth="1"/>
    <col min="7684" max="7684" width="55.140625" style="46" customWidth="1"/>
    <col min="7685" max="7685" width="34" style="46" customWidth="1"/>
    <col min="7686" max="7686" width="31.42578125" style="46" customWidth="1"/>
    <col min="7687" max="7687" width="18.7109375" style="46" customWidth="1"/>
    <col min="7688" max="7688" width="13" style="46" customWidth="1"/>
    <col min="7689" max="7689" width="16.28515625" style="46" customWidth="1"/>
    <col min="7690" max="7690" width="21.5703125" style="46" bestFit="1" customWidth="1"/>
    <col min="7691" max="7938" width="9.140625" style="46"/>
    <col min="7939" max="7939" width="78.7109375" style="46" customWidth="1"/>
    <col min="7940" max="7940" width="55.140625" style="46" customWidth="1"/>
    <col min="7941" max="7941" width="34" style="46" customWidth="1"/>
    <col min="7942" max="7942" width="31.42578125" style="46" customWidth="1"/>
    <col min="7943" max="7943" width="18.7109375" style="46" customWidth="1"/>
    <col min="7944" max="7944" width="13" style="46" customWidth="1"/>
    <col min="7945" max="7945" width="16.28515625" style="46" customWidth="1"/>
    <col min="7946" max="7946" width="21.5703125" style="46" bestFit="1" customWidth="1"/>
    <col min="7947" max="8194" width="9.140625" style="46"/>
    <col min="8195" max="8195" width="78.7109375" style="46" customWidth="1"/>
    <col min="8196" max="8196" width="55.140625" style="46" customWidth="1"/>
    <col min="8197" max="8197" width="34" style="46" customWidth="1"/>
    <col min="8198" max="8198" width="31.42578125" style="46" customWidth="1"/>
    <col min="8199" max="8199" width="18.7109375" style="46" customWidth="1"/>
    <col min="8200" max="8200" width="13" style="46" customWidth="1"/>
    <col min="8201" max="8201" width="16.28515625" style="46" customWidth="1"/>
    <col min="8202" max="8202" width="21.5703125" style="46" bestFit="1" customWidth="1"/>
    <col min="8203" max="8450" width="9.140625" style="46"/>
    <col min="8451" max="8451" width="78.7109375" style="46" customWidth="1"/>
    <col min="8452" max="8452" width="55.140625" style="46" customWidth="1"/>
    <col min="8453" max="8453" width="34" style="46" customWidth="1"/>
    <col min="8454" max="8454" width="31.42578125" style="46" customWidth="1"/>
    <col min="8455" max="8455" width="18.7109375" style="46" customWidth="1"/>
    <col min="8456" max="8456" width="13" style="46" customWidth="1"/>
    <col min="8457" max="8457" width="16.28515625" style="46" customWidth="1"/>
    <col min="8458" max="8458" width="21.5703125" style="46" bestFit="1" customWidth="1"/>
    <col min="8459" max="8706" width="9.140625" style="46"/>
    <col min="8707" max="8707" width="78.7109375" style="46" customWidth="1"/>
    <col min="8708" max="8708" width="55.140625" style="46" customWidth="1"/>
    <col min="8709" max="8709" width="34" style="46" customWidth="1"/>
    <col min="8710" max="8710" width="31.42578125" style="46" customWidth="1"/>
    <col min="8711" max="8711" width="18.7109375" style="46" customWidth="1"/>
    <col min="8712" max="8712" width="13" style="46" customWidth="1"/>
    <col min="8713" max="8713" width="16.28515625" style="46" customWidth="1"/>
    <col min="8714" max="8714" width="21.5703125" style="46" bestFit="1" customWidth="1"/>
    <col min="8715" max="8962" width="9.140625" style="46"/>
    <col min="8963" max="8963" width="78.7109375" style="46" customWidth="1"/>
    <col min="8964" max="8964" width="55.140625" style="46" customWidth="1"/>
    <col min="8965" max="8965" width="34" style="46" customWidth="1"/>
    <col min="8966" max="8966" width="31.42578125" style="46" customWidth="1"/>
    <col min="8967" max="8967" width="18.7109375" style="46" customWidth="1"/>
    <col min="8968" max="8968" width="13" style="46" customWidth="1"/>
    <col min="8969" max="8969" width="16.28515625" style="46" customWidth="1"/>
    <col min="8970" max="8970" width="21.5703125" style="46" bestFit="1" customWidth="1"/>
    <col min="8971" max="9218" width="9.140625" style="46"/>
    <col min="9219" max="9219" width="78.7109375" style="46" customWidth="1"/>
    <col min="9220" max="9220" width="55.140625" style="46" customWidth="1"/>
    <col min="9221" max="9221" width="34" style="46" customWidth="1"/>
    <col min="9222" max="9222" width="31.42578125" style="46" customWidth="1"/>
    <col min="9223" max="9223" width="18.7109375" style="46" customWidth="1"/>
    <col min="9224" max="9224" width="13" style="46" customWidth="1"/>
    <col min="9225" max="9225" width="16.28515625" style="46" customWidth="1"/>
    <col min="9226" max="9226" width="21.5703125" style="46" bestFit="1" customWidth="1"/>
    <col min="9227" max="9474" width="9.140625" style="46"/>
    <col min="9475" max="9475" width="78.7109375" style="46" customWidth="1"/>
    <col min="9476" max="9476" width="55.140625" style="46" customWidth="1"/>
    <col min="9477" max="9477" width="34" style="46" customWidth="1"/>
    <col min="9478" max="9478" width="31.42578125" style="46" customWidth="1"/>
    <col min="9479" max="9479" width="18.7109375" style="46" customWidth="1"/>
    <col min="9480" max="9480" width="13" style="46" customWidth="1"/>
    <col min="9481" max="9481" width="16.28515625" style="46" customWidth="1"/>
    <col min="9482" max="9482" width="21.5703125" style="46" bestFit="1" customWidth="1"/>
    <col min="9483" max="9730" width="9.140625" style="46"/>
    <col min="9731" max="9731" width="78.7109375" style="46" customWidth="1"/>
    <col min="9732" max="9732" width="55.140625" style="46" customWidth="1"/>
    <col min="9733" max="9733" width="34" style="46" customWidth="1"/>
    <col min="9734" max="9734" width="31.42578125" style="46" customWidth="1"/>
    <col min="9735" max="9735" width="18.7109375" style="46" customWidth="1"/>
    <col min="9736" max="9736" width="13" style="46" customWidth="1"/>
    <col min="9737" max="9737" width="16.28515625" style="46" customWidth="1"/>
    <col min="9738" max="9738" width="21.5703125" style="46" bestFit="1" customWidth="1"/>
    <col min="9739" max="9986" width="9.140625" style="46"/>
    <col min="9987" max="9987" width="78.7109375" style="46" customWidth="1"/>
    <col min="9988" max="9988" width="55.140625" style="46" customWidth="1"/>
    <col min="9989" max="9989" width="34" style="46" customWidth="1"/>
    <col min="9990" max="9990" width="31.42578125" style="46" customWidth="1"/>
    <col min="9991" max="9991" width="18.7109375" style="46" customWidth="1"/>
    <col min="9992" max="9992" width="13" style="46" customWidth="1"/>
    <col min="9993" max="9993" width="16.28515625" style="46" customWidth="1"/>
    <col min="9994" max="9994" width="21.5703125" style="46" bestFit="1" customWidth="1"/>
    <col min="9995" max="10242" width="9.140625" style="46"/>
    <col min="10243" max="10243" width="78.7109375" style="46" customWidth="1"/>
    <col min="10244" max="10244" width="55.140625" style="46" customWidth="1"/>
    <col min="10245" max="10245" width="34" style="46" customWidth="1"/>
    <col min="10246" max="10246" width="31.42578125" style="46" customWidth="1"/>
    <col min="10247" max="10247" width="18.7109375" style="46" customWidth="1"/>
    <col min="10248" max="10248" width="13" style="46" customWidth="1"/>
    <col min="10249" max="10249" width="16.28515625" style="46" customWidth="1"/>
    <col min="10250" max="10250" width="21.5703125" style="46" bestFit="1" customWidth="1"/>
    <col min="10251" max="10498" width="9.140625" style="46"/>
    <col min="10499" max="10499" width="78.7109375" style="46" customWidth="1"/>
    <col min="10500" max="10500" width="55.140625" style="46" customWidth="1"/>
    <col min="10501" max="10501" width="34" style="46" customWidth="1"/>
    <col min="10502" max="10502" width="31.42578125" style="46" customWidth="1"/>
    <col min="10503" max="10503" width="18.7109375" style="46" customWidth="1"/>
    <col min="10504" max="10504" width="13" style="46" customWidth="1"/>
    <col min="10505" max="10505" width="16.28515625" style="46" customWidth="1"/>
    <col min="10506" max="10506" width="21.5703125" style="46" bestFit="1" customWidth="1"/>
    <col min="10507" max="10754" width="9.140625" style="46"/>
    <col min="10755" max="10755" width="78.7109375" style="46" customWidth="1"/>
    <col min="10756" max="10756" width="55.140625" style="46" customWidth="1"/>
    <col min="10757" max="10757" width="34" style="46" customWidth="1"/>
    <col min="10758" max="10758" width="31.42578125" style="46" customWidth="1"/>
    <col min="10759" max="10759" width="18.7109375" style="46" customWidth="1"/>
    <col min="10760" max="10760" width="13" style="46" customWidth="1"/>
    <col min="10761" max="10761" width="16.28515625" style="46" customWidth="1"/>
    <col min="10762" max="10762" width="21.5703125" style="46" bestFit="1" customWidth="1"/>
    <col min="10763" max="11010" width="9.140625" style="46"/>
    <col min="11011" max="11011" width="78.7109375" style="46" customWidth="1"/>
    <col min="11012" max="11012" width="55.140625" style="46" customWidth="1"/>
    <col min="11013" max="11013" width="34" style="46" customWidth="1"/>
    <col min="11014" max="11014" width="31.42578125" style="46" customWidth="1"/>
    <col min="11015" max="11015" width="18.7109375" style="46" customWidth="1"/>
    <col min="11016" max="11016" width="13" style="46" customWidth="1"/>
    <col min="11017" max="11017" width="16.28515625" style="46" customWidth="1"/>
    <col min="11018" max="11018" width="21.5703125" style="46" bestFit="1" customWidth="1"/>
    <col min="11019" max="11266" width="9.140625" style="46"/>
    <col min="11267" max="11267" width="78.7109375" style="46" customWidth="1"/>
    <col min="11268" max="11268" width="55.140625" style="46" customWidth="1"/>
    <col min="11269" max="11269" width="34" style="46" customWidth="1"/>
    <col min="11270" max="11270" width="31.42578125" style="46" customWidth="1"/>
    <col min="11271" max="11271" width="18.7109375" style="46" customWidth="1"/>
    <col min="11272" max="11272" width="13" style="46" customWidth="1"/>
    <col min="11273" max="11273" width="16.28515625" style="46" customWidth="1"/>
    <col min="11274" max="11274" width="21.5703125" style="46" bestFit="1" customWidth="1"/>
    <col min="11275" max="11522" width="9.140625" style="46"/>
    <col min="11523" max="11523" width="78.7109375" style="46" customWidth="1"/>
    <col min="11524" max="11524" width="55.140625" style="46" customWidth="1"/>
    <col min="11525" max="11525" width="34" style="46" customWidth="1"/>
    <col min="11526" max="11526" width="31.42578125" style="46" customWidth="1"/>
    <col min="11527" max="11527" width="18.7109375" style="46" customWidth="1"/>
    <col min="11528" max="11528" width="13" style="46" customWidth="1"/>
    <col min="11529" max="11529" width="16.28515625" style="46" customWidth="1"/>
    <col min="11530" max="11530" width="21.5703125" style="46" bestFit="1" customWidth="1"/>
    <col min="11531" max="11778" width="9.140625" style="46"/>
    <col min="11779" max="11779" width="78.7109375" style="46" customWidth="1"/>
    <col min="11780" max="11780" width="55.140625" style="46" customWidth="1"/>
    <col min="11781" max="11781" width="34" style="46" customWidth="1"/>
    <col min="11782" max="11782" width="31.42578125" style="46" customWidth="1"/>
    <col min="11783" max="11783" width="18.7109375" style="46" customWidth="1"/>
    <col min="11784" max="11784" width="13" style="46" customWidth="1"/>
    <col min="11785" max="11785" width="16.28515625" style="46" customWidth="1"/>
    <col min="11786" max="11786" width="21.5703125" style="46" bestFit="1" customWidth="1"/>
    <col min="11787" max="12034" width="9.140625" style="46"/>
    <col min="12035" max="12035" width="78.7109375" style="46" customWidth="1"/>
    <col min="12036" max="12036" width="55.140625" style="46" customWidth="1"/>
    <col min="12037" max="12037" width="34" style="46" customWidth="1"/>
    <col min="12038" max="12038" width="31.42578125" style="46" customWidth="1"/>
    <col min="12039" max="12039" width="18.7109375" style="46" customWidth="1"/>
    <col min="12040" max="12040" width="13" style="46" customWidth="1"/>
    <col min="12041" max="12041" width="16.28515625" style="46" customWidth="1"/>
    <col min="12042" max="12042" width="21.5703125" style="46" bestFit="1" customWidth="1"/>
    <col min="12043" max="12290" width="9.140625" style="46"/>
    <col min="12291" max="12291" width="78.7109375" style="46" customWidth="1"/>
    <col min="12292" max="12292" width="55.140625" style="46" customWidth="1"/>
    <col min="12293" max="12293" width="34" style="46" customWidth="1"/>
    <col min="12294" max="12294" width="31.42578125" style="46" customWidth="1"/>
    <col min="12295" max="12295" width="18.7109375" style="46" customWidth="1"/>
    <col min="12296" max="12296" width="13" style="46" customWidth="1"/>
    <col min="12297" max="12297" width="16.28515625" style="46" customWidth="1"/>
    <col min="12298" max="12298" width="21.5703125" style="46" bestFit="1" customWidth="1"/>
    <col min="12299" max="12546" width="9.140625" style="46"/>
    <col min="12547" max="12547" width="78.7109375" style="46" customWidth="1"/>
    <col min="12548" max="12548" width="55.140625" style="46" customWidth="1"/>
    <col min="12549" max="12549" width="34" style="46" customWidth="1"/>
    <col min="12550" max="12550" width="31.42578125" style="46" customWidth="1"/>
    <col min="12551" max="12551" width="18.7109375" style="46" customWidth="1"/>
    <col min="12552" max="12552" width="13" style="46" customWidth="1"/>
    <col min="12553" max="12553" width="16.28515625" style="46" customWidth="1"/>
    <col min="12554" max="12554" width="21.5703125" style="46" bestFit="1" customWidth="1"/>
    <col min="12555" max="12802" width="9.140625" style="46"/>
    <col min="12803" max="12803" width="78.7109375" style="46" customWidth="1"/>
    <col min="12804" max="12804" width="55.140625" style="46" customWidth="1"/>
    <col min="12805" max="12805" width="34" style="46" customWidth="1"/>
    <col min="12806" max="12806" width="31.42578125" style="46" customWidth="1"/>
    <col min="12807" max="12807" width="18.7109375" style="46" customWidth="1"/>
    <col min="12808" max="12808" width="13" style="46" customWidth="1"/>
    <col min="12809" max="12809" width="16.28515625" style="46" customWidth="1"/>
    <col min="12810" max="12810" width="21.5703125" style="46" bestFit="1" customWidth="1"/>
    <col min="12811" max="13058" width="9.140625" style="46"/>
    <col min="13059" max="13059" width="78.7109375" style="46" customWidth="1"/>
    <col min="13060" max="13060" width="55.140625" style="46" customWidth="1"/>
    <col min="13061" max="13061" width="34" style="46" customWidth="1"/>
    <col min="13062" max="13062" width="31.42578125" style="46" customWidth="1"/>
    <col min="13063" max="13063" width="18.7109375" style="46" customWidth="1"/>
    <col min="13064" max="13064" width="13" style="46" customWidth="1"/>
    <col min="13065" max="13065" width="16.28515625" style="46" customWidth="1"/>
    <col min="13066" max="13066" width="21.5703125" style="46" bestFit="1" customWidth="1"/>
    <col min="13067" max="13314" width="9.140625" style="46"/>
    <col min="13315" max="13315" width="78.7109375" style="46" customWidth="1"/>
    <col min="13316" max="13316" width="55.140625" style="46" customWidth="1"/>
    <col min="13317" max="13317" width="34" style="46" customWidth="1"/>
    <col min="13318" max="13318" width="31.42578125" style="46" customWidth="1"/>
    <col min="13319" max="13319" width="18.7109375" style="46" customWidth="1"/>
    <col min="13320" max="13320" width="13" style="46" customWidth="1"/>
    <col min="13321" max="13321" width="16.28515625" style="46" customWidth="1"/>
    <col min="13322" max="13322" width="21.5703125" style="46" bestFit="1" customWidth="1"/>
    <col min="13323" max="13570" width="9.140625" style="46"/>
    <col min="13571" max="13571" width="78.7109375" style="46" customWidth="1"/>
    <col min="13572" max="13572" width="55.140625" style="46" customWidth="1"/>
    <col min="13573" max="13573" width="34" style="46" customWidth="1"/>
    <col min="13574" max="13574" width="31.42578125" style="46" customWidth="1"/>
    <col min="13575" max="13575" width="18.7109375" style="46" customWidth="1"/>
    <col min="13576" max="13576" width="13" style="46" customWidth="1"/>
    <col min="13577" max="13577" width="16.28515625" style="46" customWidth="1"/>
    <col min="13578" max="13578" width="21.5703125" style="46" bestFit="1" customWidth="1"/>
    <col min="13579" max="13826" width="9.140625" style="46"/>
    <col min="13827" max="13827" width="78.7109375" style="46" customWidth="1"/>
    <col min="13828" max="13828" width="55.140625" style="46" customWidth="1"/>
    <col min="13829" max="13829" width="34" style="46" customWidth="1"/>
    <col min="13830" max="13830" width="31.42578125" style="46" customWidth="1"/>
    <col min="13831" max="13831" width="18.7109375" style="46" customWidth="1"/>
    <col min="13832" max="13832" width="13" style="46" customWidth="1"/>
    <col min="13833" max="13833" width="16.28515625" style="46" customWidth="1"/>
    <col min="13834" max="13834" width="21.5703125" style="46" bestFit="1" customWidth="1"/>
    <col min="13835" max="14082" width="9.140625" style="46"/>
    <col min="14083" max="14083" width="78.7109375" style="46" customWidth="1"/>
    <col min="14084" max="14084" width="55.140625" style="46" customWidth="1"/>
    <col min="14085" max="14085" width="34" style="46" customWidth="1"/>
    <col min="14086" max="14086" width="31.42578125" style="46" customWidth="1"/>
    <col min="14087" max="14087" width="18.7109375" style="46" customWidth="1"/>
    <col min="14088" max="14088" width="13" style="46" customWidth="1"/>
    <col min="14089" max="14089" width="16.28515625" style="46" customWidth="1"/>
    <col min="14090" max="14090" width="21.5703125" style="46" bestFit="1" customWidth="1"/>
    <col min="14091" max="14338" width="9.140625" style="46"/>
    <col min="14339" max="14339" width="78.7109375" style="46" customWidth="1"/>
    <col min="14340" max="14340" width="55.140625" style="46" customWidth="1"/>
    <col min="14341" max="14341" width="34" style="46" customWidth="1"/>
    <col min="14342" max="14342" width="31.42578125" style="46" customWidth="1"/>
    <col min="14343" max="14343" width="18.7109375" style="46" customWidth="1"/>
    <col min="14344" max="14344" width="13" style="46" customWidth="1"/>
    <col min="14345" max="14345" width="16.28515625" style="46" customWidth="1"/>
    <col min="14346" max="14346" width="21.5703125" style="46" bestFit="1" customWidth="1"/>
    <col min="14347" max="14594" width="9.140625" style="46"/>
    <col min="14595" max="14595" width="78.7109375" style="46" customWidth="1"/>
    <col min="14596" max="14596" width="55.140625" style="46" customWidth="1"/>
    <col min="14597" max="14597" width="34" style="46" customWidth="1"/>
    <col min="14598" max="14598" width="31.42578125" style="46" customWidth="1"/>
    <col min="14599" max="14599" width="18.7109375" style="46" customWidth="1"/>
    <col min="14600" max="14600" width="13" style="46" customWidth="1"/>
    <col min="14601" max="14601" width="16.28515625" style="46" customWidth="1"/>
    <col min="14602" max="14602" width="21.5703125" style="46" bestFit="1" customWidth="1"/>
    <col min="14603" max="14850" width="9.140625" style="46"/>
    <col min="14851" max="14851" width="78.7109375" style="46" customWidth="1"/>
    <col min="14852" max="14852" width="55.140625" style="46" customWidth="1"/>
    <col min="14853" max="14853" width="34" style="46" customWidth="1"/>
    <col min="14854" max="14854" width="31.42578125" style="46" customWidth="1"/>
    <col min="14855" max="14855" width="18.7109375" style="46" customWidth="1"/>
    <col min="14856" max="14856" width="13" style="46" customWidth="1"/>
    <col min="14857" max="14857" width="16.28515625" style="46" customWidth="1"/>
    <col min="14858" max="14858" width="21.5703125" style="46" bestFit="1" customWidth="1"/>
    <col min="14859" max="15106" width="9.140625" style="46"/>
    <col min="15107" max="15107" width="78.7109375" style="46" customWidth="1"/>
    <col min="15108" max="15108" width="55.140625" style="46" customWidth="1"/>
    <col min="15109" max="15109" width="34" style="46" customWidth="1"/>
    <col min="15110" max="15110" width="31.42578125" style="46" customWidth="1"/>
    <col min="15111" max="15111" width="18.7109375" style="46" customWidth="1"/>
    <col min="15112" max="15112" width="13" style="46" customWidth="1"/>
    <col min="15113" max="15113" width="16.28515625" style="46" customWidth="1"/>
    <col min="15114" max="15114" width="21.5703125" style="46" bestFit="1" customWidth="1"/>
    <col min="15115" max="15362" width="9.140625" style="46"/>
    <col min="15363" max="15363" width="78.7109375" style="46" customWidth="1"/>
    <col min="15364" max="15364" width="55.140625" style="46" customWidth="1"/>
    <col min="15365" max="15365" width="34" style="46" customWidth="1"/>
    <col min="15366" max="15366" width="31.42578125" style="46" customWidth="1"/>
    <col min="15367" max="15367" width="18.7109375" style="46" customWidth="1"/>
    <col min="15368" max="15368" width="13" style="46" customWidth="1"/>
    <col min="15369" max="15369" width="16.28515625" style="46" customWidth="1"/>
    <col min="15370" max="15370" width="21.5703125" style="46" bestFit="1" customWidth="1"/>
    <col min="15371" max="15618" width="9.140625" style="46"/>
    <col min="15619" max="15619" width="78.7109375" style="46" customWidth="1"/>
    <col min="15620" max="15620" width="55.140625" style="46" customWidth="1"/>
    <col min="15621" max="15621" width="34" style="46" customWidth="1"/>
    <col min="15622" max="15622" width="31.42578125" style="46" customWidth="1"/>
    <col min="15623" max="15623" width="18.7109375" style="46" customWidth="1"/>
    <col min="15624" max="15624" width="13" style="46" customWidth="1"/>
    <col min="15625" max="15625" width="16.28515625" style="46" customWidth="1"/>
    <col min="15626" max="15626" width="21.5703125" style="46" bestFit="1" customWidth="1"/>
    <col min="15627" max="15874" width="9.140625" style="46"/>
    <col min="15875" max="15875" width="78.7109375" style="46" customWidth="1"/>
    <col min="15876" max="15876" width="55.140625" style="46" customWidth="1"/>
    <col min="15877" max="15877" width="34" style="46" customWidth="1"/>
    <col min="15878" max="15878" width="31.42578125" style="46" customWidth="1"/>
    <col min="15879" max="15879" width="18.7109375" style="46" customWidth="1"/>
    <col min="15880" max="15880" width="13" style="46" customWidth="1"/>
    <col min="15881" max="15881" width="16.28515625" style="46" customWidth="1"/>
    <col min="15882" max="15882" width="21.5703125" style="46" bestFit="1" customWidth="1"/>
    <col min="15883" max="16130" width="9.140625" style="46"/>
    <col min="16131" max="16131" width="78.7109375" style="46" customWidth="1"/>
    <col min="16132" max="16132" width="55.140625" style="46" customWidth="1"/>
    <col min="16133" max="16133" width="34" style="46" customWidth="1"/>
    <col min="16134" max="16134" width="31.42578125" style="46" customWidth="1"/>
    <col min="16135" max="16135" width="18.7109375" style="46" customWidth="1"/>
    <col min="16136" max="16136" width="13" style="46" customWidth="1"/>
    <col min="16137" max="16137" width="16.28515625" style="46" customWidth="1"/>
    <col min="16138" max="16138" width="21.5703125" style="46" bestFit="1" customWidth="1"/>
    <col min="16139" max="16384" width="9.140625" style="46"/>
  </cols>
  <sheetData>
    <row r="1" spans="1:10" ht="21" customHeight="1">
      <c r="A1" s="1186" t="s">
        <v>287</v>
      </c>
      <c r="B1" s="1186"/>
      <c r="C1" s="1186"/>
      <c r="D1" s="1186"/>
      <c r="E1" s="1186"/>
      <c r="F1" s="1186"/>
      <c r="G1" s="1186"/>
      <c r="H1" s="1186"/>
      <c r="I1" s="1186"/>
      <c r="J1" s="1186"/>
    </row>
    <row r="2" spans="1:10" ht="15.75" thickBot="1">
      <c r="A2" s="83"/>
      <c r="B2" s="84"/>
      <c r="C2" s="85"/>
      <c r="D2" s="85"/>
      <c r="E2" s="85"/>
      <c r="F2" s="86"/>
      <c r="G2" s="86"/>
      <c r="H2" s="86"/>
      <c r="I2" s="86"/>
      <c r="J2" s="86"/>
    </row>
    <row r="3" spans="1:10" ht="63" customHeight="1">
      <c r="A3" s="1189" t="s">
        <v>288</v>
      </c>
      <c r="B3" s="1191" t="s">
        <v>289</v>
      </c>
      <c r="C3" s="1193" t="s">
        <v>524</v>
      </c>
      <c r="D3" s="1193" t="s">
        <v>581</v>
      </c>
      <c r="E3" s="1187" t="s">
        <v>335</v>
      </c>
      <c r="F3" s="1195" t="s">
        <v>336</v>
      </c>
      <c r="G3" s="1196"/>
      <c r="H3" s="1187" t="s">
        <v>337</v>
      </c>
      <c r="I3" s="894" t="s">
        <v>872</v>
      </c>
      <c r="J3" s="922" t="s">
        <v>582</v>
      </c>
    </row>
    <row r="4" spans="1:10" ht="57" customHeight="1" thickBot="1">
      <c r="A4" s="1190"/>
      <c r="B4" s="1192"/>
      <c r="C4" s="1194"/>
      <c r="D4" s="1194"/>
      <c r="E4" s="1188"/>
      <c r="F4" s="920" t="s">
        <v>338</v>
      </c>
      <c r="G4" s="921" t="s">
        <v>339</v>
      </c>
      <c r="H4" s="1188"/>
      <c r="I4" s="895" t="s">
        <v>3</v>
      </c>
      <c r="J4" s="923" t="s">
        <v>3</v>
      </c>
    </row>
    <row r="5" spans="1:10" ht="45" customHeight="1">
      <c r="A5" s="896" t="s">
        <v>300</v>
      </c>
      <c r="B5" s="897" t="s">
        <v>301</v>
      </c>
      <c r="C5" s="898">
        <v>43077</v>
      </c>
      <c r="D5" s="899">
        <v>44165</v>
      </c>
      <c r="E5" s="900">
        <f t="shared" ref="E5:E21" si="0">SUM(F5:G5)</f>
        <v>118233</v>
      </c>
      <c r="F5" s="889"/>
      <c r="G5" s="510">
        <v>118233</v>
      </c>
      <c r="H5" s="900">
        <f t="shared" ref="H5:H21" si="1">E5</f>
        <v>118233</v>
      </c>
      <c r="I5" s="280">
        <v>33410</v>
      </c>
      <c r="J5" s="364">
        <v>54244</v>
      </c>
    </row>
    <row r="6" spans="1:10" ht="45" customHeight="1">
      <c r="A6" s="901" t="s">
        <v>520</v>
      </c>
      <c r="B6" s="902" t="s">
        <v>311</v>
      </c>
      <c r="C6" s="903">
        <v>43165</v>
      </c>
      <c r="D6" s="904">
        <v>44255</v>
      </c>
      <c r="E6" s="905">
        <f t="shared" si="0"/>
        <v>410821</v>
      </c>
      <c r="F6" s="891"/>
      <c r="G6" s="906">
        <v>410821</v>
      </c>
      <c r="H6" s="905">
        <f t="shared" si="1"/>
        <v>410821</v>
      </c>
      <c r="I6" s="890">
        <v>74274</v>
      </c>
      <c r="J6" s="924">
        <v>125751</v>
      </c>
    </row>
    <row r="7" spans="1:10" ht="45" customHeight="1">
      <c r="A7" s="901" t="s">
        <v>316</v>
      </c>
      <c r="B7" s="902" t="s">
        <v>317</v>
      </c>
      <c r="C7" s="903">
        <v>43138</v>
      </c>
      <c r="D7" s="904">
        <v>43861</v>
      </c>
      <c r="E7" s="905">
        <f t="shared" si="0"/>
        <v>14985</v>
      </c>
      <c r="F7" s="891"/>
      <c r="G7" s="906">
        <v>14985</v>
      </c>
      <c r="H7" s="905">
        <f t="shared" si="1"/>
        <v>14985</v>
      </c>
      <c r="I7" s="890">
        <v>984</v>
      </c>
      <c r="J7" s="924">
        <v>994</v>
      </c>
    </row>
    <row r="8" spans="1:10" ht="45" customHeight="1">
      <c r="A8" s="901" t="s">
        <v>312</v>
      </c>
      <c r="B8" s="902" t="s">
        <v>313</v>
      </c>
      <c r="C8" s="903">
        <v>43136</v>
      </c>
      <c r="D8" s="904">
        <v>44196</v>
      </c>
      <c r="E8" s="905">
        <f t="shared" si="0"/>
        <v>29807</v>
      </c>
      <c r="F8" s="891"/>
      <c r="G8" s="906">
        <v>29807</v>
      </c>
      <c r="H8" s="905">
        <f t="shared" si="1"/>
        <v>29807</v>
      </c>
      <c r="I8" s="890">
        <v>15838</v>
      </c>
      <c r="J8" s="924">
        <v>16338</v>
      </c>
    </row>
    <row r="9" spans="1:10" ht="45" customHeight="1">
      <c r="A9" s="901" t="s">
        <v>314</v>
      </c>
      <c r="B9" s="902" t="s">
        <v>315</v>
      </c>
      <c r="C9" s="903">
        <v>43222</v>
      </c>
      <c r="D9" s="904">
        <v>44316</v>
      </c>
      <c r="E9" s="905">
        <f t="shared" si="0"/>
        <v>38428</v>
      </c>
      <c r="F9" s="891"/>
      <c r="G9" s="906">
        <v>38428</v>
      </c>
      <c r="H9" s="905">
        <f t="shared" si="1"/>
        <v>38428</v>
      </c>
      <c r="I9" s="890">
        <v>3601</v>
      </c>
      <c r="J9" s="924">
        <v>11601</v>
      </c>
    </row>
    <row r="10" spans="1:10" ht="45" customHeight="1">
      <c r="A10" s="901" t="s">
        <v>497</v>
      </c>
      <c r="B10" s="902" t="s">
        <v>298</v>
      </c>
      <c r="C10" s="903">
        <v>43210</v>
      </c>
      <c r="D10" s="907">
        <v>44196</v>
      </c>
      <c r="E10" s="905">
        <f t="shared" si="0"/>
        <v>106593</v>
      </c>
      <c r="F10" s="891">
        <f>5330</f>
        <v>5330</v>
      </c>
      <c r="G10" s="906">
        <v>101263</v>
      </c>
      <c r="H10" s="905">
        <f t="shared" si="1"/>
        <v>106593</v>
      </c>
      <c r="I10" s="890">
        <v>14320</v>
      </c>
      <c r="J10" s="924">
        <v>104320</v>
      </c>
    </row>
    <row r="11" spans="1:10" ht="45" customHeight="1">
      <c r="A11" s="901" t="s">
        <v>498</v>
      </c>
      <c r="B11" s="902" t="s">
        <v>299</v>
      </c>
      <c r="C11" s="903">
        <v>43109</v>
      </c>
      <c r="D11" s="907">
        <v>44012</v>
      </c>
      <c r="E11" s="905">
        <f t="shared" si="0"/>
        <v>94097</v>
      </c>
      <c r="F11" s="908">
        <v>4481</v>
      </c>
      <c r="G11" s="906">
        <v>89616</v>
      </c>
      <c r="H11" s="905">
        <f t="shared" si="1"/>
        <v>94097</v>
      </c>
      <c r="I11" s="890">
        <v>0</v>
      </c>
      <c r="J11" s="924">
        <v>6469</v>
      </c>
    </row>
    <row r="12" spans="1:10" ht="45" customHeight="1">
      <c r="A12" s="901" t="s">
        <v>309</v>
      </c>
      <c r="B12" s="902" t="s">
        <v>310</v>
      </c>
      <c r="C12" s="903">
        <v>43363</v>
      </c>
      <c r="D12" s="904">
        <v>44105</v>
      </c>
      <c r="E12" s="905">
        <f t="shared" si="0"/>
        <v>399459</v>
      </c>
      <c r="F12" s="891"/>
      <c r="G12" s="906">
        <v>399459</v>
      </c>
      <c r="H12" s="905">
        <f t="shared" si="1"/>
        <v>399459</v>
      </c>
      <c r="I12" s="890">
        <v>0</v>
      </c>
      <c r="J12" s="924">
        <v>385776</v>
      </c>
    </row>
    <row r="13" spans="1:10" ht="45" customHeight="1">
      <c r="A13" s="901" t="s">
        <v>296</v>
      </c>
      <c r="B13" s="902" t="s">
        <v>297</v>
      </c>
      <c r="C13" s="903">
        <v>43004</v>
      </c>
      <c r="D13" s="904">
        <v>44105</v>
      </c>
      <c r="E13" s="905">
        <f t="shared" si="0"/>
        <v>204401</v>
      </c>
      <c r="F13" s="891">
        <v>24174</v>
      </c>
      <c r="G13" s="906">
        <v>180227</v>
      </c>
      <c r="H13" s="905">
        <f t="shared" si="1"/>
        <v>204401</v>
      </c>
      <c r="I13" s="890">
        <v>0</v>
      </c>
      <c r="J13" s="924">
        <v>199043</v>
      </c>
    </row>
    <row r="14" spans="1:10" ht="45" customHeight="1">
      <c r="A14" s="901" t="s">
        <v>294</v>
      </c>
      <c r="B14" s="902" t="s">
        <v>295</v>
      </c>
      <c r="C14" s="903">
        <v>42886</v>
      </c>
      <c r="D14" s="907">
        <v>44012</v>
      </c>
      <c r="E14" s="905">
        <f t="shared" si="0"/>
        <v>294970</v>
      </c>
      <c r="F14" s="891">
        <v>69850</v>
      </c>
      <c r="G14" s="906">
        <v>225120</v>
      </c>
      <c r="H14" s="905">
        <f t="shared" si="1"/>
        <v>294970</v>
      </c>
      <c r="I14" s="890">
        <v>0</v>
      </c>
      <c r="J14" s="924">
        <v>201410</v>
      </c>
    </row>
    <row r="15" spans="1:10" ht="45" customHeight="1">
      <c r="A15" s="901" t="s">
        <v>290</v>
      </c>
      <c r="B15" s="902" t="s">
        <v>291</v>
      </c>
      <c r="C15" s="903">
        <v>42895</v>
      </c>
      <c r="D15" s="907">
        <v>44012</v>
      </c>
      <c r="E15" s="905">
        <f t="shared" si="0"/>
        <v>523780</v>
      </c>
      <c r="F15" s="891">
        <v>116684</v>
      </c>
      <c r="G15" s="906">
        <v>407096</v>
      </c>
      <c r="H15" s="905">
        <f t="shared" si="1"/>
        <v>523780</v>
      </c>
      <c r="I15" s="890">
        <v>0</v>
      </c>
      <c r="J15" s="924">
        <v>150304</v>
      </c>
    </row>
    <row r="16" spans="1:10" ht="45" customHeight="1">
      <c r="A16" s="901" t="s">
        <v>305</v>
      </c>
      <c r="B16" s="902" t="s">
        <v>306</v>
      </c>
      <c r="C16" s="903">
        <v>43131</v>
      </c>
      <c r="D16" s="907">
        <v>44012</v>
      </c>
      <c r="E16" s="905">
        <f t="shared" si="0"/>
        <v>429734</v>
      </c>
      <c r="F16" s="891">
        <v>89734</v>
      </c>
      <c r="G16" s="906">
        <v>340000</v>
      </c>
      <c r="H16" s="905">
        <f t="shared" si="1"/>
        <v>429734</v>
      </c>
      <c r="I16" s="890">
        <v>0</v>
      </c>
      <c r="J16" s="924">
        <v>413129</v>
      </c>
    </row>
    <row r="17" spans="1:10" ht="45" customHeight="1">
      <c r="A17" s="901" t="s">
        <v>292</v>
      </c>
      <c r="B17" s="902" t="s">
        <v>293</v>
      </c>
      <c r="C17" s="903">
        <v>42886</v>
      </c>
      <c r="D17" s="907">
        <v>44012</v>
      </c>
      <c r="E17" s="905">
        <f t="shared" si="0"/>
        <v>150000</v>
      </c>
      <c r="F17" s="891"/>
      <c r="G17" s="906">
        <v>150000</v>
      </c>
      <c r="H17" s="905">
        <f t="shared" si="1"/>
        <v>150000</v>
      </c>
      <c r="I17" s="890">
        <v>10399</v>
      </c>
      <c r="J17" s="924">
        <v>147045</v>
      </c>
    </row>
    <row r="18" spans="1:10" ht="45" customHeight="1">
      <c r="A18" s="901" t="s">
        <v>521</v>
      </c>
      <c r="B18" s="902" t="s">
        <v>307</v>
      </c>
      <c r="C18" s="903">
        <v>43147</v>
      </c>
      <c r="D18" s="904">
        <v>44012</v>
      </c>
      <c r="E18" s="905">
        <f t="shared" si="0"/>
        <v>250000</v>
      </c>
      <c r="F18" s="891">
        <v>0</v>
      </c>
      <c r="G18" s="906">
        <v>250000</v>
      </c>
      <c r="H18" s="905">
        <f t="shared" si="1"/>
        <v>250000</v>
      </c>
      <c r="I18" s="890">
        <v>11345</v>
      </c>
      <c r="J18" s="924">
        <v>235862</v>
      </c>
    </row>
    <row r="19" spans="1:10" ht="45" customHeight="1">
      <c r="A19" s="901" t="s">
        <v>522</v>
      </c>
      <c r="B19" s="902" t="s">
        <v>304</v>
      </c>
      <c r="C19" s="903">
        <v>43280</v>
      </c>
      <c r="D19" s="904">
        <v>44285</v>
      </c>
      <c r="E19" s="905">
        <f t="shared" si="0"/>
        <v>53661</v>
      </c>
      <c r="F19" s="891">
        <v>12147</v>
      </c>
      <c r="G19" s="906">
        <v>41514</v>
      </c>
      <c r="H19" s="905">
        <f t="shared" si="1"/>
        <v>53661</v>
      </c>
      <c r="I19" s="890">
        <v>0</v>
      </c>
      <c r="J19" s="924">
        <v>51584</v>
      </c>
    </row>
    <row r="20" spans="1:10" ht="45" customHeight="1">
      <c r="A20" s="901" t="s">
        <v>302</v>
      </c>
      <c r="B20" s="902" t="s">
        <v>303</v>
      </c>
      <c r="C20" s="903">
        <v>43256</v>
      </c>
      <c r="D20" s="904">
        <v>43921</v>
      </c>
      <c r="E20" s="905">
        <f t="shared" si="0"/>
        <v>86761</v>
      </c>
      <c r="F20" s="891">
        <f>15000+14966+15930</f>
        <v>45896</v>
      </c>
      <c r="G20" s="906">
        <v>40865</v>
      </c>
      <c r="H20" s="905">
        <f t="shared" si="1"/>
        <v>86761</v>
      </c>
      <c r="I20" s="890">
        <v>0</v>
      </c>
      <c r="J20" s="924">
        <v>50645</v>
      </c>
    </row>
    <row r="21" spans="1:10" ht="45" customHeight="1" thickBot="1">
      <c r="A21" s="909" t="s">
        <v>523</v>
      </c>
      <c r="B21" s="910" t="s">
        <v>308</v>
      </c>
      <c r="C21" s="911">
        <v>43334</v>
      </c>
      <c r="D21" s="912">
        <v>44834</v>
      </c>
      <c r="E21" s="913">
        <f t="shared" si="0"/>
        <v>54999</v>
      </c>
      <c r="F21" s="893"/>
      <c r="G21" s="914">
        <v>54999</v>
      </c>
      <c r="H21" s="913">
        <f t="shared" si="1"/>
        <v>54999</v>
      </c>
      <c r="I21" s="892">
        <v>23371</v>
      </c>
      <c r="J21" s="925">
        <v>23371</v>
      </c>
    </row>
    <row r="22" spans="1:10" ht="45" customHeight="1" thickBot="1">
      <c r="A22" s="232" t="s">
        <v>71</v>
      </c>
      <c r="B22" s="915"/>
      <c r="C22" s="916"/>
      <c r="D22" s="917"/>
      <c r="E22" s="918">
        <f t="shared" ref="E22:J22" si="2">SUM(E5:E21)</f>
        <v>3260729</v>
      </c>
      <c r="F22" s="91">
        <f t="shared" si="2"/>
        <v>368296</v>
      </c>
      <c r="G22" s="919">
        <f t="shared" si="2"/>
        <v>2892433</v>
      </c>
      <c r="H22" s="918">
        <f t="shared" si="2"/>
        <v>3260729</v>
      </c>
      <c r="I22" s="207">
        <f t="shared" si="2"/>
        <v>187542</v>
      </c>
      <c r="J22" s="367">
        <f t="shared" si="2"/>
        <v>2177886</v>
      </c>
    </row>
    <row r="23" spans="1:10" ht="34.5" customHeight="1">
      <c r="A23" s="1185" t="s">
        <v>525</v>
      </c>
      <c r="B23" s="1185"/>
      <c r="C23" s="1185"/>
      <c r="D23" s="1185"/>
      <c r="E23" s="1185"/>
      <c r="F23" s="1185"/>
      <c r="G23" s="1185"/>
      <c r="H23" s="1185"/>
      <c r="I23" s="1185"/>
      <c r="J23" s="1185"/>
    </row>
    <row r="24" spans="1:10" ht="45" customHeight="1">
      <c r="A24" s="46"/>
    </row>
    <row r="25" spans="1:10" ht="45" customHeight="1"/>
    <row r="26" spans="1:10" ht="24.75" customHeight="1"/>
    <row r="27" spans="1:10">
      <c r="A27" s="281"/>
    </row>
    <row r="28" spans="1:10">
      <c r="A28" s="281"/>
    </row>
  </sheetData>
  <sortState ref="A5:L26">
    <sortCondition ref="B5:B26"/>
  </sortState>
  <mergeCells count="9">
    <mergeCell ref="A23:J23"/>
    <mergeCell ref="A1:J1"/>
    <mergeCell ref="E3:E4"/>
    <mergeCell ref="A3:A4"/>
    <mergeCell ref="B3:B4"/>
    <mergeCell ref="C3:C4"/>
    <mergeCell ref="D3:D4"/>
    <mergeCell ref="F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&amp;L&amp;"Times New Roman,Normál"&amp;8 17. melléklet a 24/2019. (XII.19.)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"/>
  <sheetViews>
    <sheetView view="pageLayout" zoomScaleNormal="100" workbookViewId="0">
      <selection activeCell="A45" sqref="A45"/>
    </sheetView>
  </sheetViews>
  <sheetFormatPr defaultRowHeight="15"/>
  <cols>
    <col min="1" max="1" width="77.85546875" style="21" customWidth="1"/>
    <col min="2" max="5" width="20.140625" style="21" customWidth="1"/>
    <col min="6" max="6" width="11.7109375" style="21" bestFit="1" customWidth="1"/>
    <col min="7" max="16384" width="9.140625" style="21"/>
  </cols>
  <sheetData>
    <row r="1" spans="1:5">
      <c r="A1" s="1058" t="s">
        <v>610</v>
      </c>
      <c r="B1" s="1058"/>
      <c r="C1" s="1058"/>
      <c r="D1" s="1058"/>
      <c r="E1" s="1058"/>
    </row>
    <row r="2" spans="1:5" ht="15.75" thickBot="1"/>
    <row r="3" spans="1:5" ht="99.75" customHeight="1" thickBot="1">
      <c r="A3" s="1059" t="s">
        <v>68</v>
      </c>
      <c r="B3" s="417" t="s">
        <v>69</v>
      </c>
      <c r="C3" s="369" t="s">
        <v>70</v>
      </c>
      <c r="D3" s="368" t="s">
        <v>86</v>
      </c>
      <c r="E3" s="417" t="s">
        <v>71</v>
      </c>
    </row>
    <row r="4" spans="1:5" ht="15.75" thickBot="1">
      <c r="A4" s="1060"/>
      <c r="B4" s="471" t="s">
        <v>3</v>
      </c>
      <c r="C4" s="199" t="s">
        <v>3</v>
      </c>
      <c r="D4" s="157" t="s">
        <v>3</v>
      </c>
      <c r="E4" s="471" t="s">
        <v>3</v>
      </c>
    </row>
    <row r="5" spans="1:5" s="22" customFormat="1" ht="15" customHeight="1">
      <c r="A5" s="106" t="s">
        <v>5</v>
      </c>
      <c r="B5" s="472">
        <f>SUM(B6:B7)</f>
        <v>1349779.419</v>
      </c>
      <c r="C5" s="200">
        <f t="shared" ref="C5:D5" si="0">SUM(C6:C7)</f>
        <v>0</v>
      </c>
      <c r="D5" s="196">
        <f t="shared" si="0"/>
        <v>0</v>
      </c>
      <c r="E5" s="472">
        <f t="shared" ref="E5:E49" si="1">B5+C5+D5</f>
        <v>1349779.419</v>
      </c>
    </row>
    <row r="6" spans="1:5" ht="15" customHeight="1">
      <c r="A6" s="107" t="s">
        <v>72</v>
      </c>
      <c r="B6" s="473">
        <f>'15. melléklet'!G89</f>
        <v>1269779.419</v>
      </c>
      <c r="C6" s="201"/>
      <c r="D6" s="191"/>
      <c r="E6" s="473">
        <f t="shared" si="1"/>
        <v>1269779.419</v>
      </c>
    </row>
    <row r="7" spans="1:5" ht="15" customHeight="1">
      <c r="A7" s="107" t="s">
        <v>73</v>
      </c>
      <c r="B7" s="473">
        <f>'15. melléklet'!G92</f>
        <v>80000</v>
      </c>
      <c r="C7" s="201"/>
      <c r="D7" s="191"/>
      <c r="E7" s="473">
        <f t="shared" si="1"/>
        <v>80000</v>
      </c>
    </row>
    <row r="8" spans="1:5" s="295" customFormat="1" ht="15" customHeight="1">
      <c r="A8" s="292" t="s">
        <v>74</v>
      </c>
      <c r="B8" s="474">
        <f t="shared" ref="B8:D8" si="2">SUM(B9:B10)</f>
        <v>227393</v>
      </c>
      <c r="C8" s="294">
        <f t="shared" si="2"/>
        <v>88617</v>
      </c>
      <c r="D8" s="293">
        <f t="shared" si="2"/>
        <v>88368</v>
      </c>
      <c r="E8" s="474">
        <f t="shared" si="1"/>
        <v>404378</v>
      </c>
    </row>
    <row r="9" spans="1:5" s="299" customFormat="1" ht="15" customHeight="1">
      <c r="A9" s="296" t="s">
        <v>587</v>
      </c>
      <c r="B9" s="475"/>
      <c r="C9" s="298"/>
      <c r="D9" s="297"/>
      <c r="E9" s="475">
        <f t="shared" si="1"/>
        <v>0</v>
      </c>
    </row>
    <row r="10" spans="1:5" s="299" customFormat="1" ht="15" customHeight="1">
      <c r="A10" s="296" t="s">
        <v>8</v>
      </c>
      <c r="B10" s="475">
        <f>'11. melléklet'!B7</f>
        <v>227393</v>
      </c>
      <c r="C10" s="298">
        <f>'11. melléklet'!B59</f>
        <v>88617</v>
      </c>
      <c r="D10" s="297">
        <v>88368</v>
      </c>
      <c r="E10" s="475">
        <f t="shared" si="1"/>
        <v>404378</v>
      </c>
    </row>
    <row r="11" spans="1:5" ht="15" customHeight="1">
      <c r="A11" s="108" t="s">
        <v>10</v>
      </c>
      <c r="B11" s="476">
        <f t="shared" ref="B11:D11" si="3">B12</f>
        <v>113219</v>
      </c>
      <c r="C11" s="202">
        <f t="shared" si="3"/>
        <v>0</v>
      </c>
      <c r="D11" s="190">
        <f t="shared" si="3"/>
        <v>0</v>
      </c>
      <c r="E11" s="476">
        <f t="shared" si="1"/>
        <v>113219</v>
      </c>
    </row>
    <row r="12" spans="1:5" ht="15" customHeight="1">
      <c r="A12" s="109" t="s">
        <v>8</v>
      </c>
      <c r="B12" s="473">
        <f>'11. melléklet'!B32</f>
        <v>113219</v>
      </c>
      <c r="C12" s="201"/>
      <c r="D12" s="191"/>
      <c r="E12" s="473">
        <f t="shared" si="1"/>
        <v>113219</v>
      </c>
    </row>
    <row r="13" spans="1:5" s="23" customFormat="1" ht="15" customHeight="1">
      <c r="A13" s="110" t="s">
        <v>75</v>
      </c>
      <c r="B13" s="476">
        <f t="shared" ref="B13:D13" si="4">B14+B17+B21+B22+B23</f>
        <v>2350000</v>
      </c>
      <c r="C13" s="202">
        <f t="shared" si="4"/>
        <v>0</v>
      </c>
      <c r="D13" s="190">
        <f t="shared" si="4"/>
        <v>0</v>
      </c>
      <c r="E13" s="476">
        <f t="shared" si="1"/>
        <v>2350000</v>
      </c>
    </row>
    <row r="14" spans="1:5" s="23" customFormat="1" ht="15" customHeight="1">
      <c r="A14" s="109" t="s">
        <v>13</v>
      </c>
      <c r="B14" s="477">
        <f t="shared" ref="B14:D14" si="5">SUM(B15:B16)</f>
        <v>530000</v>
      </c>
      <c r="C14" s="203">
        <f t="shared" si="5"/>
        <v>0</v>
      </c>
      <c r="D14" s="192">
        <f t="shared" si="5"/>
        <v>0</v>
      </c>
      <c r="E14" s="477">
        <f t="shared" si="1"/>
        <v>530000</v>
      </c>
    </row>
    <row r="15" spans="1:5" s="23" customFormat="1" ht="15" customHeight="1">
      <c r="A15" s="111" t="s">
        <v>76</v>
      </c>
      <c r="B15" s="478">
        <v>360000</v>
      </c>
      <c r="C15" s="204"/>
      <c r="D15" s="193"/>
      <c r="E15" s="478">
        <f t="shared" si="1"/>
        <v>360000</v>
      </c>
    </row>
    <row r="16" spans="1:5" s="23" customFormat="1" ht="15" customHeight="1">
      <c r="A16" s="112" t="s">
        <v>77</v>
      </c>
      <c r="B16" s="479">
        <v>170000</v>
      </c>
      <c r="C16" s="205"/>
      <c r="D16" s="194"/>
      <c r="E16" s="479">
        <f t="shared" si="1"/>
        <v>170000</v>
      </c>
    </row>
    <row r="17" spans="1:5" s="23" customFormat="1" ht="15" customHeight="1">
      <c r="A17" s="109" t="s">
        <v>78</v>
      </c>
      <c r="B17" s="477">
        <f t="shared" ref="B17:D17" si="6">SUM(B18:B20)</f>
        <v>1815000</v>
      </c>
      <c r="C17" s="203">
        <f t="shared" si="6"/>
        <v>0</v>
      </c>
      <c r="D17" s="192">
        <f t="shared" si="6"/>
        <v>0</v>
      </c>
      <c r="E17" s="477">
        <f t="shared" si="1"/>
        <v>1815000</v>
      </c>
    </row>
    <row r="18" spans="1:5" s="23" customFormat="1" ht="15" customHeight="1">
      <c r="A18" s="111" t="s">
        <v>79</v>
      </c>
      <c r="B18" s="479">
        <v>1655000</v>
      </c>
      <c r="C18" s="205"/>
      <c r="D18" s="194"/>
      <c r="E18" s="479">
        <f t="shared" si="1"/>
        <v>1655000</v>
      </c>
    </row>
    <row r="19" spans="1:5" s="23" customFormat="1" ht="15" customHeight="1">
      <c r="A19" s="111" t="s">
        <v>80</v>
      </c>
      <c r="B19" s="479">
        <v>110000</v>
      </c>
      <c r="C19" s="205"/>
      <c r="D19" s="194"/>
      <c r="E19" s="479">
        <f t="shared" si="1"/>
        <v>110000</v>
      </c>
    </row>
    <row r="20" spans="1:5" s="23" customFormat="1" ht="15" customHeight="1">
      <c r="A20" s="111" t="s">
        <v>81</v>
      </c>
      <c r="B20" s="479">
        <v>50000</v>
      </c>
      <c r="C20" s="205"/>
      <c r="D20" s="194"/>
      <c r="E20" s="479">
        <f t="shared" si="1"/>
        <v>50000</v>
      </c>
    </row>
    <row r="21" spans="1:5" s="23" customFormat="1" ht="15" customHeight="1">
      <c r="A21" s="113" t="s">
        <v>15</v>
      </c>
      <c r="B21" s="477">
        <v>3000</v>
      </c>
      <c r="C21" s="203"/>
      <c r="D21" s="192"/>
      <c r="E21" s="477">
        <f t="shared" si="1"/>
        <v>3000</v>
      </c>
    </row>
    <row r="22" spans="1:5" s="23" customFormat="1" ht="15" customHeight="1">
      <c r="A22" s="113" t="s">
        <v>328</v>
      </c>
      <c r="B22" s="477">
        <v>1500</v>
      </c>
      <c r="C22" s="203"/>
      <c r="D22" s="192"/>
      <c r="E22" s="477">
        <f t="shared" si="1"/>
        <v>1500</v>
      </c>
    </row>
    <row r="23" spans="1:5" s="23" customFormat="1" ht="15" customHeight="1">
      <c r="A23" s="113" t="s">
        <v>87</v>
      </c>
      <c r="B23" s="477">
        <v>500</v>
      </c>
      <c r="C23" s="203"/>
      <c r="D23" s="192"/>
      <c r="E23" s="477">
        <f t="shared" si="1"/>
        <v>500</v>
      </c>
    </row>
    <row r="24" spans="1:5" ht="15" customHeight="1">
      <c r="A24" s="108" t="s">
        <v>20</v>
      </c>
      <c r="B24" s="480">
        <f t="shared" ref="B24:D24" si="7">SUM(B25:B32)</f>
        <v>1902968</v>
      </c>
      <c r="C24" s="197">
        <f t="shared" si="7"/>
        <v>6590</v>
      </c>
      <c r="D24" s="195">
        <f t="shared" si="7"/>
        <v>462213</v>
      </c>
      <c r="E24" s="480">
        <f t="shared" si="1"/>
        <v>2371771</v>
      </c>
    </row>
    <row r="25" spans="1:5" ht="15" customHeight="1">
      <c r="A25" s="109" t="s">
        <v>22</v>
      </c>
      <c r="B25" s="477">
        <f>1274614+123000</f>
        <v>1397614</v>
      </c>
      <c r="C25" s="203"/>
      <c r="D25" s="192">
        <v>5000</v>
      </c>
      <c r="E25" s="477">
        <f t="shared" si="1"/>
        <v>1402614</v>
      </c>
    </row>
    <row r="26" spans="1:5" ht="15" customHeight="1">
      <c r="A26" s="109" t="s">
        <v>82</v>
      </c>
      <c r="B26" s="477">
        <f>8000</f>
        <v>8000</v>
      </c>
      <c r="C26" s="203">
        <f>3700+2400+250+240</f>
        <v>6590</v>
      </c>
      <c r="D26" s="192">
        <v>240483</v>
      </c>
      <c r="E26" s="477">
        <f t="shared" si="1"/>
        <v>255073</v>
      </c>
    </row>
    <row r="27" spans="1:5" ht="15" customHeight="1">
      <c r="A27" s="109" t="s">
        <v>26</v>
      </c>
      <c r="B27" s="477">
        <f>100+26116</f>
        <v>26216</v>
      </c>
      <c r="C27" s="203"/>
      <c r="D27" s="192">
        <v>2300</v>
      </c>
      <c r="E27" s="477">
        <f t="shared" si="1"/>
        <v>28516</v>
      </c>
    </row>
    <row r="28" spans="1:5" ht="15" customHeight="1">
      <c r="A28" s="109" t="s">
        <v>83</v>
      </c>
      <c r="B28" s="477">
        <f>28829+59362</f>
        <v>88191</v>
      </c>
      <c r="C28" s="203"/>
      <c r="D28" s="192"/>
      <c r="E28" s="477">
        <f t="shared" si="1"/>
        <v>88191</v>
      </c>
    </row>
    <row r="29" spans="1:5" ht="15" customHeight="1">
      <c r="A29" s="109" t="s">
        <v>30</v>
      </c>
      <c r="B29" s="477"/>
      <c r="C29" s="203"/>
      <c r="D29" s="192">
        <v>100617</v>
      </c>
      <c r="E29" s="477">
        <f t="shared" si="1"/>
        <v>100617</v>
      </c>
    </row>
    <row r="30" spans="1:5" ht="15" customHeight="1">
      <c r="A30" s="114" t="s">
        <v>31</v>
      </c>
      <c r="B30" s="477">
        <v>315380</v>
      </c>
      <c r="C30" s="203"/>
      <c r="D30" s="192">
        <v>113813</v>
      </c>
      <c r="E30" s="477">
        <f t="shared" si="1"/>
        <v>429193</v>
      </c>
    </row>
    <row r="31" spans="1:5" s="22" customFormat="1" ht="15" customHeight="1">
      <c r="A31" s="109" t="s">
        <v>329</v>
      </c>
      <c r="B31" s="477">
        <v>14811</v>
      </c>
      <c r="C31" s="203"/>
      <c r="D31" s="192"/>
      <c r="E31" s="477">
        <f t="shared" si="1"/>
        <v>14811</v>
      </c>
    </row>
    <row r="32" spans="1:5" s="22" customFormat="1" ht="15" customHeight="1">
      <c r="A32" s="109" t="s">
        <v>33</v>
      </c>
      <c r="B32" s="477">
        <v>52756</v>
      </c>
      <c r="C32" s="203"/>
      <c r="D32" s="192"/>
      <c r="E32" s="477">
        <f t="shared" si="1"/>
        <v>52756</v>
      </c>
    </row>
    <row r="33" spans="1:7" ht="15" customHeight="1">
      <c r="A33" s="110" t="s">
        <v>35</v>
      </c>
      <c r="B33" s="480">
        <f t="shared" ref="B33:D33" si="8">SUM(B34:B35)</f>
        <v>300</v>
      </c>
      <c r="C33" s="197">
        <f t="shared" si="8"/>
        <v>0</v>
      </c>
      <c r="D33" s="195">
        <f t="shared" si="8"/>
        <v>0</v>
      </c>
      <c r="E33" s="480">
        <f t="shared" si="1"/>
        <v>300</v>
      </c>
    </row>
    <row r="34" spans="1:7" s="22" customFormat="1" ht="15" customHeight="1">
      <c r="A34" s="109" t="s">
        <v>36</v>
      </c>
      <c r="B34" s="477">
        <f>300</f>
        <v>300</v>
      </c>
      <c r="C34" s="203"/>
      <c r="D34" s="192"/>
      <c r="E34" s="477">
        <f t="shared" si="1"/>
        <v>300</v>
      </c>
    </row>
    <row r="35" spans="1:7" s="22" customFormat="1" ht="15" customHeight="1">
      <c r="A35" s="109" t="s">
        <v>330</v>
      </c>
      <c r="B35" s="477"/>
      <c r="C35" s="203"/>
      <c r="D35" s="192"/>
      <c r="E35" s="477">
        <f t="shared" si="1"/>
        <v>0</v>
      </c>
    </row>
    <row r="36" spans="1:7" s="22" customFormat="1" ht="15" customHeight="1">
      <c r="A36" s="110" t="s">
        <v>38</v>
      </c>
      <c r="B36" s="480">
        <f t="shared" ref="B36:D36" si="9">SUM(B37:B38)</f>
        <v>77549</v>
      </c>
      <c r="C36" s="197">
        <f t="shared" si="9"/>
        <v>0</v>
      </c>
      <c r="D36" s="195">
        <f t="shared" si="9"/>
        <v>0</v>
      </c>
      <c r="E36" s="480">
        <f t="shared" si="1"/>
        <v>77549</v>
      </c>
    </row>
    <row r="37" spans="1:7" s="22" customFormat="1" ht="15" customHeight="1">
      <c r="A37" s="109" t="s">
        <v>84</v>
      </c>
      <c r="B37" s="477">
        <f>'11. melléklet'!B28</f>
        <v>77549</v>
      </c>
      <c r="C37" s="203"/>
      <c r="D37" s="192"/>
      <c r="E37" s="477">
        <f t="shared" si="1"/>
        <v>77549</v>
      </c>
    </row>
    <row r="38" spans="1:7" s="22" customFormat="1" ht="15" customHeight="1">
      <c r="A38" s="109" t="s">
        <v>8</v>
      </c>
      <c r="B38" s="477"/>
      <c r="C38" s="203"/>
      <c r="D38" s="192"/>
      <c r="E38" s="477">
        <f t="shared" si="1"/>
        <v>0</v>
      </c>
    </row>
    <row r="39" spans="1:7" ht="15" customHeight="1">
      <c r="A39" s="115" t="s">
        <v>43</v>
      </c>
      <c r="B39" s="480">
        <f t="shared" ref="B39:D39" si="10">SUM(B40:B41)</f>
        <v>360</v>
      </c>
      <c r="C39" s="197">
        <f t="shared" si="10"/>
        <v>250</v>
      </c>
      <c r="D39" s="195">
        <f t="shared" si="10"/>
        <v>0</v>
      </c>
      <c r="E39" s="480">
        <f t="shared" si="1"/>
        <v>610</v>
      </c>
    </row>
    <row r="40" spans="1:7" ht="15" customHeight="1">
      <c r="A40" s="116" t="s">
        <v>84</v>
      </c>
      <c r="B40" s="477">
        <f>'11. melléklet'!B39</f>
        <v>360</v>
      </c>
      <c r="C40" s="203">
        <f>'11. melléklet'!B52</f>
        <v>250</v>
      </c>
      <c r="D40" s="192"/>
      <c r="E40" s="477">
        <f t="shared" si="1"/>
        <v>610</v>
      </c>
    </row>
    <row r="41" spans="1:7" s="23" customFormat="1" ht="15" customHeight="1" thickBot="1">
      <c r="A41" s="117" t="s">
        <v>8</v>
      </c>
      <c r="B41" s="366"/>
      <c r="C41" s="206"/>
      <c r="D41" s="209"/>
      <c r="E41" s="366">
        <f t="shared" si="1"/>
        <v>0</v>
      </c>
    </row>
    <row r="42" spans="1:7" s="22" customFormat="1" ht="15" customHeight="1" thickBot="1">
      <c r="A42" s="25" t="s">
        <v>51</v>
      </c>
      <c r="B42" s="367">
        <f>B5+B8+B11+B13+B24+B33+B36+B39</f>
        <v>6021568.4189999998</v>
      </c>
      <c r="C42" s="207">
        <f t="shared" ref="C42:D42" si="11">C5+C8+C11+C13+C24+C33+C36+C39</f>
        <v>95457</v>
      </c>
      <c r="D42" s="91">
        <f t="shared" si="11"/>
        <v>550581</v>
      </c>
      <c r="E42" s="367">
        <f t="shared" si="1"/>
        <v>6667606.4189999998</v>
      </c>
    </row>
    <row r="43" spans="1:7" s="22" customFormat="1" ht="15" customHeight="1">
      <c r="A43" s="118" t="s">
        <v>804</v>
      </c>
      <c r="B43" s="481">
        <f>'13. melléklet 3'!B10</f>
        <v>328519</v>
      </c>
      <c r="C43" s="198"/>
      <c r="D43" s="210"/>
      <c r="E43" s="481">
        <f t="shared" si="1"/>
        <v>328519</v>
      </c>
    </row>
    <row r="44" spans="1:7" s="22" customFormat="1" ht="15" customHeight="1">
      <c r="A44" s="118" t="s">
        <v>871</v>
      </c>
      <c r="B44" s="480">
        <v>2000000</v>
      </c>
      <c r="C44" s="197"/>
      <c r="D44" s="195"/>
      <c r="E44" s="480">
        <f t="shared" si="1"/>
        <v>2000000</v>
      </c>
    </row>
    <row r="45" spans="1:7" s="22" customFormat="1" ht="15" customHeight="1">
      <c r="A45" s="119" t="s">
        <v>85</v>
      </c>
      <c r="B45" s="480">
        <v>60000</v>
      </c>
      <c r="C45" s="197"/>
      <c r="D45" s="195"/>
      <c r="E45" s="480">
        <f t="shared" si="1"/>
        <v>60000</v>
      </c>
    </row>
    <row r="46" spans="1:7" s="22" customFormat="1" ht="15" customHeight="1">
      <c r="A46" s="115" t="s">
        <v>326</v>
      </c>
      <c r="B46" s="480">
        <f>'14. melléklet 1'!B19+'14. melléklet 2'!B20</f>
        <v>1909107</v>
      </c>
      <c r="C46" s="197">
        <f>'14. melléklet 3'!B14</f>
        <v>20000</v>
      </c>
      <c r="D46" s="195"/>
      <c r="E46" s="480">
        <f t="shared" si="1"/>
        <v>1929107</v>
      </c>
    </row>
    <row r="47" spans="1:7" s="22" customFormat="1" ht="15" customHeight="1" thickBot="1">
      <c r="A47" s="120" t="s">
        <v>56</v>
      </c>
      <c r="B47" s="482"/>
      <c r="C47" s="208">
        <v>882632</v>
      </c>
      <c r="D47" s="211">
        <v>1494639</v>
      </c>
      <c r="E47" s="482">
        <f t="shared" si="1"/>
        <v>2377271</v>
      </c>
      <c r="F47" s="87"/>
      <c r="G47" s="87"/>
    </row>
    <row r="48" spans="1:7" s="22" customFormat="1" ht="15" customHeight="1" thickBot="1">
      <c r="A48" s="27" t="s">
        <v>50</v>
      </c>
      <c r="B48" s="367">
        <f t="shared" ref="B48:D48" si="12">SUM(B43:B47)</f>
        <v>4297626</v>
      </c>
      <c r="C48" s="207">
        <f t="shared" si="12"/>
        <v>902632</v>
      </c>
      <c r="D48" s="91">
        <f t="shared" si="12"/>
        <v>1494639</v>
      </c>
      <c r="E48" s="367">
        <f t="shared" si="1"/>
        <v>6694897</v>
      </c>
    </row>
    <row r="49" spans="1:5" s="22" customFormat="1" ht="15" customHeight="1" thickBot="1">
      <c r="A49" s="26" t="s">
        <v>48</v>
      </c>
      <c r="B49" s="367">
        <f t="shared" ref="B49:D49" si="13">B42+B48</f>
        <v>10319194.419</v>
      </c>
      <c r="C49" s="207">
        <f t="shared" si="13"/>
        <v>998089</v>
      </c>
      <c r="D49" s="91">
        <f t="shared" si="13"/>
        <v>2045220</v>
      </c>
      <c r="E49" s="367">
        <f t="shared" si="1"/>
        <v>13362503.419</v>
      </c>
    </row>
    <row r="50" spans="1:5" s="22" customFormat="1" ht="15" customHeight="1">
      <c r="A50" s="141"/>
      <c r="B50" s="87"/>
      <c r="C50" s="87"/>
      <c r="D50" s="87"/>
      <c r="E50" s="87"/>
    </row>
    <row r="51" spans="1:5">
      <c r="A51" s="140"/>
      <c r="B51" s="24"/>
      <c r="C51" s="24"/>
      <c r="D51" s="24"/>
      <c r="E51" s="24"/>
    </row>
    <row r="52" spans="1:5">
      <c r="A52" s="140"/>
    </row>
    <row r="53" spans="1:5">
      <c r="C53" s="24"/>
      <c r="E53" s="24"/>
    </row>
    <row r="55" spans="1:5">
      <c r="E55" s="24"/>
    </row>
    <row r="58" spans="1:5">
      <c r="D58" s="24"/>
    </row>
    <row r="66" spans="4:5">
      <c r="D66" s="24"/>
      <c r="E66" s="24"/>
    </row>
  </sheetData>
  <mergeCells count="2">
    <mergeCell ref="A1:E1"/>
    <mergeCell ref="A3:A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&amp;L&amp;"Times New Roman,Normál"3. melléklet a 24/2019. (XII.19.)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view="pageLayout" topLeftCell="C1" zoomScaleNormal="100" workbookViewId="0">
      <selection activeCell="D9" sqref="D9"/>
    </sheetView>
  </sheetViews>
  <sheetFormatPr defaultRowHeight="25.5" customHeight="1"/>
  <cols>
    <col min="1" max="2" width="0" style="2" hidden="1" customWidth="1"/>
    <col min="3" max="3" width="62.7109375" style="2" customWidth="1"/>
    <col min="4" max="7" width="18.28515625" style="2" customWidth="1"/>
    <col min="8" max="8" width="11.140625" style="2" bestFit="1" customWidth="1"/>
    <col min="9" max="16384" width="9.140625" style="2"/>
  </cols>
  <sheetData>
    <row r="1" spans="1:8" ht="15">
      <c r="C1" s="1052" t="s">
        <v>611</v>
      </c>
      <c r="D1" s="1052"/>
      <c r="E1" s="1052"/>
      <c r="F1" s="1052"/>
      <c r="G1" s="1052"/>
    </row>
    <row r="2" spans="1:8" ht="15">
      <c r="C2" s="1052" t="s">
        <v>519</v>
      </c>
      <c r="D2" s="1052"/>
      <c r="E2" s="1052"/>
      <c r="F2" s="1052"/>
      <c r="G2" s="1052"/>
    </row>
    <row r="3" spans="1:8" ht="15.75" thickBot="1">
      <c r="C3" s="30"/>
      <c r="D3" s="30"/>
      <c r="E3" s="30"/>
      <c r="F3" s="30"/>
    </row>
    <row r="4" spans="1:8" ht="74.25" customHeight="1" thickBot="1">
      <c r="A4" s="31"/>
      <c r="C4" s="1061" t="s">
        <v>88</v>
      </c>
      <c r="D4" s="459" t="s">
        <v>69</v>
      </c>
      <c r="E4" s="370" t="s">
        <v>323</v>
      </c>
      <c r="F4" s="483" t="s">
        <v>86</v>
      </c>
      <c r="G4" s="459" t="s">
        <v>71</v>
      </c>
    </row>
    <row r="5" spans="1:8" ht="15.75" thickBot="1">
      <c r="A5" s="4"/>
      <c r="B5" s="32"/>
      <c r="C5" s="1062"/>
      <c r="D5" s="460" t="s">
        <v>3</v>
      </c>
      <c r="E5" s="213" t="s">
        <v>3</v>
      </c>
      <c r="F5" s="484" t="s">
        <v>3</v>
      </c>
      <c r="G5" s="460" t="s">
        <v>3</v>
      </c>
    </row>
    <row r="6" spans="1:8" s="28" customFormat="1" ht="15" customHeight="1">
      <c r="A6" s="33"/>
      <c r="C6" s="95" t="s">
        <v>6</v>
      </c>
      <c r="D6" s="461">
        <v>234169</v>
      </c>
      <c r="E6" s="214">
        <v>689343</v>
      </c>
      <c r="F6" s="485">
        <v>929274</v>
      </c>
      <c r="G6" s="495">
        <f t="shared" ref="G6:G33" si="0">D6+E6+F6</f>
        <v>1852786</v>
      </c>
    </row>
    <row r="7" spans="1:8" s="28" customFormat="1" ht="15" customHeight="1">
      <c r="A7" s="33"/>
      <c r="C7" s="96" t="s">
        <v>89</v>
      </c>
      <c r="D7" s="462">
        <v>45897</v>
      </c>
      <c r="E7" s="212">
        <v>129767</v>
      </c>
      <c r="F7" s="486">
        <v>167273</v>
      </c>
      <c r="G7" s="496">
        <f t="shared" si="0"/>
        <v>342937</v>
      </c>
    </row>
    <row r="8" spans="1:8" s="28" customFormat="1" ht="15" customHeight="1">
      <c r="A8" s="33"/>
      <c r="C8" s="97" t="s">
        <v>12</v>
      </c>
      <c r="D8" s="463">
        <v>1407856</v>
      </c>
      <c r="E8" s="215">
        <v>161193</v>
      </c>
      <c r="F8" s="487">
        <v>841559</v>
      </c>
      <c r="G8" s="496">
        <f t="shared" si="0"/>
        <v>2410608</v>
      </c>
      <c r="H8" s="34"/>
    </row>
    <row r="9" spans="1:8" s="28" customFormat="1" ht="15" customHeight="1">
      <c r="A9" s="33"/>
      <c r="C9" s="98" t="s">
        <v>14</v>
      </c>
      <c r="D9" s="463">
        <f>'9. melléklet'!B19</f>
        <v>64850</v>
      </c>
      <c r="E9" s="215"/>
      <c r="F9" s="487"/>
      <c r="G9" s="496">
        <f t="shared" si="0"/>
        <v>64850</v>
      </c>
    </row>
    <row r="10" spans="1:8" s="28" customFormat="1" ht="15" customHeight="1">
      <c r="A10" s="33"/>
      <c r="C10" s="97" t="s">
        <v>16</v>
      </c>
      <c r="D10" s="463">
        <f t="shared" ref="D10:F10" si="1">SUM(D11:D15)</f>
        <v>1323721</v>
      </c>
      <c r="E10" s="215">
        <f t="shared" si="1"/>
        <v>0</v>
      </c>
      <c r="F10" s="487">
        <f t="shared" si="1"/>
        <v>0</v>
      </c>
      <c r="G10" s="496">
        <f t="shared" si="0"/>
        <v>1323721</v>
      </c>
      <c r="H10" s="34"/>
    </row>
    <row r="11" spans="1:8" ht="15" customHeight="1">
      <c r="A11" s="31"/>
      <c r="C11" s="99" t="s">
        <v>17</v>
      </c>
      <c r="D11" s="464"/>
      <c r="E11" s="216"/>
      <c r="F11" s="488"/>
      <c r="G11" s="496">
        <f t="shared" si="0"/>
        <v>0</v>
      </c>
    </row>
    <row r="12" spans="1:8" ht="15" customHeight="1">
      <c r="A12" s="31"/>
      <c r="C12" s="99" t="s">
        <v>18</v>
      </c>
      <c r="D12" s="464">
        <v>18000</v>
      </c>
      <c r="E12" s="216"/>
      <c r="F12" s="488"/>
      <c r="G12" s="496">
        <f t="shared" si="0"/>
        <v>18000</v>
      </c>
    </row>
    <row r="13" spans="1:8" ht="15" customHeight="1">
      <c r="A13" s="31"/>
      <c r="C13" s="100" t="s">
        <v>19</v>
      </c>
      <c r="D13" s="465">
        <f>'10. melléklet'!B44</f>
        <v>20000</v>
      </c>
      <c r="E13" s="217"/>
      <c r="F13" s="489"/>
      <c r="G13" s="496">
        <f t="shared" si="0"/>
        <v>20000</v>
      </c>
      <c r="H13" s="104"/>
    </row>
    <row r="14" spans="1:8" ht="15" customHeight="1">
      <c r="A14" s="31"/>
      <c r="C14" s="100" t="s">
        <v>21</v>
      </c>
      <c r="D14" s="465">
        <f>'10. melléklet'!B39</f>
        <v>1182077</v>
      </c>
      <c r="E14" s="217"/>
      <c r="F14" s="489"/>
      <c r="G14" s="496">
        <f t="shared" si="0"/>
        <v>1182077</v>
      </c>
    </row>
    <row r="15" spans="1:8" ht="15" customHeight="1">
      <c r="A15" s="31"/>
      <c r="C15" s="99" t="s">
        <v>23</v>
      </c>
      <c r="D15" s="465">
        <f t="shared" ref="D15:F15" si="2">SUM(D16:D18)</f>
        <v>103644</v>
      </c>
      <c r="E15" s="217">
        <f t="shared" si="2"/>
        <v>0</v>
      </c>
      <c r="F15" s="489">
        <f t="shared" si="2"/>
        <v>0</v>
      </c>
      <c r="G15" s="496">
        <f t="shared" si="0"/>
        <v>103644</v>
      </c>
      <c r="H15" s="104"/>
    </row>
    <row r="16" spans="1:8" s="36" customFormat="1" ht="15" customHeight="1">
      <c r="A16" s="35"/>
      <c r="C16" s="101" t="s">
        <v>25</v>
      </c>
      <c r="D16" s="466">
        <f>'16. melléklet'!B7</f>
        <v>30000</v>
      </c>
      <c r="E16" s="218"/>
      <c r="F16" s="490"/>
      <c r="G16" s="497">
        <f t="shared" si="0"/>
        <v>30000</v>
      </c>
    </row>
    <row r="17" spans="1:7" s="36" customFormat="1" ht="15" customHeight="1">
      <c r="A17" s="35"/>
      <c r="C17" s="101" t="s">
        <v>90</v>
      </c>
      <c r="D17" s="466">
        <f>'16. melléklet'!B10</f>
        <v>73644</v>
      </c>
      <c r="E17" s="218"/>
      <c r="F17" s="490"/>
      <c r="G17" s="497">
        <f t="shared" si="0"/>
        <v>73644</v>
      </c>
    </row>
    <row r="18" spans="1:7" s="36" customFormat="1" ht="15" customHeight="1">
      <c r="C18" s="101" t="s">
        <v>29</v>
      </c>
      <c r="D18" s="466">
        <f>'16. melléklet'!B18</f>
        <v>0</v>
      </c>
      <c r="E18" s="218"/>
      <c r="F18" s="490"/>
      <c r="G18" s="497">
        <f t="shared" si="0"/>
        <v>0</v>
      </c>
    </row>
    <row r="19" spans="1:7" s="28" customFormat="1" ht="15" customHeight="1">
      <c r="C19" s="98" t="s">
        <v>324</v>
      </c>
      <c r="D19" s="462">
        <f>'7. melléklet'!B4</f>
        <v>2130929</v>
      </c>
      <c r="E19" s="212">
        <f>'7. melléklet'!B52</f>
        <v>14659</v>
      </c>
      <c r="F19" s="486">
        <v>50753</v>
      </c>
      <c r="G19" s="496">
        <f t="shared" si="0"/>
        <v>2196341</v>
      </c>
    </row>
    <row r="20" spans="1:7" s="28" customFormat="1" ht="15" customHeight="1">
      <c r="C20" s="98" t="s">
        <v>325</v>
      </c>
      <c r="D20" s="462">
        <f>'8. melléklet'!B4</f>
        <v>544052</v>
      </c>
      <c r="E20" s="212">
        <f>'8. melléklet'!B39</f>
        <v>1927</v>
      </c>
      <c r="F20" s="486">
        <v>56361</v>
      </c>
      <c r="G20" s="496">
        <f t="shared" si="0"/>
        <v>602340</v>
      </c>
    </row>
    <row r="21" spans="1:7" s="28" customFormat="1" ht="15" customHeight="1">
      <c r="C21" s="98" t="s">
        <v>37</v>
      </c>
      <c r="D21" s="462">
        <f t="shared" ref="D21:F21" si="3">SUM(D22:D24)</f>
        <v>23900</v>
      </c>
      <c r="E21" s="212">
        <f t="shared" si="3"/>
        <v>1200</v>
      </c>
      <c r="F21" s="486">
        <f t="shared" si="3"/>
        <v>0</v>
      </c>
      <c r="G21" s="496">
        <f t="shared" si="0"/>
        <v>25100</v>
      </c>
    </row>
    <row r="22" spans="1:7" ht="15" customHeight="1">
      <c r="C22" s="99" t="s">
        <v>19</v>
      </c>
      <c r="D22" s="465">
        <f>'10. melléklet'!B61</f>
        <v>0</v>
      </c>
      <c r="E22" s="217">
        <f>'10. melléklet'!B69</f>
        <v>1200</v>
      </c>
      <c r="F22" s="489"/>
      <c r="G22" s="496">
        <f t="shared" si="0"/>
        <v>1200</v>
      </c>
    </row>
    <row r="23" spans="1:7" ht="15" customHeight="1">
      <c r="C23" s="100" t="s">
        <v>39</v>
      </c>
      <c r="D23" s="465">
        <f>'10. melléklet'!B57</f>
        <v>13900</v>
      </c>
      <c r="E23" s="217"/>
      <c r="F23" s="489"/>
      <c r="G23" s="496">
        <f t="shared" si="0"/>
        <v>13900</v>
      </c>
    </row>
    <row r="24" spans="1:7" ht="15" customHeight="1">
      <c r="C24" s="100" t="s">
        <v>91</v>
      </c>
      <c r="D24" s="465">
        <f t="shared" ref="D24:F24" si="4">SUM(D25:D26)</f>
        <v>10000</v>
      </c>
      <c r="E24" s="217">
        <f t="shared" si="4"/>
        <v>0</v>
      </c>
      <c r="F24" s="489">
        <f t="shared" si="4"/>
        <v>0</v>
      </c>
      <c r="G24" s="496">
        <f t="shared" si="0"/>
        <v>10000</v>
      </c>
    </row>
    <row r="25" spans="1:7" s="37" customFormat="1" ht="15" customHeight="1">
      <c r="C25" s="105" t="s">
        <v>42</v>
      </c>
      <c r="D25" s="466">
        <f>'16. melléklet'!B23</f>
        <v>10000</v>
      </c>
      <c r="E25" s="218"/>
      <c r="F25" s="490"/>
      <c r="G25" s="497">
        <f t="shared" si="0"/>
        <v>10000</v>
      </c>
    </row>
    <row r="26" spans="1:7" s="37" customFormat="1" ht="15" customHeight="1" thickBot="1">
      <c r="C26" s="102" t="s">
        <v>546</v>
      </c>
      <c r="D26" s="467">
        <f>'16. melléklet'!B26</f>
        <v>0</v>
      </c>
      <c r="E26" s="219"/>
      <c r="F26" s="491"/>
      <c r="G26" s="498">
        <f t="shared" si="0"/>
        <v>0</v>
      </c>
    </row>
    <row r="27" spans="1:7" s="28" customFormat="1" ht="15" customHeight="1" thickBot="1">
      <c r="C27" s="29" t="s">
        <v>52</v>
      </c>
      <c r="D27" s="468">
        <f t="shared" ref="D27:F27" si="5">D6+D7+D8+D9+D10+D19+D20+D21</f>
        <v>5775374</v>
      </c>
      <c r="E27" s="220">
        <f t="shared" si="5"/>
        <v>998089</v>
      </c>
      <c r="F27" s="492">
        <f t="shared" si="5"/>
        <v>2045220</v>
      </c>
      <c r="G27" s="468">
        <f t="shared" si="0"/>
        <v>8818683</v>
      </c>
    </row>
    <row r="28" spans="1:7" s="28" customFormat="1" ht="15" customHeight="1">
      <c r="C28" s="95" t="s">
        <v>44</v>
      </c>
      <c r="D28" s="461">
        <v>106549</v>
      </c>
      <c r="E28" s="214"/>
      <c r="F28" s="485"/>
      <c r="G28" s="495">
        <f t="shared" si="0"/>
        <v>106549</v>
      </c>
    </row>
    <row r="29" spans="1:7" s="28" customFormat="1" ht="15" customHeight="1">
      <c r="C29" s="98" t="s">
        <v>794</v>
      </c>
      <c r="D29" s="462">
        <v>2000000</v>
      </c>
      <c r="E29" s="212"/>
      <c r="F29" s="486"/>
      <c r="G29" s="496">
        <f t="shared" si="0"/>
        <v>2000000</v>
      </c>
    </row>
    <row r="30" spans="1:7" s="28" customFormat="1" ht="15" customHeight="1">
      <c r="C30" s="98" t="s">
        <v>96</v>
      </c>
      <c r="D30" s="462">
        <v>60000</v>
      </c>
      <c r="E30" s="212"/>
      <c r="F30" s="486"/>
      <c r="G30" s="496">
        <f t="shared" si="0"/>
        <v>60000</v>
      </c>
    </row>
    <row r="31" spans="1:7" s="28" customFormat="1" ht="15" customHeight="1" thickBot="1">
      <c r="C31" s="103" t="s">
        <v>97</v>
      </c>
      <c r="D31" s="469">
        <v>2377271</v>
      </c>
      <c r="E31" s="221"/>
      <c r="F31" s="493"/>
      <c r="G31" s="469">
        <f t="shared" si="0"/>
        <v>2377271</v>
      </c>
    </row>
    <row r="32" spans="1:7" s="28" customFormat="1" ht="15" customHeight="1" thickBot="1">
      <c r="C32" s="29" t="s">
        <v>53</v>
      </c>
      <c r="D32" s="470">
        <f t="shared" ref="D32:F32" si="6">SUM(D28:D31)</f>
        <v>4543820</v>
      </c>
      <c r="E32" s="222">
        <f t="shared" si="6"/>
        <v>0</v>
      </c>
      <c r="F32" s="494">
        <f t="shared" si="6"/>
        <v>0</v>
      </c>
      <c r="G32" s="470">
        <f t="shared" si="0"/>
        <v>4543820</v>
      </c>
    </row>
    <row r="33" spans="3:7" s="28" customFormat="1" ht="15" customHeight="1" thickBot="1">
      <c r="C33" s="38" t="s">
        <v>49</v>
      </c>
      <c r="D33" s="470">
        <f t="shared" ref="D33:F33" si="7">D27+D32</f>
        <v>10319194</v>
      </c>
      <c r="E33" s="222">
        <f t="shared" si="7"/>
        <v>998089</v>
      </c>
      <c r="F33" s="494">
        <f t="shared" si="7"/>
        <v>2045220</v>
      </c>
      <c r="G33" s="470">
        <f t="shared" si="0"/>
        <v>13362503</v>
      </c>
    </row>
    <row r="34" spans="3:7" ht="15">
      <c r="G34" s="646"/>
    </row>
    <row r="35" spans="3:7" ht="15">
      <c r="C35" s="140"/>
      <c r="D35" s="3"/>
    </row>
    <row r="36" spans="3:7" ht="15">
      <c r="C36" s="140"/>
    </row>
  </sheetData>
  <mergeCells count="3">
    <mergeCell ref="C4:C5"/>
    <mergeCell ref="C1:G1"/>
    <mergeCell ref="C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&amp;L&amp;"Times New Roman,Normál"&amp;8 4. melléklet a 24/2019. (XII.19.)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view="pageLayout" zoomScale="60" zoomScaleNormal="90" zoomScaleSheetLayoutView="30" zoomScalePageLayoutView="60" workbookViewId="0">
      <selection activeCell="L4" sqref="L4"/>
    </sheetView>
  </sheetViews>
  <sheetFormatPr defaultRowHeight="15"/>
  <cols>
    <col min="1" max="1" width="14.28515625" style="39" customWidth="1"/>
    <col min="2" max="2" width="11.85546875" style="39" bestFit="1" customWidth="1"/>
    <col min="3" max="3" width="100.7109375" style="39" customWidth="1"/>
    <col min="4" max="4" width="13.85546875" style="39" customWidth="1"/>
    <col min="5" max="18" width="14" style="39" customWidth="1"/>
    <col min="19" max="16384" width="9.140625" style="39"/>
  </cols>
  <sheetData>
    <row r="1" spans="1:18" ht="40.5" customHeight="1">
      <c r="A1" s="1065" t="s">
        <v>612</v>
      </c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065"/>
      <c r="N1" s="1065"/>
      <c r="O1" s="1065"/>
      <c r="P1" s="1065"/>
      <c r="Q1" s="1065"/>
      <c r="R1" s="1065"/>
    </row>
    <row r="2" spans="1:18" ht="27.75" customHeight="1" thickBot="1">
      <c r="A2" s="1066"/>
      <c r="B2" s="1066"/>
      <c r="C2" s="1066"/>
      <c r="D2" s="1066"/>
      <c r="E2" s="1066"/>
      <c r="F2" s="1066"/>
      <c r="G2" s="1066"/>
      <c r="H2" s="1066"/>
      <c r="I2" s="1066"/>
      <c r="J2" s="1066"/>
      <c r="K2" s="1066"/>
      <c r="L2" s="1066"/>
      <c r="M2" s="1066"/>
      <c r="N2" s="1066"/>
      <c r="O2" s="1066"/>
      <c r="P2" s="1066"/>
      <c r="Q2" s="1066"/>
      <c r="R2" s="1066"/>
    </row>
    <row r="3" spans="1:18">
      <c r="A3" s="1063" t="s">
        <v>2</v>
      </c>
      <c r="B3" s="1067"/>
      <c r="C3" s="1067"/>
      <c r="D3" s="1064"/>
      <c r="E3" s="1071" t="s">
        <v>98</v>
      </c>
      <c r="F3" s="1071" t="s">
        <v>99</v>
      </c>
      <c r="G3" s="1063" t="s">
        <v>100</v>
      </c>
      <c r="H3" s="1067"/>
      <c r="I3" s="1067"/>
      <c r="J3" s="1067"/>
      <c r="K3" s="1067"/>
      <c r="L3" s="1064"/>
      <c r="M3" s="1063" t="s">
        <v>101</v>
      </c>
      <c r="N3" s="1067"/>
      <c r="O3" s="1067"/>
      <c r="P3" s="1064"/>
      <c r="Q3" s="1063" t="s">
        <v>58</v>
      </c>
      <c r="R3" s="1064"/>
    </row>
    <row r="4" spans="1:18" ht="72" thickBot="1">
      <c r="A4" s="1068"/>
      <c r="B4" s="1069"/>
      <c r="C4" s="1069"/>
      <c r="D4" s="1070"/>
      <c r="E4" s="1072"/>
      <c r="F4" s="1072"/>
      <c r="G4" s="941" t="s">
        <v>322</v>
      </c>
      <c r="H4" s="942" t="s">
        <v>111</v>
      </c>
      <c r="I4" s="942" t="s">
        <v>112</v>
      </c>
      <c r="J4" s="942" t="s">
        <v>114</v>
      </c>
      <c r="K4" s="942" t="s">
        <v>16</v>
      </c>
      <c r="L4" s="943" t="s">
        <v>23</v>
      </c>
      <c r="M4" s="944" t="s">
        <v>59</v>
      </c>
      <c r="N4" s="945" t="s">
        <v>60</v>
      </c>
      <c r="O4" s="942" t="s">
        <v>115</v>
      </c>
      <c r="P4" s="946" t="s">
        <v>116</v>
      </c>
      <c r="Q4" s="947" t="s">
        <v>117</v>
      </c>
      <c r="R4" s="943" t="s">
        <v>118</v>
      </c>
    </row>
    <row r="5" spans="1:18">
      <c r="A5" s="948" t="s">
        <v>103</v>
      </c>
      <c r="B5" s="373" t="s">
        <v>423</v>
      </c>
      <c r="C5" s="949" t="s">
        <v>356</v>
      </c>
      <c r="D5" s="950" t="s">
        <v>3</v>
      </c>
      <c r="E5" s="346">
        <v>1909207</v>
      </c>
      <c r="F5" s="346">
        <f t="shared" ref="F5:F59" si="0">SUM(G5:R5)</f>
        <v>553137</v>
      </c>
      <c r="G5" s="349">
        <v>86548</v>
      </c>
      <c r="H5" s="347">
        <v>18100</v>
      </c>
      <c r="I5" s="347">
        <v>342388</v>
      </c>
      <c r="J5" s="347">
        <v>0</v>
      </c>
      <c r="K5" s="347">
        <v>0</v>
      </c>
      <c r="L5" s="350">
        <v>73644</v>
      </c>
      <c r="M5" s="951">
        <v>15757</v>
      </c>
      <c r="N5" s="347">
        <v>6700</v>
      </c>
      <c r="O5" s="347">
        <v>0</v>
      </c>
      <c r="P5" s="952">
        <v>10000</v>
      </c>
      <c r="Q5" s="349">
        <v>0</v>
      </c>
      <c r="R5" s="348">
        <v>0</v>
      </c>
    </row>
    <row r="6" spans="1:18">
      <c r="A6" s="953" t="s">
        <v>103</v>
      </c>
      <c r="B6" s="954" t="s">
        <v>422</v>
      </c>
      <c r="C6" s="955" t="s">
        <v>588</v>
      </c>
      <c r="D6" s="956" t="s">
        <v>3</v>
      </c>
      <c r="E6" s="957">
        <v>1409779</v>
      </c>
      <c r="F6" s="957">
        <f t="shared" si="0"/>
        <v>2455271</v>
      </c>
      <c r="G6" s="958">
        <v>0</v>
      </c>
      <c r="H6" s="959">
        <v>0</v>
      </c>
      <c r="I6" s="959">
        <v>0</v>
      </c>
      <c r="J6" s="959">
        <v>0</v>
      </c>
      <c r="K6" s="960">
        <v>18000</v>
      </c>
      <c r="L6" s="961">
        <v>0</v>
      </c>
      <c r="M6" s="962">
        <v>0</v>
      </c>
      <c r="N6" s="959">
        <v>0</v>
      </c>
      <c r="O6" s="959">
        <v>0</v>
      </c>
      <c r="P6" s="963">
        <v>0</v>
      </c>
      <c r="Q6" s="958">
        <v>60000</v>
      </c>
      <c r="R6" s="964">
        <v>2377271</v>
      </c>
    </row>
    <row r="7" spans="1:18">
      <c r="A7" s="953" t="s">
        <v>103</v>
      </c>
      <c r="B7" s="954" t="s">
        <v>364</v>
      </c>
      <c r="C7" s="955" t="s">
        <v>362</v>
      </c>
      <c r="D7" s="956" t="s">
        <v>3</v>
      </c>
      <c r="E7" s="957">
        <v>2328519</v>
      </c>
      <c r="F7" s="957">
        <f t="shared" si="0"/>
        <v>2131503</v>
      </c>
      <c r="G7" s="958">
        <v>0</v>
      </c>
      <c r="H7" s="959">
        <v>0</v>
      </c>
      <c r="I7" s="959">
        <v>24954</v>
      </c>
      <c r="J7" s="959">
        <v>0</v>
      </c>
      <c r="K7" s="959">
        <v>0</v>
      </c>
      <c r="L7" s="961">
        <v>0</v>
      </c>
      <c r="M7" s="962">
        <v>0</v>
      </c>
      <c r="N7" s="959">
        <v>0</v>
      </c>
      <c r="O7" s="959">
        <v>0</v>
      </c>
      <c r="P7" s="963">
        <v>0</v>
      </c>
      <c r="Q7" s="958">
        <v>2106549</v>
      </c>
      <c r="R7" s="965">
        <v>0</v>
      </c>
    </row>
    <row r="8" spans="1:18">
      <c r="A8" s="966" t="s">
        <v>104</v>
      </c>
      <c r="B8" s="954" t="s">
        <v>365</v>
      </c>
      <c r="C8" s="955" t="s">
        <v>363</v>
      </c>
      <c r="D8" s="956" t="s">
        <v>3</v>
      </c>
      <c r="E8" s="957">
        <v>2350000</v>
      </c>
      <c r="F8" s="957">
        <f t="shared" si="0"/>
        <v>0</v>
      </c>
      <c r="G8" s="967">
        <v>0</v>
      </c>
      <c r="H8" s="960">
        <v>0</v>
      </c>
      <c r="I8" s="960">
        <v>0</v>
      </c>
      <c r="J8" s="960">
        <v>0</v>
      </c>
      <c r="K8" s="960">
        <v>0</v>
      </c>
      <c r="L8" s="964">
        <v>0</v>
      </c>
      <c r="M8" s="968">
        <v>0</v>
      </c>
      <c r="N8" s="960">
        <v>0</v>
      </c>
      <c r="O8" s="960">
        <v>0</v>
      </c>
      <c r="P8" s="969">
        <v>0</v>
      </c>
      <c r="Q8" s="967">
        <v>0</v>
      </c>
      <c r="R8" s="965">
        <v>0</v>
      </c>
    </row>
    <row r="9" spans="1:18">
      <c r="A9" s="966" t="s">
        <v>104</v>
      </c>
      <c r="B9" s="954" t="s">
        <v>366</v>
      </c>
      <c r="C9" s="955" t="s">
        <v>105</v>
      </c>
      <c r="D9" s="956" t="s">
        <v>3</v>
      </c>
      <c r="E9" s="970">
        <v>10160</v>
      </c>
      <c r="F9" s="970">
        <f t="shared" si="0"/>
        <v>34500</v>
      </c>
      <c r="G9" s="971">
        <v>0</v>
      </c>
      <c r="H9" s="972">
        <v>0</v>
      </c>
      <c r="I9" s="972">
        <v>30000</v>
      </c>
      <c r="J9" s="972">
        <v>0</v>
      </c>
      <c r="K9" s="973">
        <v>0</v>
      </c>
      <c r="L9" s="974">
        <v>0</v>
      </c>
      <c r="M9" s="975">
        <v>2500</v>
      </c>
      <c r="N9" s="972">
        <v>2000</v>
      </c>
      <c r="O9" s="972">
        <v>0</v>
      </c>
      <c r="P9" s="976">
        <v>0</v>
      </c>
      <c r="Q9" s="971">
        <v>0</v>
      </c>
      <c r="R9" s="977">
        <v>0</v>
      </c>
    </row>
    <row r="10" spans="1:18">
      <c r="A10" s="966" t="s">
        <v>104</v>
      </c>
      <c r="B10" s="954" t="s">
        <v>424</v>
      </c>
      <c r="C10" s="955" t="s">
        <v>425</v>
      </c>
      <c r="D10" s="956" t="s">
        <v>3</v>
      </c>
      <c r="E10" s="970">
        <v>1818197</v>
      </c>
      <c r="F10" s="970">
        <f t="shared" si="0"/>
        <v>263998</v>
      </c>
      <c r="G10" s="971">
        <v>0</v>
      </c>
      <c r="H10" s="972">
        <v>0</v>
      </c>
      <c r="I10" s="972">
        <v>138500</v>
      </c>
      <c r="J10" s="972">
        <v>0</v>
      </c>
      <c r="K10" s="972">
        <v>0</v>
      </c>
      <c r="L10" s="974">
        <v>0</v>
      </c>
      <c r="M10" s="975">
        <v>93453</v>
      </c>
      <c r="N10" s="972">
        <v>32045</v>
      </c>
      <c r="O10" s="972">
        <v>0</v>
      </c>
      <c r="P10" s="976">
        <v>0</v>
      </c>
      <c r="Q10" s="971">
        <v>0</v>
      </c>
      <c r="R10" s="977">
        <v>0</v>
      </c>
    </row>
    <row r="11" spans="1:18">
      <c r="A11" s="966" t="s">
        <v>104</v>
      </c>
      <c r="B11" s="954" t="s">
        <v>367</v>
      </c>
      <c r="C11" s="955" t="s">
        <v>368</v>
      </c>
      <c r="D11" s="956" t="s">
        <v>3</v>
      </c>
      <c r="E11" s="970">
        <v>46500</v>
      </c>
      <c r="F11" s="970">
        <f t="shared" si="0"/>
        <v>57700</v>
      </c>
      <c r="G11" s="971">
        <v>42000</v>
      </c>
      <c r="H11" s="972">
        <v>3700</v>
      </c>
      <c r="I11" s="972">
        <v>12000</v>
      </c>
      <c r="J11" s="972">
        <v>0</v>
      </c>
      <c r="K11" s="973">
        <v>0</v>
      </c>
      <c r="L11" s="974">
        <v>0</v>
      </c>
      <c r="M11" s="975">
        <v>0</v>
      </c>
      <c r="N11" s="972">
        <v>0</v>
      </c>
      <c r="O11" s="972">
        <v>0</v>
      </c>
      <c r="P11" s="976">
        <v>0</v>
      </c>
      <c r="Q11" s="971">
        <v>0</v>
      </c>
      <c r="R11" s="977">
        <v>0</v>
      </c>
    </row>
    <row r="12" spans="1:18">
      <c r="A12" s="966" t="s">
        <v>104</v>
      </c>
      <c r="B12" s="954" t="s">
        <v>369</v>
      </c>
      <c r="C12" s="955" t="s">
        <v>107</v>
      </c>
      <c r="D12" s="956" t="s">
        <v>3</v>
      </c>
      <c r="E12" s="970">
        <v>0</v>
      </c>
      <c r="F12" s="970">
        <f t="shared" si="0"/>
        <v>19000</v>
      </c>
      <c r="G12" s="971">
        <v>0</v>
      </c>
      <c r="H12" s="972">
        <v>0</v>
      </c>
      <c r="I12" s="972">
        <v>19000</v>
      </c>
      <c r="J12" s="972">
        <v>0</v>
      </c>
      <c r="K12" s="972">
        <v>0</v>
      </c>
      <c r="L12" s="974">
        <v>0</v>
      </c>
      <c r="M12" s="975">
        <v>0</v>
      </c>
      <c r="N12" s="972">
        <v>0</v>
      </c>
      <c r="O12" s="972">
        <v>0</v>
      </c>
      <c r="P12" s="976">
        <v>0</v>
      </c>
      <c r="Q12" s="971">
        <v>0</v>
      </c>
      <c r="R12" s="977">
        <v>0</v>
      </c>
    </row>
    <row r="13" spans="1:18">
      <c r="A13" s="966" t="s">
        <v>104</v>
      </c>
      <c r="B13" s="954" t="s">
        <v>371</v>
      </c>
      <c r="C13" s="955" t="s">
        <v>370</v>
      </c>
      <c r="D13" s="956" t="s">
        <v>3</v>
      </c>
      <c r="E13" s="970">
        <v>0</v>
      </c>
      <c r="F13" s="970">
        <f t="shared" si="0"/>
        <v>318131</v>
      </c>
      <c r="G13" s="978">
        <v>0</v>
      </c>
      <c r="H13" s="973">
        <v>0</v>
      </c>
      <c r="I13" s="973">
        <v>135440</v>
      </c>
      <c r="J13" s="973">
        <v>0</v>
      </c>
      <c r="K13" s="973">
        <v>0</v>
      </c>
      <c r="L13" s="979">
        <v>0</v>
      </c>
      <c r="M13" s="980">
        <v>42691</v>
      </c>
      <c r="N13" s="973">
        <v>140000</v>
      </c>
      <c r="O13" s="973">
        <v>0</v>
      </c>
      <c r="P13" s="981">
        <v>0</v>
      </c>
      <c r="Q13" s="978">
        <v>0</v>
      </c>
      <c r="R13" s="977">
        <v>0</v>
      </c>
    </row>
    <row r="14" spans="1:18">
      <c r="A14" s="966" t="s">
        <v>104</v>
      </c>
      <c r="B14" s="954" t="s">
        <v>372</v>
      </c>
      <c r="C14" s="955" t="s">
        <v>373</v>
      </c>
      <c r="D14" s="956" t="s">
        <v>3</v>
      </c>
      <c r="E14" s="970">
        <v>0</v>
      </c>
      <c r="F14" s="970">
        <f t="shared" si="0"/>
        <v>75000</v>
      </c>
      <c r="G14" s="971">
        <v>0</v>
      </c>
      <c r="H14" s="972">
        <v>0</v>
      </c>
      <c r="I14" s="972">
        <v>75000</v>
      </c>
      <c r="J14" s="972">
        <v>0</v>
      </c>
      <c r="K14" s="972">
        <v>0</v>
      </c>
      <c r="L14" s="974">
        <v>0</v>
      </c>
      <c r="M14" s="975">
        <v>0</v>
      </c>
      <c r="N14" s="972">
        <v>0</v>
      </c>
      <c r="O14" s="972">
        <v>0</v>
      </c>
      <c r="P14" s="976">
        <v>0</v>
      </c>
      <c r="Q14" s="971">
        <v>0</v>
      </c>
      <c r="R14" s="977">
        <v>0</v>
      </c>
    </row>
    <row r="15" spans="1:18">
      <c r="A15" s="966" t="s">
        <v>104</v>
      </c>
      <c r="B15" s="954" t="s">
        <v>374</v>
      </c>
      <c r="C15" s="955" t="s">
        <v>375</v>
      </c>
      <c r="D15" s="956" t="s">
        <v>3</v>
      </c>
      <c r="E15" s="970">
        <v>0</v>
      </c>
      <c r="F15" s="970">
        <f t="shared" si="0"/>
        <v>239440</v>
      </c>
      <c r="G15" s="978">
        <v>0</v>
      </c>
      <c r="H15" s="973">
        <v>0</v>
      </c>
      <c r="I15" s="973">
        <v>68050</v>
      </c>
      <c r="J15" s="973">
        <v>0</v>
      </c>
      <c r="K15" s="973">
        <v>0</v>
      </c>
      <c r="L15" s="979">
        <v>0</v>
      </c>
      <c r="M15" s="980">
        <v>33350</v>
      </c>
      <c r="N15" s="973">
        <v>138040</v>
      </c>
      <c r="O15" s="973">
        <v>0</v>
      </c>
      <c r="P15" s="981">
        <v>0</v>
      </c>
      <c r="Q15" s="978">
        <v>0</v>
      </c>
      <c r="R15" s="977">
        <v>0</v>
      </c>
    </row>
    <row r="16" spans="1:18">
      <c r="A16" s="966" t="s">
        <v>104</v>
      </c>
      <c r="B16" s="954" t="s">
        <v>376</v>
      </c>
      <c r="C16" s="955" t="s">
        <v>108</v>
      </c>
      <c r="D16" s="956" t="s">
        <v>3</v>
      </c>
      <c r="E16" s="970">
        <v>0</v>
      </c>
      <c r="F16" s="970">
        <f t="shared" si="0"/>
        <v>39438</v>
      </c>
      <c r="G16" s="971">
        <v>0</v>
      </c>
      <c r="H16" s="972">
        <v>0</v>
      </c>
      <c r="I16" s="972">
        <v>22928</v>
      </c>
      <c r="J16" s="972">
        <v>0</v>
      </c>
      <c r="K16" s="972">
        <v>0</v>
      </c>
      <c r="L16" s="974">
        <v>0</v>
      </c>
      <c r="M16" s="975">
        <v>16510</v>
      </c>
      <c r="N16" s="972">
        <v>0</v>
      </c>
      <c r="O16" s="972">
        <v>0</v>
      </c>
      <c r="P16" s="976">
        <v>0</v>
      </c>
      <c r="Q16" s="971">
        <v>0</v>
      </c>
      <c r="R16" s="977">
        <v>0</v>
      </c>
    </row>
    <row r="17" spans="1:18">
      <c r="A17" s="966" t="s">
        <v>104</v>
      </c>
      <c r="B17" s="954" t="s">
        <v>377</v>
      </c>
      <c r="C17" s="955" t="s">
        <v>378</v>
      </c>
      <c r="D17" s="956" t="s">
        <v>3</v>
      </c>
      <c r="E17" s="970">
        <v>0</v>
      </c>
      <c r="F17" s="970">
        <f t="shared" si="0"/>
        <v>35500</v>
      </c>
      <c r="G17" s="971">
        <v>0</v>
      </c>
      <c r="H17" s="972">
        <v>0</v>
      </c>
      <c r="I17" s="972">
        <v>6100</v>
      </c>
      <c r="J17" s="972">
        <v>0</v>
      </c>
      <c r="K17" s="972">
        <v>0</v>
      </c>
      <c r="L17" s="974">
        <v>0</v>
      </c>
      <c r="M17" s="975">
        <v>29400</v>
      </c>
      <c r="N17" s="972">
        <v>0</v>
      </c>
      <c r="O17" s="972">
        <v>0</v>
      </c>
      <c r="P17" s="976">
        <v>0</v>
      </c>
      <c r="Q17" s="971">
        <v>0</v>
      </c>
      <c r="R17" s="977">
        <v>0</v>
      </c>
    </row>
    <row r="18" spans="1:18">
      <c r="A18" s="966" t="s">
        <v>104</v>
      </c>
      <c r="B18" s="954" t="s">
        <v>379</v>
      </c>
      <c r="C18" s="955" t="s">
        <v>109</v>
      </c>
      <c r="D18" s="956" t="s">
        <v>3</v>
      </c>
      <c r="E18" s="970">
        <v>0</v>
      </c>
      <c r="F18" s="970">
        <f t="shared" si="0"/>
        <v>105241</v>
      </c>
      <c r="G18" s="978">
        <v>0</v>
      </c>
      <c r="H18" s="973">
        <v>0</v>
      </c>
      <c r="I18" s="973">
        <v>56252</v>
      </c>
      <c r="J18" s="973">
        <v>0</v>
      </c>
      <c r="K18" s="973">
        <v>0</v>
      </c>
      <c r="L18" s="979">
        <v>0</v>
      </c>
      <c r="M18" s="980">
        <v>13718</v>
      </c>
      <c r="N18" s="973">
        <v>35271</v>
      </c>
      <c r="O18" s="973">
        <v>0</v>
      </c>
      <c r="P18" s="981">
        <v>0</v>
      </c>
      <c r="Q18" s="978">
        <v>0</v>
      </c>
      <c r="R18" s="979">
        <v>0</v>
      </c>
    </row>
    <row r="19" spans="1:18">
      <c r="A19" s="966" t="s">
        <v>104</v>
      </c>
      <c r="B19" s="954" t="s">
        <v>380</v>
      </c>
      <c r="C19" s="955" t="s">
        <v>381</v>
      </c>
      <c r="D19" s="956" t="s">
        <v>3</v>
      </c>
      <c r="E19" s="970">
        <v>0</v>
      </c>
      <c r="F19" s="970">
        <f t="shared" si="0"/>
        <v>34300</v>
      </c>
      <c r="G19" s="971">
        <v>0</v>
      </c>
      <c r="H19" s="972">
        <v>0</v>
      </c>
      <c r="I19" s="972">
        <v>7300</v>
      </c>
      <c r="J19" s="972">
        <v>0</v>
      </c>
      <c r="K19" s="972">
        <v>0</v>
      </c>
      <c r="L19" s="974">
        <v>0</v>
      </c>
      <c r="M19" s="975">
        <v>3000</v>
      </c>
      <c r="N19" s="972">
        <v>24000</v>
      </c>
      <c r="O19" s="972">
        <v>0</v>
      </c>
      <c r="P19" s="976">
        <v>0</v>
      </c>
      <c r="Q19" s="971">
        <v>0</v>
      </c>
      <c r="R19" s="977">
        <v>0</v>
      </c>
    </row>
    <row r="20" spans="1:18">
      <c r="A20" s="966" t="s">
        <v>104</v>
      </c>
      <c r="B20" s="954" t="s">
        <v>382</v>
      </c>
      <c r="C20" s="955" t="s">
        <v>383</v>
      </c>
      <c r="D20" s="956" t="s">
        <v>3</v>
      </c>
      <c r="E20" s="970">
        <v>0</v>
      </c>
      <c r="F20" s="970">
        <f t="shared" si="0"/>
        <v>115710</v>
      </c>
      <c r="G20" s="971">
        <v>0</v>
      </c>
      <c r="H20" s="972">
        <v>0</v>
      </c>
      <c r="I20" s="972">
        <v>102210</v>
      </c>
      <c r="J20" s="972">
        <v>0</v>
      </c>
      <c r="K20" s="973">
        <v>0</v>
      </c>
      <c r="L20" s="974">
        <v>0</v>
      </c>
      <c r="M20" s="975">
        <v>0</v>
      </c>
      <c r="N20" s="972">
        <v>13500</v>
      </c>
      <c r="O20" s="972">
        <v>0</v>
      </c>
      <c r="P20" s="976">
        <v>0</v>
      </c>
      <c r="Q20" s="971">
        <v>0</v>
      </c>
      <c r="R20" s="977">
        <v>0</v>
      </c>
    </row>
    <row r="21" spans="1:18">
      <c r="A21" s="966" t="s">
        <v>104</v>
      </c>
      <c r="B21" s="954" t="s">
        <v>387</v>
      </c>
      <c r="C21" s="955" t="s">
        <v>386</v>
      </c>
      <c r="D21" s="956" t="s">
        <v>3</v>
      </c>
      <c r="E21" s="970">
        <v>160</v>
      </c>
      <c r="F21" s="970">
        <f t="shared" si="0"/>
        <v>34000</v>
      </c>
      <c r="G21" s="971">
        <v>1181</v>
      </c>
      <c r="H21" s="972">
        <v>319</v>
      </c>
      <c r="I21" s="972">
        <v>500</v>
      </c>
      <c r="J21" s="972">
        <v>0</v>
      </c>
      <c r="K21" s="973">
        <v>0</v>
      </c>
      <c r="L21" s="974">
        <v>0</v>
      </c>
      <c r="M21" s="975">
        <v>25000</v>
      </c>
      <c r="N21" s="972">
        <v>0</v>
      </c>
      <c r="O21" s="972">
        <v>7000</v>
      </c>
      <c r="P21" s="976">
        <v>0</v>
      </c>
      <c r="Q21" s="971">
        <v>0</v>
      </c>
      <c r="R21" s="977">
        <v>0</v>
      </c>
    </row>
    <row r="22" spans="1:18">
      <c r="A22" s="966" t="s">
        <v>104</v>
      </c>
      <c r="B22" s="954" t="s">
        <v>384</v>
      </c>
      <c r="C22" s="955" t="s">
        <v>385</v>
      </c>
      <c r="D22" s="956" t="s">
        <v>3</v>
      </c>
      <c r="E22" s="970">
        <v>0</v>
      </c>
      <c r="F22" s="970">
        <f t="shared" si="0"/>
        <v>8020</v>
      </c>
      <c r="G22" s="971">
        <v>0</v>
      </c>
      <c r="H22" s="972">
        <v>0</v>
      </c>
      <c r="I22" s="972">
        <v>8020</v>
      </c>
      <c r="J22" s="972">
        <v>0</v>
      </c>
      <c r="K22" s="972">
        <v>0</v>
      </c>
      <c r="L22" s="974">
        <v>0</v>
      </c>
      <c r="M22" s="975">
        <v>0</v>
      </c>
      <c r="N22" s="972">
        <v>0</v>
      </c>
      <c r="O22" s="972">
        <v>0</v>
      </c>
      <c r="P22" s="976">
        <v>0</v>
      </c>
      <c r="Q22" s="971">
        <v>0</v>
      </c>
      <c r="R22" s="977">
        <v>0</v>
      </c>
    </row>
    <row r="23" spans="1:18">
      <c r="A23" s="966" t="s">
        <v>104</v>
      </c>
      <c r="B23" s="954" t="s">
        <v>388</v>
      </c>
      <c r="C23" s="955" t="s">
        <v>389</v>
      </c>
      <c r="D23" s="956" t="s">
        <v>3</v>
      </c>
      <c r="E23" s="970">
        <v>0</v>
      </c>
      <c r="F23" s="970">
        <f t="shared" si="0"/>
        <v>37850</v>
      </c>
      <c r="G23" s="978">
        <v>0</v>
      </c>
      <c r="H23" s="973">
        <v>0</v>
      </c>
      <c r="I23" s="973">
        <v>29500</v>
      </c>
      <c r="J23" s="973">
        <v>0</v>
      </c>
      <c r="K23" s="973">
        <v>0</v>
      </c>
      <c r="L23" s="979">
        <v>0</v>
      </c>
      <c r="M23" s="980">
        <v>0</v>
      </c>
      <c r="N23" s="973">
        <v>8350</v>
      </c>
      <c r="O23" s="973">
        <v>0</v>
      </c>
      <c r="P23" s="981">
        <v>0</v>
      </c>
      <c r="Q23" s="978">
        <v>0</v>
      </c>
      <c r="R23" s="977">
        <v>0</v>
      </c>
    </row>
    <row r="24" spans="1:18">
      <c r="A24" s="966" t="s">
        <v>354</v>
      </c>
      <c r="B24" s="954" t="s">
        <v>390</v>
      </c>
      <c r="C24" s="955" t="s">
        <v>391</v>
      </c>
      <c r="D24" s="956" t="s">
        <v>3</v>
      </c>
      <c r="E24" s="970">
        <v>0</v>
      </c>
      <c r="F24" s="970">
        <f t="shared" si="0"/>
        <v>25100</v>
      </c>
      <c r="G24" s="971">
        <v>0</v>
      </c>
      <c r="H24" s="972">
        <v>0</v>
      </c>
      <c r="I24" s="972">
        <v>25100</v>
      </c>
      <c r="J24" s="972">
        <v>0</v>
      </c>
      <c r="K24" s="972">
        <v>0</v>
      </c>
      <c r="L24" s="974">
        <v>0</v>
      </c>
      <c r="M24" s="975">
        <v>0</v>
      </c>
      <c r="N24" s="972">
        <v>0</v>
      </c>
      <c r="O24" s="972">
        <v>0</v>
      </c>
      <c r="P24" s="976">
        <v>0</v>
      </c>
      <c r="Q24" s="971">
        <v>0</v>
      </c>
      <c r="R24" s="977">
        <v>0</v>
      </c>
    </row>
    <row r="25" spans="1:18">
      <c r="A25" s="966" t="s">
        <v>104</v>
      </c>
      <c r="B25" s="954" t="s">
        <v>407</v>
      </c>
      <c r="C25" s="955" t="s">
        <v>408</v>
      </c>
      <c r="D25" s="956" t="s">
        <v>3</v>
      </c>
      <c r="E25" s="970">
        <v>0</v>
      </c>
      <c r="F25" s="970">
        <f t="shared" si="0"/>
        <v>72730</v>
      </c>
      <c r="G25" s="978">
        <v>600</v>
      </c>
      <c r="H25" s="973">
        <v>230</v>
      </c>
      <c r="I25" s="973">
        <v>7200</v>
      </c>
      <c r="J25" s="973">
        <v>64700</v>
      </c>
      <c r="K25" s="973">
        <v>0</v>
      </c>
      <c r="L25" s="979">
        <v>0</v>
      </c>
      <c r="M25" s="980">
        <v>0</v>
      </c>
      <c r="N25" s="973">
        <v>0</v>
      </c>
      <c r="O25" s="973">
        <v>0</v>
      </c>
      <c r="P25" s="981">
        <v>0</v>
      </c>
      <c r="Q25" s="978">
        <v>0</v>
      </c>
      <c r="R25" s="977">
        <v>0</v>
      </c>
    </row>
    <row r="26" spans="1:18">
      <c r="A26" s="966" t="s">
        <v>104</v>
      </c>
      <c r="B26" s="954" t="s">
        <v>410</v>
      </c>
      <c r="C26" s="955" t="s">
        <v>409</v>
      </c>
      <c r="D26" s="956" t="s">
        <v>3</v>
      </c>
      <c r="E26" s="970">
        <v>60000</v>
      </c>
      <c r="F26" s="970">
        <f t="shared" si="0"/>
        <v>68000</v>
      </c>
      <c r="G26" s="971">
        <v>0</v>
      </c>
      <c r="H26" s="972">
        <v>0</v>
      </c>
      <c r="I26" s="972">
        <v>60500</v>
      </c>
      <c r="J26" s="972">
        <v>0</v>
      </c>
      <c r="K26" s="972">
        <v>0</v>
      </c>
      <c r="L26" s="974">
        <v>0</v>
      </c>
      <c r="M26" s="975">
        <v>0</v>
      </c>
      <c r="N26" s="972">
        <v>7500</v>
      </c>
      <c r="O26" s="972">
        <v>0</v>
      </c>
      <c r="P26" s="976">
        <v>0</v>
      </c>
      <c r="Q26" s="971">
        <v>0</v>
      </c>
      <c r="R26" s="977">
        <v>0</v>
      </c>
    </row>
    <row r="27" spans="1:18">
      <c r="A27" s="966" t="s">
        <v>104</v>
      </c>
      <c r="B27" s="954" t="s">
        <v>426</v>
      </c>
      <c r="C27" s="955" t="s">
        <v>427</v>
      </c>
      <c r="D27" s="956" t="s">
        <v>3</v>
      </c>
      <c r="E27" s="970">
        <v>34211</v>
      </c>
      <c r="F27" s="970">
        <f t="shared" si="0"/>
        <v>1059172</v>
      </c>
      <c r="G27" s="971">
        <v>0</v>
      </c>
      <c r="H27" s="972">
        <v>0</v>
      </c>
      <c r="I27" s="972">
        <v>19315</v>
      </c>
      <c r="J27" s="972">
        <v>0</v>
      </c>
      <c r="K27" s="973">
        <v>1033257</v>
      </c>
      <c r="L27" s="974">
        <v>0</v>
      </c>
      <c r="M27" s="975">
        <v>0</v>
      </c>
      <c r="N27" s="972">
        <v>0</v>
      </c>
      <c r="O27" s="972">
        <v>6600</v>
      </c>
      <c r="P27" s="976">
        <v>0</v>
      </c>
      <c r="Q27" s="971">
        <v>0</v>
      </c>
      <c r="R27" s="977">
        <v>0</v>
      </c>
    </row>
    <row r="28" spans="1:18">
      <c r="A28" s="966" t="s">
        <v>354</v>
      </c>
      <c r="B28" s="954" t="s">
        <v>420</v>
      </c>
      <c r="C28" s="955" t="s">
        <v>421</v>
      </c>
      <c r="D28" s="956" t="s">
        <v>3</v>
      </c>
      <c r="E28" s="970">
        <v>92560</v>
      </c>
      <c r="F28" s="970">
        <f t="shared" si="0"/>
        <v>20000</v>
      </c>
      <c r="G28" s="971">
        <v>0</v>
      </c>
      <c r="H28" s="972">
        <v>0</v>
      </c>
      <c r="I28" s="972">
        <v>0</v>
      </c>
      <c r="J28" s="972">
        <v>0</v>
      </c>
      <c r="K28" s="972">
        <v>20000</v>
      </c>
      <c r="L28" s="974">
        <v>0</v>
      </c>
      <c r="M28" s="975">
        <v>0</v>
      </c>
      <c r="N28" s="972">
        <v>0</v>
      </c>
      <c r="O28" s="972">
        <v>0</v>
      </c>
      <c r="P28" s="976">
        <v>0</v>
      </c>
      <c r="Q28" s="971">
        <v>0</v>
      </c>
      <c r="R28" s="977">
        <v>0</v>
      </c>
    </row>
    <row r="29" spans="1:18">
      <c r="A29" s="966" t="s">
        <v>354</v>
      </c>
      <c r="B29" s="954" t="s">
        <v>392</v>
      </c>
      <c r="C29" s="955" t="s">
        <v>393</v>
      </c>
      <c r="D29" s="956" t="s">
        <v>3</v>
      </c>
      <c r="E29" s="970">
        <v>0</v>
      </c>
      <c r="F29" s="970">
        <f t="shared" si="0"/>
        <v>136620</v>
      </c>
      <c r="G29" s="971">
        <v>0</v>
      </c>
      <c r="H29" s="972">
        <v>0</v>
      </c>
      <c r="I29" s="972">
        <v>0</v>
      </c>
      <c r="J29" s="972">
        <v>0</v>
      </c>
      <c r="K29" s="973">
        <v>136320</v>
      </c>
      <c r="L29" s="974">
        <v>0</v>
      </c>
      <c r="M29" s="975">
        <v>0</v>
      </c>
      <c r="N29" s="972">
        <v>0</v>
      </c>
      <c r="O29" s="982">
        <v>300</v>
      </c>
      <c r="P29" s="976">
        <v>0</v>
      </c>
      <c r="Q29" s="971">
        <v>0</v>
      </c>
      <c r="R29" s="977">
        <v>0</v>
      </c>
    </row>
    <row r="30" spans="1:18">
      <c r="A30" s="966" t="s">
        <v>354</v>
      </c>
      <c r="B30" s="954" t="s">
        <v>394</v>
      </c>
      <c r="C30" s="955" t="s">
        <v>169</v>
      </c>
      <c r="D30" s="956" t="s">
        <v>3</v>
      </c>
      <c r="E30" s="970">
        <v>0</v>
      </c>
      <c r="F30" s="970">
        <f t="shared" si="0"/>
        <v>4000</v>
      </c>
      <c r="G30" s="971">
        <v>0</v>
      </c>
      <c r="H30" s="972">
        <v>0</v>
      </c>
      <c r="I30" s="972">
        <v>0</v>
      </c>
      <c r="J30" s="972">
        <v>0</v>
      </c>
      <c r="K30" s="973">
        <v>4000</v>
      </c>
      <c r="L30" s="974">
        <v>0</v>
      </c>
      <c r="M30" s="975">
        <v>0</v>
      </c>
      <c r="N30" s="972">
        <v>0</v>
      </c>
      <c r="O30" s="982">
        <v>0</v>
      </c>
      <c r="P30" s="976">
        <v>0</v>
      </c>
      <c r="Q30" s="971">
        <v>0</v>
      </c>
      <c r="R30" s="977">
        <v>0</v>
      </c>
    </row>
    <row r="31" spans="1:18">
      <c r="A31" s="966" t="s">
        <v>354</v>
      </c>
      <c r="B31" s="954" t="s">
        <v>417</v>
      </c>
      <c r="C31" s="955" t="s">
        <v>419</v>
      </c>
      <c r="D31" s="956" t="s">
        <v>3</v>
      </c>
      <c r="E31" s="970">
        <v>0</v>
      </c>
      <c r="F31" s="970">
        <f t="shared" si="0"/>
        <v>5500</v>
      </c>
      <c r="G31" s="971">
        <v>0</v>
      </c>
      <c r="H31" s="972">
        <v>0</v>
      </c>
      <c r="I31" s="972">
        <v>0</v>
      </c>
      <c r="J31" s="972">
        <v>0</v>
      </c>
      <c r="K31" s="973">
        <v>5500</v>
      </c>
      <c r="L31" s="974">
        <v>0</v>
      </c>
      <c r="M31" s="975">
        <v>0</v>
      </c>
      <c r="N31" s="972">
        <v>0</v>
      </c>
      <c r="O31" s="982">
        <v>0</v>
      </c>
      <c r="P31" s="976">
        <v>0</v>
      </c>
      <c r="Q31" s="971">
        <v>0</v>
      </c>
      <c r="R31" s="977">
        <v>0</v>
      </c>
    </row>
    <row r="32" spans="1:18">
      <c r="A32" s="966" t="s">
        <v>354</v>
      </c>
      <c r="B32" s="954" t="s">
        <v>418</v>
      </c>
      <c r="C32" s="955" t="s">
        <v>331</v>
      </c>
      <c r="D32" s="956" t="s">
        <v>3</v>
      </c>
      <c r="E32" s="970">
        <v>0</v>
      </c>
      <c r="F32" s="970">
        <f t="shared" si="0"/>
        <v>3000</v>
      </c>
      <c r="G32" s="971">
        <v>0</v>
      </c>
      <c r="H32" s="972">
        <v>0</v>
      </c>
      <c r="I32" s="972">
        <v>0</v>
      </c>
      <c r="J32" s="972">
        <v>0</v>
      </c>
      <c r="K32" s="972">
        <v>3000</v>
      </c>
      <c r="L32" s="974">
        <v>0</v>
      </c>
      <c r="M32" s="975">
        <v>0</v>
      </c>
      <c r="N32" s="972">
        <v>0</v>
      </c>
      <c r="O32" s="972">
        <v>0</v>
      </c>
      <c r="P32" s="976">
        <v>0</v>
      </c>
      <c r="Q32" s="971">
        <v>0</v>
      </c>
      <c r="R32" s="977">
        <v>0</v>
      </c>
    </row>
    <row r="33" spans="1:18">
      <c r="A33" s="966" t="s">
        <v>354</v>
      </c>
      <c r="B33" s="954" t="s">
        <v>396</v>
      </c>
      <c r="C33" s="955" t="s">
        <v>395</v>
      </c>
      <c r="D33" s="956" t="s">
        <v>3</v>
      </c>
      <c r="E33" s="970">
        <v>0</v>
      </c>
      <c r="F33" s="970">
        <f t="shared" si="0"/>
        <v>2836</v>
      </c>
      <c r="G33" s="971">
        <v>2050</v>
      </c>
      <c r="H33" s="972">
        <v>786</v>
      </c>
      <c r="I33" s="972">
        <v>0</v>
      </c>
      <c r="J33" s="972">
        <v>0</v>
      </c>
      <c r="K33" s="972">
        <v>0</v>
      </c>
      <c r="L33" s="974">
        <v>0</v>
      </c>
      <c r="M33" s="975">
        <v>0</v>
      </c>
      <c r="N33" s="972">
        <v>0</v>
      </c>
      <c r="O33" s="972">
        <v>0</v>
      </c>
      <c r="P33" s="976">
        <v>0</v>
      </c>
      <c r="Q33" s="971">
        <v>0</v>
      </c>
      <c r="R33" s="977">
        <v>0</v>
      </c>
    </row>
    <row r="34" spans="1:18">
      <c r="A34" s="966" t="s">
        <v>354</v>
      </c>
      <c r="B34" s="954" t="s">
        <v>397</v>
      </c>
      <c r="C34" s="955" t="s">
        <v>398</v>
      </c>
      <c r="D34" s="956" t="s">
        <v>3</v>
      </c>
      <c r="E34" s="970">
        <v>0</v>
      </c>
      <c r="F34" s="970">
        <f t="shared" si="0"/>
        <v>11663</v>
      </c>
      <c r="G34" s="971">
        <v>8430</v>
      </c>
      <c r="H34" s="972">
        <v>3233</v>
      </c>
      <c r="I34" s="972">
        <v>0</v>
      </c>
      <c r="J34" s="972">
        <v>0</v>
      </c>
      <c r="K34" s="972">
        <v>0</v>
      </c>
      <c r="L34" s="974">
        <v>0</v>
      </c>
      <c r="M34" s="975">
        <v>0</v>
      </c>
      <c r="N34" s="972">
        <v>0</v>
      </c>
      <c r="O34" s="972">
        <v>0</v>
      </c>
      <c r="P34" s="976">
        <v>0</v>
      </c>
      <c r="Q34" s="971">
        <v>0</v>
      </c>
      <c r="R34" s="977">
        <v>0</v>
      </c>
    </row>
    <row r="35" spans="1:18">
      <c r="A35" s="966" t="s">
        <v>354</v>
      </c>
      <c r="B35" s="954" t="s">
        <v>399</v>
      </c>
      <c r="C35" s="955" t="s">
        <v>400</v>
      </c>
      <c r="D35" s="956" t="s">
        <v>3</v>
      </c>
      <c r="E35" s="970">
        <v>0</v>
      </c>
      <c r="F35" s="970">
        <f t="shared" si="0"/>
        <v>4842</v>
      </c>
      <c r="G35" s="978">
        <v>3500</v>
      </c>
      <c r="H35" s="973">
        <v>1342</v>
      </c>
      <c r="I35" s="973">
        <v>0</v>
      </c>
      <c r="J35" s="973">
        <v>0</v>
      </c>
      <c r="K35" s="973">
        <v>0</v>
      </c>
      <c r="L35" s="979">
        <v>0</v>
      </c>
      <c r="M35" s="980">
        <v>0</v>
      </c>
      <c r="N35" s="973">
        <v>0</v>
      </c>
      <c r="O35" s="973">
        <v>0</v>
      </c>
      <c r="P35" s="981">
        <v>0</v>
      </c>
      <c r="Q35" s="978">
        <v>0</v>
      </c>
      <c r="R35" s="977">
        <v>0</v>
      </c>
    </row>
    <row r="36" spans="1:18">
      <c r="A36" s="966" t="s">
        <v>354</v>
      </c>
      <c r="B36" s="954" t="s">
        <v>401</v>
      </c>
      <c r="C36" s="955" t="s">
        <v>402</v>
      </c>
      <c r="D36" s="956" t="s">
        <v>3</v>
      </c>
      <c r="E36" s="970">
        <v>0</v>
      </c>
      <c r="F36" s="970">
        <f t="shared" si="0"/>
        <v>692</v>
      </c>
      <c r="G36" s="978">
        <v>500</v>
      </c>
      <c r="H36" s="973">
        <v>192</v>
      </c>
      <c r="I36" s="973">
        <v>0</v>
      </c>
      <c r="J36" s="973">
        <v>0</v>
      </c>
      <c r="K36" s="973">
        <v>0</v>
      </c>
      <c r="L36" s="979">
        <v>0</v>
      </c>
      <c r="M36" s="980">
        <v>0</v>
      </c>
      <c r="N36" s="973">
        <v>0</v>
      </c>
      <c r="O36" s="973">
        <v>0</v>
      </c>
      <c r="P36" s="981">
        <v>0</v>
      </c>
      <c r="Q36" s="978">
        <v>0</v>
      </c>
      <c r="R36" s="977">
        <v>0</v>
      </c>
    </row>
    <row r="37" spans="1:18">
      <c r="A37" s="966" t="s">
        <v>354</v>
      </c>
      <c r="B37" s="954" t="s">
        <v>411</v>
      </c>
      <c r="C37" s="955" t="s">
        <v>412</v>
      </c>
      <c r="D37" s="956" t="s">
        <v>3</v>
      </c>
      <c r="E37" s="970">
        <v>0</v>
      </c>
      <c r="F37" s="970">
        <f t="shared" si="0"/>
        <v>21978</v>
      </c>
      <c r="G37" s="978">
        <v>11500</v>
      </c>
      <c r="H37" s="973">
        <v>4098</v>
      </c>
      <c r="I37" s="973">
        <v>6380</v>
      </c>
      <c r="J37" s="973">
        <v>0</v>
      </c>
      <c r="K37" s="973">
        <v>0</v>
      </c>
      <c r="L37" s="979">
        <v>0</v>
      </c>
      <c r="M37" s="980">
        <v>0</v>
      </c>
      <c r="N37" s="973">
        <v>0</v>
      </c>
      <c r="O37" s="973">
        <v>0</v>
      </c>
      <c r="P37" s="981">
        <v>0</v>
      </c>
      <c r="Q37" s="978">
        <v>0</v>
      </c>
      <c r="R37" s="977">
        <v>0</v>
      </c>
    </row>
    <row r="38" spans="1:18">
      <c r="A38" s="966" t="s">
        <v>354</v>
      </c>
      <c r="B38" s="954" t="s">
        <v>413</v>
      </c>
      <c r="C38" s="955" t="s">
        <v>414</v>
      </c>
      <c r="D38" s="956" t="s">
        <v>3</v>
      </c>
      <c r="E38" s="970">
        <v>0</v>
      </c>
      <c r="F38" s="970">
        <f t="shared" si="0"/>
        <v>28707</v>
      </c>
      <c r="G38" s="971">
        <v>3800</v>
      </c>
      <c r="H38" s="972">
        <v>767</v>
      </c>
      <c r="I38" s="972">
        <v>18200</v>
      </c>
      <c r="J38" s="972">
        <v>0</v>
      </c>
      <c r="K38" s="972">
        <v>0</v>
      </c>
      <c r="L38" s="974">
        <v>0</v>
      </c>
      <c r="M38" s="975">
        <v>5940</v>
      </c>
      <c r="N38" s="972">
        <v>0</v>
      </c>
      <c r="O38" s="972">
        <v>0</v>
      </c>
      <c r="P38" s="976">
        <v>0</v>
      </c>
      <c r="Q38" s="971">
        <v>0</v>
      </c>
      <c r="R38" s="977">
        <v>0</v>
      </c>
    </row>
    <row r="39" spans="1:18">
      <c r="A39" s="966" t="s">
        <v>354</v>
      </c>
      <c r="B39" s="954" t="s">
        <v>403</v>
      </c>
      <c r="C39" s="955" t="s">
        <v>110</v>
      </c>
      <c r="D39" s="956" t="s">
        <v>3</v>
      </c>
      <c r="E39" s="970">
        <v>0</v>
      </c>
      <c r="F39" s="970">
        <f t="shared" si="0"/>
        <v>22921</v>
      </c>
      <c r="G39" s="971">
        <v>0</v>
      </c>
      <c r="H39" s="972">
        <v>0</v>
      </c>
      <c r="I39" s="972">
        <v>1571</v>
      </c>
      <c r="J39" s="972">
        <v>0</v>
      </c>
      <c r="K39" s="972">
        <v>0</v>
      </c>
      <c r="L39" s="974">
        <v>0</v>
      </c>
      <c r="M39" s="975">
        <v>21350</v>
      </c>
      <c r="N39" s="972">
        <v>0</v>
      </c>
      <c r="O39" s="972">
        <v>0</v>
      </c>
      <c r="P39" s="976">
        <v>0</v>
      </c>
      <c r="Q39" s="971">
        <v>0</v>
      </c>
      <c r="R39" s="977">
        <v>0</v>
      </c>
    </row>
    <row r="40" spans="1:18">
      <c r="A40" s="966" t="s">
        <v>354</v>
      </c>
      <c r="B40" s="954" t="s">
        <v>405</v>
      </c>
      <c r="C40" s="955" t="s">
        <v>404</v>
      </c>
      <c r="D40" s="956" t="s">
        <v>3</v>
      </c>
      <c r="E40" s="970">
        <v>0</v>
      </c>
      <c r="F40" s="970">
        <f t="shared" si="0"/>
        <v>9053</v>
      </c>
      <c r="G40" s="971">
        <v>0</v>
      </c>
      <c r="H40" s="972">
        <v>0</v>
      </c>
      <c r="I40" s="972">
        <v>9053</v>
      </c>
      <c r="J40" s="972">
        <v>0</v>
      </c>
      <c r="K40" s="972">
        <v>0</v>
      </c>
      <c r="L40" s="974">
        <v>0</v>
      </c>
      <c r="M40" s="975">
        <v>0</v>
      </c>
      <c r="N40" s="972">
        <v>0</v>
      </c>
      <c r="O40" s="972">
        <v>0</v>
      </c>
      <c r="P40" s="976">
        <v>0</v>
      </c>
      <c r="Q40" s="971">
        <v>0</v>
      </c>
      <c r="R40" s="977">
        <v>0</v>
      </c>
    </row>
    <row r="41" spans="1:18">
      <c r="A41" s="966" t="s">
        <v>354</v>
      </c>
      <c r="B41" s="954" t="s">
        <v>415</v>
      </c>
      <c r="C41" s="955" t="s">
        <v>416</v>
      </c>
      <c r="D41" s="956" t="s">
        <v>3</v>
      </c>
      <c r="E41" s="970">
        <v>0</v>
      </c>
      <c r="F41" s="970">
        <f t="shared" si="0"/>
        <v>5230</v>
      </c>
      <c r="G41" s="971">
        <v>0</v>
      </c>
      <c r="H41" s="972">
        <v>0</v>
      </c>
      <c r="I41" s="972">
        <v>5230</v>
      </c>
      <c r="J41" s="972">
        <v>0</v>
      </c>
      <c r="K41" s="972">
        <v>0</v>
      </c>
      <c r="L41" s="974">
        <v>0</v>
      </c>
      <c r="M41" s="975">
        <v>0</v>
      </c>
      <c r="N41" s="972">
        <v>0</v>
      </c>
      <c r="O41" s="972">
        <v>0</v>
      </c>
      <c r="P41" s="976">
        <v>0</v>
      </c>
      <c r="Q41" s="971">
        <v>0</v>
      </c>
      <c r="R41" s="977">
        <v>0</v>
      </c>
    </row>
    <row r="42" spans="1:18">
      <c r="A42" s="966" t="s">
        <v>354</v>
      </c>
      <c r="B42" s="954" t="s">
        <v>406</v>
      </c>
      <c r="C42" s="955" t="s">
        <v>281</v>
      </c>
      <c r="D42" s="956" t="s">
        <v>3</v>
      </c>
      <c r="E42" s="970">
        <v>0</v>
      </c>
      <c r="F42" s="970">
        <f t="shared" si="0"/>
        <v>30000</v>
      </c>
      <c r="G42" s="971">
        <v>0</v>
      </c>
      <c r="H42" s="972">
        <v>0</v>
      </c>
      <c r="I42" s="972">
        <v>0</v>
      </c>
      <c r="J42" s="972">
        <v>0</v>
      </c>
      <c r="K42" s="972">
        <v>0</v>
      </c>
      <c r="L42" s="974">
        <v>30000</v>
      </c>
      <c r="M42" s="975">
        <v>0</v>
      </c>
      <c r="N42" s="972">
        <v>0</v>
      </c>
      <c r="O42" s="972">
        <v>0</v>
      </c>
      <c r="P42" s="976">
        <v>0</v>
      </c>
      <c r="Q42" s="971">
        <v>0</v>
      </c>
      <c r="R42" s="977">
        <v>0</v>
      </c>
    </row>
    <row r="43" spans="1:18">
      <c r="A43" s="966" t="s">
        <v>354</v>
      </c>
      <c r="B43" s="983" t="s">
        <v>340</v>
      </c>
      <c r="C43" s="984" t="s">
        <v>428</v>
      </c>
      <c r="D43" s="956" t="s">
        <v>3</v>
      </c>
      <c r="E43" s="970">
        <v>74274</v>
      </c>
      <c r="F43" s="970">
        <f t="shared" si="0"/>
        <v>125751</v>
      </c>
      <c r="G43" s="971">
        <v>39862</v>
      </c>
      <c r="H43" s="972">
        <v>6849</v>
      </c>
      <c r="I43" s="972">
        <v>78890</v>
      </c>
      <c r="J43" s="972">
        <v>150</v>
      </c>
      <c r="K43" s="972">
        <v>0</v>
      </c>
      <c r="L43" s="974">
        <v>0</v>
      </c>
      <c r="M43" s="975">
        <v>0</v>
      </c>
      <c r="N43" s="972">
        <v>0</v>
      </c>
      <c r="O43" s="972">
        <v>0</v>
      </c>
      <c r="P43" s="976">
        <v>0</v>
      </c>
      <c r="Q43" s="971">
        <v>0</v>
      </c>
      <c r="R43" s="977">
        <v>0</v>
      </c>
    </row>
    <row r="44" spans="1:18" ht="27" customHeight="1">
      <c r="A44" s="966" t="s">
        <v>354</v>
      </c>
      <c r="B44" s="983" t="s">
        <v>341</v>
      </c>
      <c r="C44" s="984" t="s">
        <v>429</v>
      </c>
      <c r="D44" s="956" t="s">
        <v>3</v>
      </c>
      <c r="E44" s="970">
        <v>984</v>
      </c>
      <c r="F44" s="970">
        <f t="shared" si="0"/>
        <v>994</v>
      </c>
      <c r="G44" s="971">
        <v>846</v>
      </c>
      <c r="H44" s="972">
        <v>148</v>
      </c>
      <c r="I44" s="972">
        <v>0</v>
      </c>
      <c r="J44" s="972">
        <v>0</v>
      </c>
      <c r="K44" s="972">
        <v>0</v>
      </c>
      <c r="L44" s="974">
        <v>0</v>
      </c>
      <c r="M44" s="975">
        <v>0</v>
      </c>
      <c r="N44" s="972">
        <v>0</v>
      </c>
      <c r="O44" s="972">
        <v>0</v>
      </c>
      <c r="P44" s="976">
        <v>0</v>
      </c>
      <c r="Q44" s="971">
        <v>0</v>
      </c>
      <c r="R44" s="977">
        <v>0</v>
      </c>
    </row>
    <row r="45" spans="1:18">
      <c r="A45" s="966" t="s">
        <v>354</v>
      </c>
      <c r="B45" s="983" t="s">
        <v>342</v>
      </c>
      <c r="C45" s="984" t="s">
        <v>430</v>
      </c>
      <c r="D45" s="956" t="s">
        <v>3</v>
      </c>
      <c r="E45" s="970">
        <v>15838</v>
      </c>
      <c r="F45" s="970">
        <f t="shared" si="0"/>
        <v>16338</v>
      </c>
      <c r="G45" s="971">
        <v>8936</v>
      </c>
      <c r="H45" s="972">
        <v>514</v>
      </c>
      <c r="I45" s="972">
        <v>6888</v>
      </c>
      <c r="J45" s="972">
        <v>0</v>
      </c>
      <c r="K45" s="972">
        <v>0</v>
      </c>
      <c r="L45" s="974">
        <v>0</v>
      </c>
      <c r="M45" s="975">
        <v>0</v>
      </c>
      <c r="N45" s="972">
        <v>0</v>
      </c>
      <c r="O45" s="972">
        <v>0</v>
      </c>
      <c r="P45" s="976">
        <v>0</v>
      </c>
      <c r="Q45" s="971">
        <v>0</v>
      </c>
      <c r="R45" s="977">
        <v>0</v>
      </c>
    </row>
    <row r="46" spans="1:18">
      <c r="A46" s="966" t="s">
        <v>354</v>
      </c>
      <c r="B46" s="983" t="s">
        <v>343</v>
      </c>
      <c r="C46" s="984" t="s">
        <v>431</v>
      </c>
      <c r="D46" s="956" t="s">
        <v>3</v>
      </c>
      <c r="E46" s="970">
        <v>3601</v>
      </c>
      <c r="F46" s="970">
        <f t="shared" si="0"/>
        <v>11601</v>
      </c>
      <c r="G46" s="971">
        <v>4720</v>
      </c>
      <c r="H46" s="972">
        <v>1000</v>
      </c>
      <c r="I46" s="972">
        <v>4061</v>
      </c>
      <c r="J46" s="972">
        <v>0</v>
      </c>
      <c r="K46" s="972">
        <v>0</v>
      </c>
      <c r="L46" s="974">
        <v>0</v>
      </c>
      <c r="M46" s="975">
        <v>1820</v>
      </c>
      <c r="N46" s="972">
        <v>0</v>
      </c>
      <c r="O46" s="972">
        <v>0</v>
      </c>
      <c r="P46" s="976">
        <v>0</v>
      </c>
      <c r="Q46" s="971">
        <v>0</v>
      </c>
      <c r="R46" s="977">
        <v>0</v>
      </c>
    </row>
    <row r="47" spans="1:18" ht="30">
      <c r="A47" s="966" t="s">
        <v>354</v>
      </c>
      <c r="B47" s="983" t="s">
        <v>348</v>
      </c>
      <c r="C47" s="984" t="s">
        <v>497</v>
      </c>
      <c r="D47" s="956" t="s">
        <v>3</v>
      </c>
      <c r="E47" s="970">
        <v>14320</v>
      </c>
      <c r="F47" s="970">
        <f t="shared" si="0"/>
        <v>104320</v>
      </c>
      <c r="G47" s="971">
        <v>0</v>
      </c>
      <c r="H47" s="972">
        <v>0</v>
      </c>
      <c r="I47" s="972">
        <v>6050</v>
      </c>
      <c r="J47" s="972">
        <v>0</v>
      </c>
      <c r="K47" s="972">
        <v>0</v>
      </c>
      <c r="L47" s="974">
        <v>0</v>
      </c>
      <c r="M47" s="975">
        <v>98270</v>
      </c>
      <c r="N47" s="972">
        <v>0</v>
      </c>
      <c r="O47" s="972">
        <v>0</v>
      </c>
      <c r="P47" s="976">
        <v>0</v>
      </c>
      <c r="Q47" s="971">
        <v>0</v>
      </c>
      <c r="R47" s="977">
        <v>0</v>
      </c>
    </row>
    <row r="48" spans="1:18" ht="30">
      <c r="A48" s="966" t="s">
        <v>354</v>
      </c>
      <c r="B48" s="983" t="s">
        <v>350</v>
      </c>
      <c r="C48" s="984" t="s">
        <v>498</v>
      </c>
      <c r="D48" s="956" t="s">
        <v>3</v>
      </c>
      <c r="E48" s="970">
        <v>0</v>
      </c>
      <c r="F48" s="970">
        <f t="shared" si="0"/>
        <v>6469</v>
      </c>
      <c r="G48" s="971">
        <v>0</v>
      </c>
      <c r="H48" s="972">
        <v>0</v>
      </c>
      <c r="I48" s="972">
        <v>2308</v>
      </c>
      <c r="J48" s="972">
        <v>0</v>
      </c>
      <c r="K48" s="972">
        <v>0</v>
      </c>
      <c r="L48" s="974">
        <v>0</v>
      </c>
      <c r="M48" s="975">
        <v>4161</v>
      </c>
      <c r="N48" s="972">
        <v>0</v>
      </c>
      <c r="O48" s="972">
        <v>0</v>
      </c>
      <c r="P48" s="976">
        <v>0</v>
      </c>
      <c r="Q48" s="971">
        <v>0</v>
      </c>
      <c r="R48" s="977">
        <v>0</v>
      </c>
    </row>
    <row r="49" spans="1:18">
      <c r="A49" s="966" t="s">
        <v>354</v>
      </c>
      <c r="B49" s="983" t="s">
        <v>352</v>
      </c>
      <c r="C49" s="984" t="s">
        <v>432</v>
      </c>
      <c r="D49" s="956" t="s">
        <v>3</v>
      </c>
      <c r="E49" s="970">
        <v>0</v>
      </c>
      <c r="F49" s="970">
        <f t="shared" si="0"/>
        <v>385776</v>
      </c>
      <c r="G49" s="971">
        <v>6219</v>
      </c>
      <c r="H49" s="972">
        <v>1565</v>
      </c>
      <c r="I49" s="972">
        <v>14104</v>
      </c>
      <c r="J49" s="972">
        <v>0</v>
      </c>
      <c r="K49" s="972">
        <v>0</v>
      </c>
      <c r="L49" s="974">
        <v>0</v>
      </c>
      <c r="M49" s="975">
        <v>363888</v>
      </c>
      <c r="N49" s="972">
        <v>0</v>
      </c>
      <c r="O49" s="972">
        <v>0</v>
      </c>
      <c r="P49" s="976">
        <v>0</v>
      </c>
      <c r="Q49" s="971">
        <v>0</v>
      </c>
      <c r="R49" s="977">
        <v>0</v>
      </c>
    </row>
    <row r="50" spans="1:18">
      <c r="A50" s="966" t="s">
        <v>354</v>
      </c>
      <c r="B50" s="983" t="s">
        <v>355</v>
      </c>
      <c r="C50" s="984" t="s">
        <v>433</v>
      </c>
      <c r="D50" s="956" t="s">
        <v>3</v>
      </c>
      <c r="E50" s="970">
        <v>0</v>
      </c>
      <c r="F50" s="970">
        <f t="shared" si="0"/>
        <v>199043</v>
      </c>
      <c r="G50" s="971">
        <v>1169</v>
      </c>
      <c r="H50" s="972">
        <v>205</v>
      </c>
      <c r="I50" s="972">
        <v>4070</v>
      </c>
      <c r="J50" s="972">
        <v>0</v>
      </c>
      <c r="K50" s="972">
        <v>0</v>
      </c>
      <c r="L50" s="974">
        <v>0</v>
      </c>
      <c r="M50" s="975">
        <v>193599</v>
      </c>
      <c r="N50" s="972">
        <v>0</v>
      </c>
      <c r="O50" s="972">
        <v>0</v>
      </c>
      <c r="P50" s="976">
        <v>0</v>
      </c>
      <c r="Q50" s="971">
        <v>0</v>
      </c>
      <c r="R50" s="977">
        <v>0</v>
      </c>
    </row>
    <row r="51" spans="1:18">
      <c r="A51" s="966" t="s">
        <v>354</v>
      </c>
      <c r="B51" s="983" t="s">
        <v>442</v>
      </c>
      <c r="C51" s="984" t="s">
        <v>434</v>
      </c>
      <c r="D51" s="956" t="s">
        <v>3</v>
      </c>
      <c r="E51" s="970">
        <v>0</v>
      </c>
      <c r="F51" s="970">
        <f t="shared" si="0"/>
        <v>201410</v>
      </c>
      <c r="G51" s="971">
        <v>1353</v>
      </c>
      <c r="H51" s="972">
        <v>213</v>
      </c>
      <c r="I51" s="972">
        <v>5534</v>
      </c>
      <c r="J51" s="972">
        <v>0</v>
      </c>
      <c r="K51" s="972">
        <v>0</v>
      </c>
      <c r="L51" s="974">
        <v>0</v>
      </c>
      <c r="M51" s="975">
        <v>194310</v>
      </c>
      <c r="N51" s="972">
        <v>0</v>
      </c>
      <c r="O51" s="972">
        <v>0</v>
      </c>
      <c r="P51" s="976">
        <v>0</v>
      </c>
      <c r="Q51" s="971">
        <v>0</v>
      </c>
      <c r="R51" s="977">
        <v>0</v>
      </c>
    </row>
    <row r="52" spans="1:18">
      <c r="A52" s="966" t="s">
        <v>354</v>
      </c>
      <c r="B52" s="983" t="s">
        <v>443</v>
      </c>
      <c r="C52" s="984" t="s">
        <v>435</v>
      </c>
      <c r="D52" s="956" t="s">
        <v>3</v>
      </c>
      <c r="E52" s="970">
        <v>0</v>
      </c>
      <c r="F52" s="970">
        <f t="shared" si="0"/>
        <v>150304</v>
      </c>
      <c r="G52" s="971">
        <v>340</v>
      </c>
      <c r="H52" s="972">
        <v>0</v>
      </c>
      <c r="I52" s="972">
        <v>5354</v>
      </c>
      <c r="J52" s="972">
        <v>0</v>
      </c>
      <c r="K52" s="972">
        <v>0</v>
      </c>
      <c r="L52" s="974">
        <v>0</v>
      </c>
      <c r="M52" s="975">
        <v>144610</v>
      </c>
      <c r="N52" s="972">
        <v>0</v>
      </c>
      <c r="O52" s="972">
        <v>0</v>
      </c>
      <c r="P52" s="976">
        <v>0</v>
      </c>
      <c r="Q52" s="971">
        <v>0</v>
      </c>
      <c r="R52" s="977">
        <v>0</v>
      </c>
    </row>
    <row r="53" spans="1:18">
      <c r="A53" s="966" t="s">
        <v>354</v>
      </c>
      <c r="B53" s="983" t="s">
        <v>444</v>
      </c>
      <c r="C53" s="984" t="s">
        <v>436</v>
      </c>
      <c r="D53" s="956" t="s">
        <v>3</v>
      </c>
      <c r="E53" s="970">
        <v>0</v>
      </c>
      <c r="F53" s="970">
        <f t="shared" si="0"/>
        <v>413129</v>
      </c>
      <c r="G53" s="971">
        <v>1925</v>
      </c>
      <c r="H53" s="972">
        <v>472</v>
      </c>
      <c r="I53" s="972">
        <v>9698</v>
      </c>
      <c r="J53" s="972">
        <v>0</v>
      </c>
      <c r="K53" s="972">
        <v>0</v>
      </c>
      <c r="L53" s="974">
        <v>0</v>
      </c>
      <c r="M53" s="975">
        <v>401034</v>
      </c>
      <c r="N53" s="972">
        <v>0</v>
      </c>
      <c r="O53" s="972">
        <v>0</v>
      </c>
      <c r="P53" s="976">
        <v>0</v>
      </c>
      <c r="Q53" s="971">
        <v>0</v>
      </c>
      <c r="R53" s="977">
        <v>0</v>
      </c>
    </row>
    <row r="54" spans="1:18">
      <c r="A54" s="966" t="s">
        <v>354</v>
      </c>
      <c r="B54" s="983" t="s">
        <v>865</v>
      </c>
      <c r="C54" s="984" t="s">
        <v>437</v>
      </c>
      <c r="D54" s="956" t="s">
        <v>3</v>
      </c>
      <c r="E54" s="970">
        <v>10399</v>
      </c>
      <c r="F54" s="970">
        <f t="shared" si="0"/>
        <v>147045</v>
      </c>
      <c r="G54" s="971">
        <v>2738</v>
      </c>
      <c r="H54" s="972">
        <v>1013</v>
      </c>
      <c r="I54" s="972">
        <v>6648</v>
      </c>
      <c r="J54" s="972">
        <v>0</v>
      </c>
      <c r="K54" s="972">
        <v>0</v>
      </c>
      <c r="L54" s="974">
        <v>0</v>
      </c>
      <c r="M54" s="975">
        <v>0</v>
      </c>
      <c r="N54" s="972">
        <v>136646</v>
      </c>
      <c r="O54" s="972">
        <v>0</v>
      </c>
      <c r="P54" s="976">
        <v>0</v>
      </c>
      <c r="Q54" s="971">
        <v>0</v>
      </c>
      <c r="R54" s="977">
        <v>0</v>
      </c>
    </row>
    <row r="55" spans="1:18" ht="30">
      <c r="A55" s="966" t="s">
        <v>354</v>
      </c>
      <c r="B55" s="983" t="s">
        <v>445</v>
      </c>
      <c r="C55" s="984" t="s">
        <v>438</v>
      </c>
      <c r="D55" s="956" t="s">
        <v>3</v>
      </c>
      <c r="E55" s="970">
        <v>11345</v>
      </c>
      <c r="F55" s="970">
        <f t="shared" si="0"/>
        <v>235862</v>
      </c>
      <c r="G55" s="971">
        <v>2765</v>
      </c>
      <c r="H55" s="972">
        <v>485</v>
      </c>
      <c r="I55" s="972">
        <v>8095</v>
      </c>
      <c r="J55" s="972">
        <v>0</v>
      </c>
      <c r="K55" s="972">
        <v>0</v>
      </c>
      <c r="L55" s="974">
        <v>0</v>
      </c>
      <c r="M55" s="975">
        <v>224517</v>
      </c>
      <c r="N55" s="972">
        <v>0</v>
      </c>
      <c r="O55" s="972">
        <v>0</v>
      </c>
      <c r="P55" s="976">
        <v>0</v>
      </c>
      <c r="Q55" s="971">
        <v>0</v>
      </c>
      <c r="R55" s="977">
        <v>0</v>
      </c>
    </row>
    <row r="56" spans="1:18">
      <c r="A56" s="966" t="s">
        <v>354</v>
      </c>
      <c r="B56" s="983" t="s">
        <v>446</v>
      </c>
      <c r="C56" s="984" t="s">
        <v>439</v>
      </c>
      <c r="D56" s="956" t="s">
        <v>3</v>
      </c>
      <c r="E56" s="970">
        <v>0</v>
      </c>
      <c r="F56" s="970">
        <f t="shared" si="0"/>
        <v>51584</v>
      </c>
      <c r="G56" s="971">
        <v>840</v>
      </c>
      <c r="H56" s="972">
        <v>197</v>
      </c>
      <c r="I56" s="972">
        <v>1182</v>
      </c>
      <c r="J56" s="972">
        <v>0</v>
      </c>
      <c r="K56" s="972">
        <v>0</v>
      </c>
      <c r="L56" s="974">
        <v>0</v>
      </c>
      <c r="M56" s="975">
        <v>49365</v>
      </c>
      <c r="N56" s="972">
        <v>0</v>
      </c>
      <c r="O56" s="972">
        <v>0</v>
      </c>
      <c r="P56" s="976">
        <v>0</v>
      </c>
      <c r="Q56" s="971">
        <v>0</v>
      </c>
      <c r="R56" s="977">
        <v>0</v>
      </c>
    </row>
    <row r="57" spans="1:18">
      <c r="A57" s="966" t="s">
        <v>354</v>
      </c>
      <c r="B57" s="983" t="s">
        <v>447</v>
      </c>
      <c r="C57" s="984" t="s">
        <v>440</v>
      </c>
      <c r="D57" s="956" t="s">
        <v>3</v>
      </c>
      <c r="E57" s="970">
        <v>0</v>
      </c>
      <c r="F57" s="970">
        <f t="shared" si="0"/>
        <v>50645</v>
      </c>
      <c r="G57" s="971">
        <v>307</v>
      </c>
      <c r="H57" s="972">
        <v>112</v>
      </c>
      <c r="I57" s="972">
        <v>669</v>
      </c>
      <c r="J57" s="972">
        <v>0</v>
      </c>
      <c r="K57" s="972">
        <v>0</v>
      </c>
      <c r="L57" s="974">
        <v>0</v>
      </c>
      <c r="M57" s="975">
        <v>49557</v>
      </c>
      <c r="N57" s="972">
        <v>0</v>
      </c>
      <c r="O57" s="972">
        <v>0</v>
      </c>
      <c r="P57" s="976">
        <v>0</v>
      </c>
      <c r="Q57" s="971">
        <v>0</v>
      </c>
      <c r="R57" s="977">
        <v>0</v>
      </c>
    </row>
    <row r="58" spans="1:18">
      <c r="A58" s="985" t="s">
        <v>354</v>
      </c>
      <c r="B58" s="986" t="s">
        <v>448</v>
      </c>
      <c r="C58" s="987" t="s">
        <v>441</v>
      </c>
      <c r="D58" s="988" t="s">
        <v>3</v>
      </c>
      <c r="E58" s="989">
        <v>23371</v>
      </c>
      <c r="F58" s="989">
        <f t="shared" si="0"/>
        <v>23371</v>
      </c>
      <c r="G58" s="990">
        <v>2040</v>
      </c>
      <c r="H58" s="991">
        <v>357</v>
      </c>
      <c r="I58" s="991">
        <v>20974</v>
      </c>
      <c r="J58" s="991">
        <v>0</v>
      </c>
      <c r="K58" s="991">
        <v>0</v>
      </c>
      <c r="L58" s="992">
        <v>0</v>
      </c>
      <c r="M58" s="993">
        <v>0</v>
      </c>
      <c r="N58" s="991">
        <v>0</v>
      </c>
      <c r="O58" s="991">
        <v>0</v>
      </c>
      <c r="P58" s="994">
        <v>0</v>
      </c>
      <c r="Q58" s="990">
        <v>0</v>
      </c>
      <c r="R58" s="995">
        <v>0</v>
      </c>
    </row>
    <row r="59" spans="1:18" ht="15.75" thickBot="1">
      <c r="A59" s="985" t="s">
        <v>354</v>
      </c>
      <c r="B59" s="986" t="s">
        <v>866</v>
      </c>
      <c r="C59" s="987" t="s">
        <v>867</v>
      </c>
      <c r="D59" s="988" t="s">
        <v>3</v>
      </c>
      <c r="E59" s="989">
        <v>105769</v>
      </c>
      <c r="F59" s="989">
        <f t="shared" si="0"/>
        <v>105769</v>
      </c>
      <c r="G59" s="990">
        <v>0</v>
      </c>
      <c r="H59" s="991">
        <v>0</v>
      </c>
      <c r="I59" s="991">
        <v>2640</v>
      </c>
      <c r="J59" s="991">
        <v>0</v>
      </c>
      <c r="K59" s="991">
        <v>0</v>
      </c>
      <c r="L59" s="992">
        <v>0</v>
      </c>
      <c r="M59" s="993">
        <v>103129</v>
      </c>
      <c r="N59" s="991">
        <v>0</v>
      </c>
      <c r="O59" s="991">
        <v>0</v>
      </c>
      <c r="P59" s="994">
        <v>0</v>
      </c>
      <c r="Q59" s="990">
        <v>0</v>
      </c>
      <c r="R59" s="995">
        <v>0</v>
      </c>
    </row>
    <row r="60" spans="1:18">
      <c r="A60" s="371"/>
      <c r="B60" s="372"/>
      <c r="C60" s="996" t="s">
        <v>64</v>
      </c>
      <c r="D60" s="997" t="s">
        <v>3</v>
      </c>
      <c r="E60" s="346">
        <f>E5+E6+E7+E8+E9+E10+E11+E12+E13+E14+E15+E16+E17+E18+E19+E20+E21+E22+E23+E24+E25+E26+E27+E28+E29+E30+E31+E32+E33+E34+E35+E36+E37+E38+E39+E40+E41+E42+E43+E44+E45+E46+E47+E48+E49++E50+E51+E52+E53+E54+E55+E56+E57+E58+E59</f>
        <v>10319194</v>
      </c>
      <c r="F60" s="346">
        <f t="shared" ref="F60:R60" si="1">F5+F6+F7+F8+F9+F10+F11+F12+F13+F14+F15+F16+F17+F18+F19+F20+F21+F22+F23+F24+F25+F26+F27+F28+F29+F30+F31+F32+F33+F34+F35+F36+F37+F38+F39+F40+F41+F42+F43+F44+F45+F46+F47+F48+F49++F50+F51+F52+F53+F54+F55+F56+F57+F58+F59</f>
        <v>10319194</v>
      </c>
      <c r="G60" s="351">
        <f t="shared" si="1"/>
        <v>234169</v>
      </c>
      <c r="H60" s="352">
        <f t="shared" si="1"/>
        <v>45897</v>
      </c>
      <c r="I60" s="352">
        <f t="shared" si="1"/>
        <v>1407856</v>
      </c>
      <c r="J60" s="352">
        <f t="shared" si="1"/>
        <v>64850</v>
      </c>
      <c r="K60" s="352">
        <f t="shared" si="1"/>
        <v>1220077</v>
      </c>
      <c r="L60" s="353">
        <f t="shared" si="1"/>
        <v>103644</v>
      </c>
      <c r="M60" s="998">
        <f t="shared" si="1"/>
        <v>2130929</v>
      </c>
      <c r="N60" s="352">
        <f t="shared" si="1"/>
        <v>544052</v>
      </c>
      <c r="O60" s="352">
        <f t="shared" si="1"/>
        <v>13900</v>
      </c>
      <c r="P60" s="999">
        <f t="shared" si="1"/>
        <v>10000</v>
      </c>
      <c r="Q60" s="351">
        <f t="shared" si="1"/>
        <v>2166549</v>
      </c>
      <c r="R60" s="353">
        <f t="shared" si="1"/>
        <v>2377271</v>
      </c>
    </row>
    <row r="61" spans="1:18">
      <c r="A61" s="966"/>
      <c r="B61" s="1000"/>
      <c r="C61" s="1001" t="s">
        <v>119</v>
      </c>
      <c r="D61" s="1002" t="s">
        <v>3</v>
      </c>
      <c r="E61" s="970">
        <f t="shared" ref="E61:R61" si="2">E8+E9+E10+E11+E12+E13+E14+E15+E16+E17+E18+E19+E20+E21+E22+E23+E25+E26+E27</f>
        <v>4319228</v>
      </c>
      <c r="F61" s="970">
        <f t="shared" si="2"/>
        <v>2617730</v>
      </c>
      <c r="G61" s="1003">
        <f t="shared" si="2"/>
        <v>43781</v>
      </c>
      <c r="H61" s="1004">
        <f t="shared" si="2"/>
        <v>4249</v>
      </c>
      <c r="I61" s="1004">
        <f t="shared" si="2"/>
        <v>797815</v>
      </c>
      <c r="J61" s="1004">
        <f t="shared" si="2"/>
        <v>64700</v>
      </c>
      <c r="K61" s="1004">
        <f t="shared" si="2"/>
        <v>1033257</v>
      </c>
      <c r="L61" s="1005">
        <f t="shared" si="2"/>
        <v>0</v>
      </c>
      <c r="M61" s="1006">
        <f t="shared" si="2"/>
        <v>259622</v>
      </c>
      <c r="N61" s="1004">
        <f t="shared" si="2"/>
        <v>400706</v>
      </c>
      <c r="O61" s="1004">
        <f t="shared" si="2"/>
        <v>13600</v>
      </c>
      <c r="P61" s="1007">
        <f t="shared" si="2"/>
        <v>0</v>
      </c>
      <c r="Q61" s="1003">
        <f t="shared" si="2"/>
        <v>0</v>
      </c>
      <c r="R61" s="1005">
        <f t="shared" si="2"/>
        <v>0</v>
      </c>
    </row>
    <row r="62" spans="1:18">
      <c r="A62" s="966"/>
      <c r="B62" s="1000"/>
      <c r="C62" s="1001" t="s">
        <v>459</v>
      </c>
      <c r="D62" s="1002" t="s">
        <v>3</v>
      </c>
      <c r="E62" s="970">
        <f>E24+E28+E29+E30+E31+E32+E33+E34+E35+E36+E37+E38+E39+E40+E41+E42+E43+E44+E45+E46+E47+E48+E49+E50+E51+E52+E53+E54+E55+E56+E57+E58+E59</f>
        <v>352461</v>
      </c>
      <c r="F62" s="970">
        <f t="shared" ref="F62:R62" si="3">F24+F28+F29+F30+F31+F32+F33+F34+F35+F36+F37+F38+F39+F40+F41+F42+F43+F44+F45+F46+F47+F48+F49+F50+F51+F52+F53+F54+F55+F56+F57+F58+F59</f>
        <v>2561553</v>
      </c>
      <c r="G62" s="1003">
        <f t="shared" si="3"/>
        <v>103840</v>
      </c>
      <c r="H62" s="1004">
        <f t="shared" si="3"/>
        <v>23548</v>
      </c>
      <c r="I62" s="1004">
        <f t="shared" si="3"/>
        <v>242699</v>
      </c>
      <c r="J62" s="1004">
        <f t="shared" si="3"/>
        <v>150</v>
      </c>
      <c r="K62" s="1004">
        <f t="shared" si="3"/>
        <v>168820</v>
      </c>
      <c r="L62" s="1005">
        <f t="shared" si="3"/>
        <v>30000</v>
      </c>
      <c r="M62" s="1006">
        <f t="shared" si="3"/>
        <v>1855550</v>
      </c>
      <c r="N62" s="1004">
        <f t="shared" si="3"/>
        <v>136646</v>
      </c>
      <c r="O62" s="1004">
        <f t="shared" si="3"/>
        <v>300</v>
      </c>
      <c r="P62" s="1007">
        <f t="shared" si="3"/>
        <v>0</v>
      </c>
      <c r="Q62" s="1003">
        <f t="shared" si="3"/>
        <v>0</v>
      </c>
      <c r="R62" s="1005">
        <f t="shared" si="3"/>
        <v>0</v>
      </c>
    </row>
    <row r="63" spans="1:18" ht="15.75" thickBot="1">
      <c r="A63" s="1008"/>
      <c r="B63" s="926"/>
      <c r="C63" s="1009" t="s">
        <v>120</v>
      </c>
      <c r="D63" s="1010" t="s">
        <v>3</v>
      </c>
      <c r="E63" s="1011">
        <f t="shared" ref="E63:R63" si="4">E5+E6+E7</f>
        <v>5647505</v>
      </c>
      <c r="F63" s="1011">
        <f t="shared" si="4"/>
        <v>5139911</v>
      </c>
      <c r="G63" s="1012">
        <f t="shared" si="4"/>
        <v>86548</v>
      </c>
      <c r="H63" s="1013">
        <f t="shared" si="4"/>
        <v>18100</v>
      </c>
      <c r="I63" s="1013">
        <f t="shared" si="4"/>
        <v>367342</v>
      </c>
      <c r="J63" s="1013">
        <f t="shared" si="4"/>
        <v>0</v>
      </c>
      <c r="K63" s="1013">
        <f t="shared" si="4"/>
        <v>18000</v>
      </c>
      <c r="L63" s="1014">
        <f t="shared" si="4"/>
        <v>73644</v>
      </c>
      <c r="M63" s="1015">
        <f t="shared" si="4"/>
        <v>15757</v>
      </c>
      <c r="N63" s="1013">
        <f t="shared" si="4"/>
        <v>6700</v>
      </c>
      <c r="O63" s="1013">
        <f t="shared" si="4"/>
        <v>0</v>
      </c>
      <c r="P63" s="1016">
        <f t="shared" si="4"/>
        <v>10000</v>
      </c>
      <c r="Q63" s="1012">
        <f t="shared" si="4"/>
        <v>2166549</v>
      </c>
      <c r="R63" s="1014">
        <f t="shared" si="4"/>
        <v>2377271</v>
      </c>
    </row>
    <row r="64" spans="1:18">
      <c r="E64" s="93"/>
    </row>
    <row r="65" spans="1:18">
      <c r="A65" s="140"/>
    </row>
    <row r="66" spans="1:18">
      <c r="A66" s="140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</row>
  </sheetData>
  <mergeCells count="8">
    <mergeCell ref="Q3:R3"/>
    <mergeCell ref="A1:R1"/>
    <mergeCell ref="A2:R2"/>
    <mergeCell ref="A3:D4"/>
    <mergeCell ref="E3:E4"/>
    <mergeCell ref="F3:F4"/>
    <mergeCell ref="G3:L3"/>
    <mergeCell ref="M3:P3"/>
  </mergeCells>
  <printOptions horizontalCentered="1"/>
  <pageMargins left="0.16" right="0.16" top="0.69" bottom="0.75" header="0.23" footer="0.3"/>
  <pageSetup paperSize="9" scale="42" fitToHeight="0" orientation="landscape" r:id="rId1"/>
  <headerFooter>
    <oddHeader>&amp;L&amp;"Times New Roman,Normál"5. melléklet 1  a 24/2019. (XII.19.)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view="pageLayout" zoomScale="140" zoomScaleNormal="160" zoomScaleSheetLayoutView="100" zoomScalePageLayoutView="140" workbookViewId="0">
      <selection activeCell="F37" sqref="F37"/>
    </sheetView>
  </sheetViews>
  <sheetFormatPr defaultRowHeight="8.25"/>
  <cols>
    <col min="1" max="1" width="11.5703125" style="333" bestFit="1" customWidth="1"/>
    <col min="2" max="2" width="10.7109375" style="322" bestFit="1" customWidth="1"/>
    <col min="3" max="3" width="19.85546875" style="331" customWidth="1"/>
    <col min="4" max="4" width="8" style="333" bestFit="1" customWidth="1"/>
    <col min="5" max="6" width="7.5703125" style="322" customWidth="1"/>
    <col min="7" max="11" width="5.7109375" style="322" customWidth="1"/>
    <col min="12" max="12" width="5.85546875" style="322" customWidth="1"/>
    <col min="13" max="13" width="6.140625" style="322" customWidth="1"/>
    <col min="14" max="14" width="5.42578125" style="322" customWidth="1"/>
    <col min="15" max="16" width="5.85546875" style="322" customWidth="1"/>
    <col min="17" max="18" width="7.5703125" style="322" customWidth="1"/>
    <col min="19" max="16384" width="9.140625" style="322"/>
  </cols>
  <sheetData>
    <row r="1" spans="1:18" ht="15" customHeight="1">
      <c r="A1" s="1081" t="s">
        <v>613</v>
      </c>
      <c r="B1" s="1081"/>
      <c r="C1" s="1081"/>
      <c r="D1" s="1081"/>
      <c r="E1" s="1081"/>
      <c r="F1" s="1081"/>
      <c r="G1" s="1081"/>
      <c r="H1" s="1081"/>
      <c r="I1" s="1081"/>
      <c r="J1" s="1081"/>
      <c r="K1" s="1081"/>
      <c r="L1" s="1081"/>
      <c r="M1" s="1081"/>
      <c r="N1" s="1081"/>
      <c r="O1" s="1081"/>
      <c r="P1" s="1081"/>
      <c r="Q1" s="1081"/>
      <c r="R1" s="1081"/>
    </row>
    <row r="2" spans="1:18" ht="10.5" thickBot="1">
      <c r="A2" s="323"/>
      <c r="B2" s="324"/>
      <c r="C2" s="325"/>
      <c r="D2" s="334"/>
      <c r="E2" s="327"/>
      <c r="F2" s="328"/>
      <c r="G2" s="328"/>
      <c r="H2" s="328"/>
      <c r="I2" s="328"/>
      <c r="J2" s="328"/>
      <c r="K2" s="328"/>
      <c r="L2" s="328"/>
      <c r="M2" s="326"/>
      <c r="N2" s="328"/>
      <c r="O2" s="329"/>
      <c r="P2" s="329"/>
      <c r="Q2" s="329"/>
      <c r="R2" s="329"/>
    </row>
    <row r="3" spans="1:18" ht="9.75">
      <c r="A3" s="1082" t="s">
        <v>2</v>
      </c>
      <c r="B3" s="1083"/>
      <c r="C3" s="1083"/>
      <c r="D3" s="1084"/>
      <c r="E3" s="1088" t="s">
        <v>98</v>
      </c>
      <c r="F3" s="1090" t="s">
        <v>99</v>
      </c>
      <c r="G3" s="1082" t="s">
        <v>100</v>
      </c>
      <c r="H3" s="1083"/>
      <c r="I3" s="1083"/>
      <c r="J3" s="1083"/>
      <c r="K3" s="1083"/>
      <c r="L3" s="1092"/>
      <c r="M3" s="1082" t="s">
        <v>101</v>
      </c>
      <c r="N3" s="1083"/>
      <c r="O3" s="1083"/>
      <c r="P3" s="1092"/>
      <c r="Q3" s="1082" t="s">
        <v>58</v>
      </c>
      <c r="R3" s="1092"/>
    </row>
    <row r="4" spans="1:18" ht="39.75" thickBot="1">
      <c r="A4" s="1085"/>
      <c r="B4" s="1086"/>
      <c r="C4" s="1086"/>
      <c r="D4" s="1087"/>
      <c r="E4" s="1089"/>
      <c r="F4" s="1091"/>
      <c r="G4" s="1017" t="s">
        <v>322</v>
      </c>
      <c r="H4" s="1018" t="s">
        <v>592</v>
      </c>
      <c r="I4" s="1018" t="s">
        <v>112</v>
      </c>
      <c r="J4" s="1018" t="s">
        <v>113</v>
      </c>
      <c r="K4" s="1018" t="s">
        <v>114</v>
      </c>
      <c r="L4" s="1019" t="s">
        <v>23</v>
      </c>
      <c r="M4" s="1020" t="s">
        <v>59</v>
      </c>
      <c r="N4" s="1021" t="s">
        <v>60</v>
      </c>
      <c r="O4" s="1018" t="s">
        <v>115</v>
      </c>
      <c r="P4" s="1022" t="s">
        <v>116</v>
      </c>
      <c r="Q4" s="1023" t="s">
        <v>117</v>
      </c>
      <c r="R4" s="1019" t="s">
        <v>118</v>
      </c>
    </row>
    <row r="5" spans="1:18" ht="25.5" customHeight="1" thickBot="1">
      <c r="A5" s="1077" t="s">
        <v>121</v>
      </c>
      <c r="B5" s="1078"/>
      <c r="C5" s="1078"/>
      <c r="D5" s="1078"/>
      <c r="E5" s="1078"/>
      <c r="F5" s="1078"/>
      <c r="G5" s="1078"/>
      <c r="H5" s="1078"/>
      <c r="I5" s="1078"/>
      <c r="J5" s="1078"/>
      <c r="K5" s="1078"/>
      <c r="L5" s="1078"/>
      <c r="M5" s="1078"/>
      <c r="N5" s="1078"/>
      <c r="O5" s="1078"/>
      <c r="P5" s="1078"/>
      <c r="Q5" s="1078"/>
      <c r="R5" s="1079"/>
    </row>
    <row r="6" spans="1:18" ht="9.75">
      <c r="A6" s="513" t="s">
        <v>103</v>
      </c>
      <c r="B6" s="354" t="s">
        <v>340</v>
      </c>
      <c r="C6" s="514" t="s">
        <v>356</v>
      </c>
      <c r="D6" s="1024" t="s">
        <v>3</v>
      </c>
      <c r="E6" s="1025">
        <v>856632</v>
      </c>
      <c r="F6" s="357">
        <f>SUM(G6:R6)</f>
        <v>574616</v>
      </c>
      <c r="G6" s="355">
        <v>365713</v>
      </c>
      <c r="H6" s="355">
        <v>72231</v>
      </c>
      <c r="I6" s="355">
        <v>121686</v>
      </c>
      <c r="J6" s="355">
        <v>0</v>
      </c>
      <c r="K6" s="355">
        <v>0</v>
      </c>
      <c r="L6" s="355">
        <v>0</v>
      </c>
      <c r="M6" s="355">
        <v>13059</v>
      </c>
      <c r="N6" s="355">
        <v>1927</v>
      </c>
      <c r="O6" s="355">
        <v>0</v>
      </c>
      <c r="P6" s="355">
        <v>0</v>
      </c>
      <c r="Q6" s="355">
        <v>0</v>
      </c>
      <c r="R6" s="356">
        <v>0</v>
      </c>
    </row>
    <row r="7" spans="1:18" ht="9.75">
      <c r="A7" s="1026" t="s">
        <v>103</v>
      </c>
      <c r="B7" s="1027" t="s">
        <v>341</v>
      </c>
      <c r="C7" s="1028" t="s">
        <v>357</v>
      </c>
      <c r="D7" s="1029" t="s">
        <v>3</v>
      </c>
      <c r="E7" s="1030">
        <v>0</v>
      </c>
      <c r="F7" s="1031">
        <f t="shared" ref="F7:F16" si="0">SUM(G7:R7)</f>
        <v>60947</v>
      </c>
      <c r="G7" s="1032">
        <v>50608</v>
      </c>
      <c r="H7" s="1032">
        <v>9339</v>
      </c>
      <c r="I7" s="1032">
        <v>1000</v>
      </c>
      <c r="J7" s="1032">
        <v>0</v>
      </c>
      <c r="K7" s="1032">
        <v>0</v>
      </c>
      <c r="L7" s="1032">
        <v>0</v>
      </c>
      <c r="M7" s="1032">
        <v>0</v>
      </c>
      <c r="N7" s="1032">
        <v>0</v>
      </c>
      <c r="O7" s="1032">
        <v>0</v>
      </c>
      <c r="P7" s="1032">
        <v>0</v>
      </c>
      <c r="Q7" s="1032">
        <v>0</v>
      </c>
      <c r="R7" s="1033">
        <v>0</v>
      </c>
    </row>
    <row r="8" spans="1:18" ht="9.75">
      <c r="A8" s="1026" t="s">
        <v>103</v>
      </c>
      <c r="B8" s="1027" t="s">
        <v>342</v>
      </c>
      <c r="C8" s="1028" t="s">
        <v>358</v>
      </c>
      <c r="D8" s="1029" t="s">
        <v>3</v>
      </c>
      <c r="E8" s="1030">
        <v>3700</v>
      </c>
      <c r="F8" s="1031">
        <f t="shared" si="0"/>
        <v>13896</v>
      </c>
      <c r="G8" s="1032">
        <v>11369</v>
      </c>
      <c r="H8" s="1032">
        <v>2127</v>
      </c>
      <c r="I8" s="1032">
        <v>400</v>
      </c>
      <c r="J8" s="1032">
        <v>0</v>
      </c>
      <c r="K8" s="1032">
        <v>0</v>
      </c>
      <c r="L8" s="1032">
        <v>0</v>
      </c>
      <c r="M8" s="1032">
        <v>0</v>
      </c>
      <c r="N8" s="1032">
        <v>0</v>
      </c>
      <c r="O8" s="1032">
        <v>0</v>
      </c>
      <c r="P8" s="1032">
        <v>0</v>
      </c>
      <c r="Q8" s="1032">
        <v>0</v>
      </c>
      <c r="R8" s="1033">
        <v>0</v>
      </c>
    </row>
    <row r="9" spans="1:18" ht="9.75">
      <c r="A9" s="1026" t="s">
        <v>354</v>
      </c>
      <c r="B9" s="1027" t="s">
        <v>343</v>
      </c>
      <c r="C9" s="1028" t="s">
        <v>106</v>
      </c>
      <c r="D9" s="1029" t="s">
        <v>3</v>
      </c>
      <c r="E9" s="1030">
        <v>0</v>
      </c>
      <c r="F9" s="1031">
        <f t="shared" si="0"/>
        <v>35743</v>
      </c>
      <c r="G9" s="1032">
        <v>22669</v>
      </c>
      <c r="H9" s="1032">
        <v>4167</v>
      </c>
      <c r="I9" s="1032">
        <v>8707</v>
      </c>
      <c r="J9" s="1032">
        <v>0</v>
      </c>
      <c r="K9" s="1032">
        <v>0</v>
      </c>
      <c r="L9" s="1032">
        <v>0</v>
      </c>
      <c r="M9" s="1032">
        <v>200</v>
      </c>
      <c r="N9" s="1032">
        <v>0</v>
      </c>
      <c r="O9" s="1032">
        <v>0</v>
      </c>
      <c r="P9" s="1032">
        <v>0</v>
      </c>
      <c r="Q9" s="1032">
        <v>0</v>
      </c>
      <c r="R9" s="1033">
        <v>0</v>
      </c>
    </row>
    <row r="10" spans="1:18" ht="9.75">
      <c r="A10" s="1026" t="s">
        <v>103</v>
      </c>
      <c r="B10" s="1027" t="s">
        <v>344</v>
      </c>
      <c r="C10" s="1028" t="s">
        <v>361</v>
      </c>
      <c r="D10" s="1029" t="s">
        <v>3</v>
      </c>
      <c r="E10" s="1030">
        <v>0</v>
      </c>
      <c r="F10" s="1031">
        <f t="shared" si="0"/>
        <v>46549</v>
      </c>
      <c r="G10" s="1032">
        <v>38893</v>
      </c>
      <c r="H10" s="1032">
        <v>7300</v>
      </c>
      <c r="I10" s="1032">
        <v>356</v>
      </c>
      <c r="J10" s="1032">
        <v>0</v>
      </c>
      <c r="K10" s="1032">
        <v>0</v>
      </c>
      <c r="L10" s="1032">
        <v>0</v>
      </c>
      <c r="M10" s="1032">
        <v>0</v>
      </c>
      <c r="N10" s="1032">
        <v>0</v>
      </c>
      <c r="O10" s="1032">
        <v>0</v>
      </c>
      <c r="P10" s="1032">
        <v>0</v>
      </c>
      <c r="Q10" s="1032">
        <v>0</v>
      </c>
      <c r="R10" s="1033">
        <v>0</v>
      </c>
    </row>
    <row r="11" spans="1:18" ht="9.75">
      <c r="A11" s="1026" t="s">
        <v>354</v>
      </c>
      <c r="B11" s="1027" t="s">
        <v>345</v>
      </c>
      <c r="C11" s="1028" t="s">
        <v>359</v>
      </c>
      <c r="D11" s="1029" t="s">
        <v>3</v>
      </c>
      <c r="E11" s="1030">
        <v>250</v>
      </c>
      <c r="F11" s="1031">
        <f t="shared" si="0"/>
        <v>1200</v>
      </c>
      <c r="G11" s="1034">
        <v>0</v>
      </c>
      <c r="H11" s="1034">
        <v>0</v>
      </c>
      <c r="I11" s="1034">
        <v>0</v>
      </c>
      <c r="J11" s="1034">
        <v>0</v>
      </c>
      <c r="K11" s="1034">
        <v>0</v>
      </c>
      <c r="L11" s="1034">
        <v>0</v>
      </c>
      <c r="M11" s="1034">
        <v>0</v>
      </c>
      <c r="N11" s="1034">
        <v>0</v>
      </c>
      <c r="O11" s="1034">
        <v>1200</v>
      </c>
      <c r="P11" s="1034">
        <v>0</v>
      </c>
      <c r="Q11" s="1034">
        <v>0</v>
      </c>
      <c r="R11" s="1033">
        <v>0</v>
      </c>
    </row>
    <row r="12" spans="1:18" ht="16.5">
      <c r="A12" s="1026" t="s">
        <v>103</v>
      </c>
      <c r="B12" s="1027" t="s">
        <v>347</v>
      </c>
      <c r="C12" s="1028" t="s">
        <v>346</v>
      </c>
      <c r="D12" s="1029" t="s">
        <v>3</v>
      </c>
      <c r="E12" s="1030">
        <v>0</v>
      </c>
      <c r="F12" s="1031">
        <f>SUM(G12:R12)</f>
        <v>104362</v>
      </c>
      <c r="G12" s="1032">
        <v>87994</v>
      </c>
      <c r="H12" s="1032">
        <v>16368</v>
      </c>
      <c r="I12" s="1032">
        <v>0</v>
      </c>
      <c r="J12" s="1032">
        <v>0</v>
      </c>
      <c r="K12" s="1032">
        <v>0</v>
      </c>
      <c r="L12" s="1032">
        <v>0</v>
      </c>
      <c r="M12" s="1032">
        <v>0</v>
      </c>
      <c r="N12" s="1032">
        <v>0</v>
      </c>
      <c r="O12" s="1032">
        <v>0</v>
      </c>
      <c r="P12" s="1032">
        <v>0</v>
      </c>
      <c r="Q12" s="1032">
        <v>0</v>
      </c>
      <c r="R12" s="1033">
        <v>0</v>
      </c>
    </row>
    <row r="13" spans="1:18" ht="9.75">
      <c r="A13" s="1026" t="s">
        <v>354</v>
      </c>
      <c r="B13" s="1027" t="s">
        <v>348</v>
      </c>
      <c r="C13" s="1028" t="s">
        <v>349</v>
      </c>
      <c r="D13" s="1029" t="s">
        <v>3</v>
      </c>
      <c r="E13" s="1030">
        <v>2400</v>
      </c>
      <c r="F13" s="1031">
        <f t="shared" si="0"/>
        <v>4010</v>
      </c>
      <c r="G13" s="1032">
        <v>0</v>
      </c>
      <c r="H13" s="1032">
        <v>0</v>
      </c>
      <c r="I13" s="1032">
        <v>2960</v>
      </c>
      <c r="J13" s="1032">
        <v>0</v>
      </c>
      <c r="K13" s="1032">
        <v>0</v>
      </c>
      <c r="L13" s="1032">
        <v>0</v>
      </c>
      <c r="M13" s="1032">
        <v>1050</v>
      </c>
      <c r="N13" s="1032">
        <v>0</v>
      </c>
      <c r="O13" s="1032">
        <v>0</v>
      </c>
      <c r="P13" s="1032">
        <v>0</v>
      </c>
      <c r="Q13" s="1032">
        <v>0</v>
      </c>
      <c r="R13" s="1033">
        <v>0</v>
      </c>
    </row>
    <row r="14" spans="1:18" ht="9.75">
      <c r="A14" s="1026" t="s">
        <v>354</v>
      </c>
      <c r="B14" s="1027" t="s">
        <v>350</v>
      </c>
      <c r="C14" s="1028" t="s">
        <v>351</v>
      </c>
      <c r="D14" s="1029" t="s">
        <v>3</v>
      </c>
      <c r="E14" s="1030">
        <v>250</v>
      </c>
      <c r="F14" s="1031">
        <f t="shared" si="0"/>
        <v>595</v>
      </c>
      <c r="G14" s="1032">
        <v>0</v>
      </c>
      <c r="H14" s="1032">
        <v>0</v>
      </c>
      <c r="I14" s="1032">
        <v>345</v>
      </c>
      <c r="J14" s="1032">
        <v>0</v>
      </c>
      <c r="K14" s="1032">
        <v>0</v>
      </c>
      <c r="L14" s="1032">
        <v>0</v>
      </c>
      <c r="M14" s="1032">
        <v>250</v>
      </c>
      <c r="N14" s="1032">
        <v>0</v>
      </c>
      <c r="O14" s="1032">
        <v>0</v>
      </c>
      <c r="P14" s="1032">
        <v>0</v>
      </c>
      <c r="Q14" s="1032">
        <v>0</v>
      </c>
      <c r="R14" s="1033">
        <v>0</v>
      </c>
    </row>
    <row r="15" spans="1:18" ht="9.75">
      <c r="A15" s="1026" t="s">
        <v>354</v>
      </c>
      <c r="B15" s="1027" t="s">
        <v>352</v>
      </c>
      <c r="C15" s="1028" t="s">
        <v>353</v>
      </c>
      <c r="D15" s="1029" t="s">
        <v>3</v>
      </c>
      <c r="E15" s="1030">
        <v>240</v>
      </c>
      <c r="F15" s="1031">
        <f t="shared" si="0"/>
        <v>720</v>
      </c>
      <c r="G15" s="1032">
        <v>0</v>
      </c>
      <c r="H15" s="1032">
        <v>0</v>
      </c>
      <c r="I15" s="1032">
        <v>720</v>
      </c>
      <c r="J15" s="1032">
        <v>0</v>
      </c>
      <c r="K15" s="1032">
        <v>0</v>
      </c>
      <c r="L15" s="1032">
        <v>0</v>
      </c>
      <c r="M15" s="1032">
        <v>0</v>
      </c>
      <c r="N15" s="1032">
        <v>0</v>
      </c>
      <c r="O15" s="1032">
        <v>0</v>
      </c>
      <c r="P15" s="1032">
        <v>0</v>
      </c>
      <c r="Q15" s="1032">
        <v>0</v>
      </c>
      <c r="R15" s="1033">
        <v>0</v>
      </c>
    </row>
    <row r="16" spans="1:18" ht="16.5">
      <c r="A16" s="1026" t="s">
        <v>354</v>
      </c>
      <c r="B16" s="1027" t="s">
        <v>355</v>
      </c>
      <c r="C16" s="1028" t="s">
        <v>460</v>
      </c>
      <c r="D16" s="1029" t="s">
        <v>3</v>
      </c>
      <c r="E16" s="1030">
        <v>33410</v>
      </c>
      <c r="F16" s="1031">
        <f t="shared" si="0"/>
        <v>54244</v>
      </c>
      <c r="G16" s="1032">
        <v>30791</v>
      </c>
      <c r="H16" s="1032">
        <v>4167</v>
      </c>
      <c r="I16" s="1032">
        <v>19286</v>
      </c>
      <c r="J16" s="1032">
        <v>0</v>
      </c>
      <c r="K16" s="1032">
        <v>0</v>
      </c>
      <c r="L16" s="1032">
        <v>0</v>
      </c>
      <c r="M16" s="1032">
        <v>0</v>
      </c>
      <c r="N16" s="1032">
        <v>0</v>
      </c>
      <c r="O16" s="1032">
        <v>0</v>
      </c>
      <c r="P16" s="1032">
        <v>0</v>
      </c>
      <c r="Q16" s="1032">
        <v>0</v>
      </c>
      <c r="R16" s="1033">
        <v>0</v>
      </c>
    </row>
    <row r="17" spans="1:18" ht="10.5" thickBot="1">
      <c r="A17" s="1035"/>
      <c r="B17" s="1080" t="s">
        <v>122</v>
      </c>
      <c r="C17" s="1080"/>
      <c r="D17" s="1036" t="s">
        <v>3</v>
      </c>
      <c r="E17" s="1037">
        <f t="shared" ref="E17:R17" si="1">E6+E7+E8+E9+E10+E11+E12+E13+E14+E15+E16</f>
        <v>896882</v>
      </c>
      <c r="F17" s="1037">
        <f t="shared" si="1"/>
        <v>896882</v>
      </c>
      <c r="G17" s="1037">
        <f t="shared" si="1"/>
        <v>608037</v>
      </c>
      <c r="H17" s="1037">
        <f t="shared" si="1"/>
        <v>115699</v>
      </c>
      <c r="I17" s="1037">
        <f t="shared" si="1"/>
        <v>155460</v>
      </c>
      <c r="J17" s="1037">
        <f t="shared" si="1"/>
        <v>0</v>
      </c>
      <c r="K17" s="1037">
        <f t="shared" si="1"/>
        <v>0</v>
      </c>
      <c r="L17" s="1037">
        <f t="shared" si="1"/>
        <v>0</v>
      </c>
      <c r="M17" s="1037">
        <f t="shared" si="1"/>
        <v>14559</v>
      </c>
      <c r="N17" s="1037">
        <f t="shared" si="1"/>
        <v>1927</v>
      </c>
      <c r="O17" s="1037">
        <f t="shared" si="1"/>
        <v>1200</v>
      </c>
      <c r="P17" s="1037">
        <f t="shared" si="1"/>
        <v>0</v>
      </c>
      <c r="Q17" s="1037">
        <f t="shared" si="1"/>
        <v>0</v>
      </c>
      <c r="R17" s="1038">
        <f t="shared" si="1"/>
        <v>0</v>
      </c>
    </row>
    <row r="18" spans="1:18" ht="18" customHeight="1">
      <c r="A18" s="1074" t="s">
        <v>124</v>
      </c>
      <c r="B18" s="1075"/>
      <c r="C18" s="1075"/>
      <c r="D18" s="1075"/>
      <c r="E18" s="1075"/>
      <c r="F18" s="1075"/>
      <c r="G18" s="1075"/>
      <c r="H18" s="1075"/>
      <c r="I18" s="1075"/>
      <c r="J18" s="1075"/>
      <c r="K18" s="1075"/>
      <c r="L18" s="1075"/>
      <c r="M18" s="1075"/>
      <c r="N18" s="1075"/>
      <c r="O18" s="1075"/>
      <c r="P18" s="1075"/>
      <c r="Q18" s="1075"/>
      <c r="R18" s="1076"/>
    </row>
    <row r="19" spans="1:18" ht="9.75">
      <c r="A19" s="1026" t="s">
        <v>103</v>
      </c>
      <c r="B19" s="1027" t="s">
        <v>868</v>
      </c>
      <c r="C19" s="1028" t="s">
        <v>124</v>
      </c>
      <c r="D19" s="1029" t="s">
        <v>3</v>
      </c>
      <c r="E19" s="1030">
        <v>36297</v>
      </c>
      <c r="F19" s="1031">
        <f>SUM(G19:R19)</f>
        <v>36297</v>
      </c>
      <c r="G19" s="1032">
        <v>28887</v>
      </c>
      <c r="H19" s="1032">
        <v>4569</v>
      </c>
      <c r="I19" s="1032">
        <v>2741</v>
      </c>
      <c r="J19" s="1032">
        <v>0</v>
      </c>
      <c r="K19" s="1032">
        <v>0</v>
      </c>
      <c r="L19" s="1032">
        <v>0</v>
      </c>
      <c r="M19" s="1032">
        <v>100</v>
      </c>
      <c r="N19" s="1032">
        <v>0</v>
      </c>
      <c r="O19" s="1032">
        <v>0</v>
      </c>
      <c r="P19" s="1032">
        <v>0</v>
      </c>
      <c r="Q19" s="1032">
        <v>0</v>
      </c>
      <c r="R19" s="1033">
        <v>0</v>
      </c>
    </row>
    <row r="20" spans="1:18" ht="10.5" thickBot="1">
      <c r="A20" s="1039"/>
      <c r="B20" s="1073" t="s">
        <v>594</v>
      </c>
      <c r="C20" s="1073"/>
      <c r="D20" s="1036" t="s">
        <v>3</v>
      </c>
      <c r="E20" s="1040">
        <f>E19</f>
        <v>36297</v>
      </c>
      <c r="F20" s="1040">
        <f t="shared" ref="F20:R20" si="2">F19</f>
        <v>36297</v>
      </c>
      <c r="G20" s="1040">
        <f t="shared" si="2"/>
        <v>28887</v>
      </c>
      <c r="H20" s="1040">
        <f t="shared" si="2"/>
        <v>4569</v>
      </c>
      <c r="I20" s="1040">
        <f t="shared" si="2"/>
        <v>2741</v>
      </c>
      <c r="J20" s="1040">
        <f t="shared" si="2"/>
        <v>0</v>
      </c>
      <c r="K20" s="1040">
        <f t="shared" si="2"/>
        <v>0</v>
      </c>
      <c r="L20" s="1040">
        <f t="shared" si="2"/>
        <v>0</v>
      </c>
      <c r="M20" s="1040">
        <f t="shared" si="2"/>
        <v>100</v>
      </c>
      <c r="N20" s="1040">
        <f t="shared" si="2"/>
        <v>0</v>
      </c>
      <c r="O20" s="1040">
        <f t="shared" si="2"/>
        <v>0</v>
      </c>
      <c r="P20" s="1040">
        <f t="shared" si="2"/>
        <v>0</v>
      </c>
      <c r="Q20" s="1040">
        <f t="shared" si="2"/>
        <v>0</v>
      </c>
      <c r="R20" s="1041">
        <f t="shared" si="2"/>
        <v>0</v>
      </c>
    </row>
    <row r="21" spans="1:18" ht="16.5" customHeight="1">
      <c r="A21" s="1074" t="s">
        <v>869</v>
      </c>
      <c r="B21" s="1075"/>
      <c r="C21" s="1075"/>
      <c r="D21" s="1075"/>
      <c r="E21" s="1075"/>
      <c r="F21" s="1075"/>
      <c r="G21" s="1075"/>
      <c r="H21" s="1075"/>
      <c r="I21" s="1075"/>
      <c r="J21" s="1075"/>
      <c r="K21" s="1075"/>
      <c r="L21" s="1075"/>
      <c r="M21" s="1075"/>
      <c r="N21" s="1075"/>
      <c r="O21" s="1075"/>
      <c r="P21" s="1075"/>
      <c r="Q21" s="1075"/>
      <c r="R21" s="1076"/>
    </row>
    <row r="22" spans="1:18" ht="9.75">
      <c r="A22" s="1026" t="s">
        <v>103</v>
      </c>
      <c r="B22" s="1027" t="s">
        <v>360</v>
      </c>
      <c r="C22" s="1028" t="s">
        <v>125</v>
      </c>
      <c r="D22" s="1029" t="s">
        <v>3</v>
      </c>
      <c r="E22" s="1030">
        <v>19890</v>
      </c>
      <c r="F22" s="1031">
        <f>SUM(G22:R22)</f>
        <v>19890</v>
      </c>
      <c r="G22" s="1032">
        <v>15383</v>
      </c>
      <c r="H22" s="1032">
        <v>2842</v>
      </c>
      <c r="I22" s="1032">
        <v>1665</v>
      </c>
      <c r="J22" s="1032">
        <v>0</v>
      </c>
      <c r="K22" s="1032">
        <v>0</v>
      </c>
      <c r="L22" s="1032">
        <v>0</v>
      </c>
      <c r="M22" s="1032">
        <v>0</v>
      </c>
      <c r="N22" s="1032">
        <v>0</v>
      </c>
      <c r="O22" s="1032">
        <v>0</v>
      </c>
      <c r="P22" s="1032">
        <v>0</v>
      </c>
      <c r="Q22" s="1032">
        <v>0</v>
      </c>
      <c r="R22" s="1033">
        <v>0</v>
      </c>
    </row>
    <row r="23" spans="1:18" ht="10.5" thickBot="1">
      <c r="A23" s="1039"/>
      <c r="B23" s="1073" t="s">
        <v>595</v>
      </c>
      <c r="C23" s="1073"/>
      <c r="D23" s="1036" t="s">
        <v>3</v>
      </c>
      <c r="E23" s="1040">
        <f>E22</f>
        <v>19890</v>
      </c>
      <c r="F23" s="1037">
        <f t="shared" ref="F23:R23" si="3">F22</f>
        <v>19890</v>
      </c>
      <c r="G23" s="1042">
        <f t="shared" si="3"/>
        <v>15383</v>
      </c>
      <c r="H23" s="1042">
        <f t="shared" si="3"/>
        <v>2842</v>
      </c>
      <c r="I23" s="1042">
        <f t="shared" si="3"/>
        <v>1665</v>
      </c>
      <c r="J23" s="1042">
        <f t="shared" si="3"/>
        <v>0</v>
      </c>
      <c r="K23" s="1042">
        <f t="shared" si="3"/>
        <v>0</v>
      </c>
      <c r="L23" s="1042">
        <f t="shared" si="3"/>
        <v>0</v>
      </c>
      <c r="M23" s="1042">
        <f t="shared" si="3"/>
        <v>0</v>
      </c>
      <c r="N23" s="1042">
        <f t="shared" si="3"/>
        <v>0</v>
      </c>
      <c r="O23" s="1042">
        <f t="shared" si="3"/>
        <v>0</v>
      </c>
      <c r="P23" s="1042">
        <f t="shared" si="3"/>
        <v>0</v>
      </c>
      <c r="Q23" s="1042">
        <f t="shared" si="3"/>
        <v>0</v>
      </c>
      <c r="R23" s="1043">
        <f t="shared" si="3"/>
        <v>0</v>
      </c>
    </row>
    <row r="24" spans="1:18" ht="18.75" customHeight="1">
      <c r="A24" s="1074" t="s">
        <v>123</v>
      </c>
      <c r="B24" s="1075"/>
      <c r="C24" s="1075"/>
      <c r="D24" s="1075"/>
      <c r="E24" s="1075"/>
      <c r="F24" s="1075"/>
      <c r="G24" s="1075"/>
      <c r="H24" s="1075"/>
      <c r="I24" s="1075"/>
      <c r="J24" s="1075"/>
      <c r="K24" s="1075"/>
      <c r="L24" s="1075"/>
      <c r="M24" s="1075"/>
      <c r="N24" s="1075"/>
      <c r="O24" s="1075"/>
      <c r="P24" s="1075"/>
      <c r="Q24" s="1075"/>
      <c r="R24" s="1076"/>
    </row>
    <row r="25" spans="1:18" ht="9.75">
      <c r="A25" s="1026" t="s">
        <v>103</v>
      </c>
      <c r="B25" s="1027" t="s">
        <v>566</v>
      </c>
      <c r="C25" s="1028" t="s">
        <v>123</v>
      </c>
      <c r="D25" s="1029" t="s">
        <v>3</v>
      </c>
      <c r="E25" s="1030">
        <v>45020</v>
      </c>
      <c r="F25" s="1031">
        <f>SUM(G25:R25)</f>
        <v>45020</v>
      </c>
      <c r="G25" s="1032">
        <v>37036</v>
      </c>
      <c r="H25" s="1032">
        <v>6657</v>
      </c>
      <c r="I25" s="1032">
        <v>1327</v>
      </c>
      <c r="J25" s="1032">
        <v>0</v>
      </c>
      <c r="K25" s="1032">
        <v>0</v>
      </c>
      <c r="L25" s="1032">
        <v>0</v>
      </c>
      <c r="M25" s="1032">
        <v>0</v>
      </c>
      <c r="N25" s="1032">
        <v>0</v>
      </c>
      <c r="O25" s="1032">
        <v>0</v>
      </c>
      <c r="P25" s="1032">
        <v>0</v>
      </c>
      <c r="Q25" s="1032">
        <v>0</v>
      </c>
      <c r="R25" s="1033">
        <v>0</v>
      </c>
    </row>
    <row r="26" spans="1:18" ht="10.5" thickBot="1">
      <c r="A26" s="1039"/>
      <c r="B26" s="1073" t="s">
        <v>593</v>
      </c>
      <c r="C26" s="1073"/>
      <c r="D26" s="1036" t="s">
        <v>3</v>
      </c>
      <c r="E26" s="1040">
        <f>E25</f>
        <v>45020</v>
      </c>
      <c r="F26" s="1037">
        <f t="shared" ref="F26:R26" si="4">F25</f>
        <v>45020</v>
      </c>
      <c r="G26" s="1042">
        <f t="shared" si="4"/>
        <v>37036</v>
      </c>
      <c r="H26" s="1042">
        <f t="shared" si="4"/>
        <v>6657</v>
      </c>
      <c r="I26" s="1042">
        <f t="shared" si="4"/>
        <v>1327</v>
      </c>
      <c r="J26" s="1042">
        <f t="shared" si="4"/>
        <v>0</v>
      </c>
      <c r="K26" s="1042">
        <f t="shared" si="4"/>
        <v>0</v>
      </c>
      <c r="L26" s="1042">
        <f t="shared" si="4"/>
        <v>0</v>
      </c>
      <c r="M26" s="1042">
        <f t="shared" si="4"/>
        <v>0</v>
      </c>
      <c r="N26" s="1042">
        <f t="shared" si="4"/>
        <v>0</v>
      </c>
      <c r="O26" s="1042">
        <f t="shared" si="4"/>
        <v>0</v>
      </c>
      <c r="P26" s="1042">
        <f t="shared" si="4"/>
        <v>0</v>
      </c>
      <c r="Q26" s="1042">
        <f t="shared" si="4"/>
        <v>0</v>
      </c>
      <c r="R26" s="1043">
        <f t="shared" si="4"/>
        <v>0</v>
      </c>
    </row>
    <row r="27" spans="1:18" s="330" customFormat="1" ht="10.5" thickBot="1">
      <c r="A27" s="1093" t="s">
        <v>126</v>
      </c>
      <c r="B27" s="1094"/>
      <c r="C27" s="1094"/>
      <c r="D27" s="1044" t="s">
        <v>3</v>
      </c>
      <c r="E27" s="517">
        <f t="shared" ref="E27:R27" si="5">E20+E23+E26</f>
        <v>101207</v>
      </c>
      <c r="F27" s="517">
        <f t="shared" si="5"/>
        <v>101207</v>
      </c>
      <c r="G27" s="517">
        <f t="shared" si="5"/>
        <v>81306</v>
      </c>
      <c r="H27" s="517">
        <f t="shared" si="5"/>
        <v>14068</v>
      </c>
      <c r="I27" s="517">
        <f t="shared" si="5"/>
        <v>5733</v>
      </c>
      <c r="J27" s="517">
        <f t="shared" si="5"/>
        <v>0</v>
      </c>
      <c r="K27" s="517">
        <f t="shared" si="5"/>
        <v>0</v>
      </c>
      <c r="L27" s="517">
        <f t="shared" si="5"/>
        <v>0</v>
      </c>
      <c r="M27" s="517">
        <f t="shared" si="5"/>
        <v>100</v>
      </c>
      <c r="N27" s="517">
        <f t="shared" si="5"/>
        <v>0</v>
      </c>
      <c r="O27" s="517">
        <f t="shared" si="5"/>
        <v>0</v>
      </c>
      <c r="P27" s="517">
        <f t="shared" si="5"/>
        <v>0</v>
      </c>
      <c r="Q27" s="517">
        <f t="shared" si="5"/>
        <v>0</v>
      </c>
      <c r="R27" s="518">
        <f t="shared" si="5"/>
        <v>0</v>
      </c>
    </row>
    <row r="28" spans="1:18" s="330" customFormat="1" ht="10.5" thickBot="1">
      <c r="A28" s="1095" t="s">
        <v>127</v>
      </c>
      <c r="B28" s="1096"/>
      <c r="C28" s="1096"/>
      <c r="D28" s="1045" t="s">
        <v>3</v>
      </c>
      <c r="E28" s="515">
        <f t="shared" ref="E28:R28" si="6">E17+E20+E23+E26</f>
        <v>998089</v>
      </c>
      <c r="F28" s="515">
        <f t="shared" si="6"/>
        <v>998089</v>
      </c>
      <c r="G28" s="515">
        <f t="shared" si="6"/>
        <v>689343</v>
      </c>
      <c r="H28" s="515">
        <f t="shared" si="6"/>
        <v>129767</v>
      </c>
      <c r="I28" s="515">
        <f t="shared" si="6"/>
        <v>161193</v>
      </c>
      <c r="J28" s="515">
        <f t="shared" si="6"/>
        <v>0</v>
      </c>
      <c r="K28" s="515">
        <f t="shared" si="6"/>
        <v>0</v>
      </c>
      <c r="L28" s="515">
        <f t="shared" si="6"/>
        <v>0</v>
      </c>
      <c r="M28" s="515">
        <f t="shared" si="6"/>
        <v>14659</v>
      </c>
      <c r="N28" s="515">
        <f t="shared" si="6"/>
        <v>1927</v>
      </c>
      <c r="O28" s="515">
        <f t="shared" si="6"/>
        <v>1200</v>
      </c>
      <c r="P28" s="515">
        <f t="shared" si="6"/>
        <v>0</v>
      </c>
      <c r="Q28" s="515">
        <f t="shared" si="6"/>
        <v>0</v>
      </c>
      <c r="R28" s="516">
        <f t="shared" si="6"/>
        <v>0</v>
      </c>
    </row>
    <row r="29" spans="1:18" s="330" customFormat="1" ht="10.5" thickBot="1">
      <c r="A29" s="1097" t="s">
        <v>119</v>
      </c>
      <c r="B29" s="1098"/>
      <c r="C29" s="1098"/>
      <c r="D29" s="1046" t="s">
        <v>3</v>
      </c>
      <c r="E29" s="519">
        <v>0</v>
      </c>
      <c r="F29" s="519">
        <v>0</v>
      </c>
      <c r="G29" s="519">
        <v>0</v>
      </c>
      <c r="H29" s="519">
        <v>0</v>
      </c>
      <c r="I29" s="519">
        <v>0</v>
      </c>
      <c r="J29" s="519">
        <v>0</v>
      </c>
      <c r="K29" s="519">
        <v>0</v>
      </c>
      <c r="L29" s="519">
        <v>0</v>
      </c>
      <c r="M29" s="519">
        <v>0</v>
      </c>
      <c r="N29" s="519">
        <v>0</v>
      </c>
      <c r="O29" s="519">
        <v>0</v>
      </c>
      <c r="P29" s="519">
        <v>0</v>
      </c>
      <c r="Q29" s="519">
        <v>0</v>
      </c>
      <c r="R29" s="520">
        <v>0</v>
      </c>
    </row>
    <row r="30" spans="1:18" s="330" customFormat="1" ht="10.5" thickBot="1">
      <c r="A30" s="1095" t="s">
        <v>459</v>
      </c>
      <c r="B30" s="1096"/>
      <c r="C30" s="1096"/>
      <c r="D30" s="1045" t="s">
        <v>3</v>
      </c>
      <c r="E30" s="515">
        <f t="shared" ref="E30:R30" si="7">SUM(E9+E13+E14+E15+E16+E11)</f>
        <v>36550</v>
      </c>
      <c r="F30" s="515">
        <f t="shared" si="7"/>
        <v>96512</v>
      </c>
      <c r="G30" s="515">
        <f t="shared" si="7"/>
        <v>53460</v>
      </c>
      <c r="H30" s="515">
        <f t="shared" si="7"/>
        <v>8334</v>
      </c>
      <c r="I30" s="515">
        <f t="shared" si="7"/>
        <v>32018</v>
      </c>
      <c r="J30" s="515">
        <f t="shared" si="7"/>
        <v>0</v>
      </c>
      <c r="K30" s="515">
        <f t="shared" si="7"/>
        <v>0</v>
      </c>
      <c r="L30" s="515">
        <f t="shared" si="7"/>
        <v>0</v>
      </c>
      <c r="M30" s="515">
        <f t="shared" si="7"/>
        <v>1500</v>
      </c>
      <c r="N30" s="515">
        <f t="shared" si="7"/>
        <v>0</v>
      </c>
      <c r="O30" s="515">
        <f t="shared" si="7"/>
        <v>1200</v>
      </c>
      <c r="P30" s="515">
        <f t="shared" si="7"/>
        <v>0</v>
      </c>
      <c r="Q30" s="515">
        <f t="shared" si="7"/>
        <v>0</v>
      </c>
      <c r="R30" s="516">
        <f t="shared" si="7"/>
        <v>0</v>
      </c>
    </row>
    <row r="31" spans="1:18" s="330" customFormat="1" ht="10.5" thickBot="1">
      <c r="A31" s="1099" t="s">
        <v>120</v>
      </c>
      <c r="B31" s="1100"/>
      <c r="C31" s="1100"/>
      <c r="D31" s="1047" t="s">
        <v>3</v>
      </c>
      <c r="E31" s="1048">
        <f>E6+E7+E8+E10+E12+E19+E22+E25</f>
        <v>961539</v>
      </c>
      <c r="F31" s="1048">
        <f t="shared" ref="F31:R31" si="8">F6+F7+F8+F10+F12+F19+F22+F25</f>
        <v>901577</v>
      </c>
      <c r="G31" s="1048">
        <f t="shared" si="8"/>
        <v>635883</v>
      </c>
      <c r="H31" s="1048">
        <f t="shared" si="8"/>
        <v>121433</v>
      </c>
      <c r="I31" s="1048">
        <f t="shared" si="8"/>
        <v>129175</v>
      </c>
      <c r="J31" s="1048">
        <f t="shared" si="8"/>
        <v>0</v>
      </c>
      <c r="K31" s="1048">
        <f t="shared" si="8"/>
        <v>0</v>
      </c>
      <c r="L31" s="1048">
        <f t="shared" si="8"/>
        <v>0</v>
      </c>
      <c r="M31" s="1048">
        <f t="shared" si="8"/>
        <v>13159</v>
      </c>
      <c r="N31" s="1048">
        <f t="shared" si="8"/>
        <v>1927</v>
      </c>
      <c r="O31" s="1048">
        <f t="shared" si="8"/>
        <v>0</v>
      </c>
      <c r="P31" s="1048">
        <f t="shared" si="8"/>
        <v>0</v>
      </c>
      <c r="Q31" s="1048">
        <f t="shared" si="8"/>
        <v>0</v>
      </c>
      <c r="R31" s="1049">
        <f t="shared" si="8"/>
        <v>0</v>
      </c>
    </row>
    <row r="32" spans="1:18" ht="9.75">
      <c r="A32" s="358"/>
      <c r="B32" s="359"/>
    </row>
    <row r="33" spans="1:6">
      <c r="A33" s="332"/>
      <c r="E33" s="360"/>
      <c r="F33" s="360"/>
    </row>
    <row r="34" spans="1:6">
      <c r="A34" s="332"/>
    </row>
  </sheetData>
  <mergeCells count="20">
    <mergeCell ref="A27:C27"/>
    <mergeCell ref="A28:C28"/>
    <mergeCell ref="A29:C29"/>
    <mergeCell ref="A30:C30"/>
    <mergeCell ref="A31:C31"/>
    <mergeCell ref="A1:R1"/>
    <mergeCell ref="A3:D4"/>
    <mergeCell ref="E3:E4"/>
    <mergeCell ref="F3:F4"/>
    <mergeCell ref="G3:L3"/>
    <mergeCell ref="M3:P3"/>
    <mergeCell ref="Q3:R3"/>
    <mergeCell ref="B23:C23"/>
    <mergeCell ref="A24:R24"/>
    <mergeCell ref="B26:C26"/>
    <mergeCell ref="A5:R5"/>
    <mergeCell ref="B17:C17"/>
    <mergeCell ref="A18:R18"/>
    <mergeCell ref="B20:C20"/>
    <mergeCell ref="A21:R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&amp;L&amp;"Times New Roman,Normál"&amp;8 5. melléklet 2 a 24/2019. (XII.19.)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view="pageLayout" zoomScale="80" zoomScaleNormal="100" zoomScalePageLayoutView="80" workbookViewId="0">
      <selection activeCell="Q26" sqref="Q26"/>
    </sheetView>
  </sheetViews>
  <sheetFormatPr defaultColWidth="9" defaultRowHeight="15"/>
  <cols>
    <col min="1" max="1" width="20.85546875" style="46" customWidth="1"/>
    <col min="2" max="2" width="10.140625" style="46" customWidth="1"/>
    <col min="3" max="3" width="7.7109375" style="318" bestFit="1" customWidth="1"/>
    <col min="4" max="4" width="8.28515625" style="46" customWidth="1"/>
    <col min="5" max="5" width="9.28515625" style="46" bestFit="1" customWidth="1"/>
    <col min="6" max="6" width="7.85546875" style="46" customWidth="1"/>
    <col min="7" max="8" width="9.28515625" style="46" bestFit="1" customWidth="1"/>
    <col min="9" max="9" width="6.85546875" style="46" customWidth="1"/>
    <col min="10" max="10" width="8.28515625" style="46" customWidth="1"/>
    <col min="11" max="12" width="5.42578125" style="46" customWidth="1"/>
    <col min="13" max="13" width="4.42578125" style="46" customWidth="1"/>
    <col min="14" max="14" width="6.140625" style="46" bestFit="1" customWidth="1"/>
    <col min="15" max="15" width="7" style="46" customWidth="1"/>
    <col min="16" max="16" width="12" style="46" customWidth="1"/>
    <col min="17" max="17" width="8.42578125" style="46" customWidth="1"/>
    <col min="18" max="18" width="14.42578125" style="46" customWidth="1"/>
    <col min="19" max="16384" width="9" style="46"/>
  </cols>
  <sheetData>
    <row r="1" spans="1:21" ht="21" customHeight="1">
      <c r="A1" s="1103" t="s">
        <v>614</v>
      </c>
      <c r="B1" s="1103"/>
      <c r="C1" s="1103"/>
      <c r="D1" s="1103"/>
      <c r="E1" s="1103"/>
      <c r="F1" s="1103"/>
      <c r="G1" s="1103"/>
      <c r="H1" s="1103"/>
      <c r="I1" s="1103"/>
      <c r="J1" s="1103"/>
      <c r="K1" s="1103"/>
      <c r="L1" s="1103"/>
      <c r="M1" s="1103"/>
      <c r="N1" s="1103"/>
      <c r="O1" s="1103"/>
      <c r="P1" s="1103"/>
      <c r="Q1" s="1103"/>
      <c r="R1" s="1103"/>
    </row>
    <row r="2" spans="1:21" ht="12.75" customHeight="1" thickBot="1">
      <c r="A2" s="1103"/>
      <c r="B2" s="1103"/>
      <c r="C2" s="1103"/>
      <c r="D2" s="1103"/>
      <c r="E2" s="1103"/>
      <c r="F2" s="1103"/>
      <c r="G2" s="1103"/>
      <c r="H2" s="1103"/>
      <c r="I2" s="1103"/>
      <c r="J2" s="1103"/>
      <c r="K2" s="1103"/>
      <c r="L2" s="1103"/>
      <c r="M2" s="1103"/>
      <c r="N2" s="1103"/>
      <c r="O2" s="1103"/>
      <c r="P2" s="1103"/>
      <c r="Q2" s="1103"/>
      <c r="R2" s="1103"/>
    </row>
    <row r="3" spans="1:21" ht="27.75" customHeight="1">
      <c r="A3" s="1104" t="s">
        <v>128</v>
      </c>
      <c r="B3" s="1106" t="s">
        <v>129</v>
      </c>
      <c r="C3" s="1108"/>
      <c r="D3" s="1110" t="s">
        <v>20</v>
      </c>
      <c r="E3" s="1111"/>
      <c r="F3" s="1111"/>
      <c r="G3" s="1111"/>
      <c r="H3" s="1112"/>
      <c r="I3" s="1106" t="s">
        <v>552</v>
      </c>
      <c r="J3" s="1106"/>
      <c r="K3" s="1106"/>
      <c r="L3" s="1106"/>
      <c r="M3" s="1106" t="s">
        <v>576</v>
      </c>
      <c r="N3" s="1106" t="s">
        <v>577</v>
      </c>
      <c r="O3" s="1106"/>
      <c r="P3" s="1113" t="s">
        <v>572</v>
      </c>
      <c r="Q3" s="1106" t="s">
        <v>573</v>
      </c>
      <c r="R3" s="1101" t="s">
        <v>553</v>
      </c>
    </row>
    <row r="4" spans="1:21" ht="120.75" customHeight="1" thickBot="1">
      <c r="A4" s="1105"/>
      <c r="B4" s="1107"/>
      <c r="C4" s="1109"/>
      <c r="D4" s="851" t="s">
        <v>567</v>
      </c>
      <c r="E4" s="851" t="s">
        <v>568</v>
      </c>
      <c r="F4" s="851" t="s">
        <v>569</v>
      </c>
      <c r="G4" s="851" t="s">
        <v>30</v>
      </c>
      <c r="H4" s="851" t="s">
        <v>130</v>
      </c>
      <c r="I4" s="851" t="s">
        <v>570</v>
      </c>
      <c r="J4" s="851" t="s">
        <v>803</v>
      </c>
      <c r="K4" s="851" t="s">
        <v>574</v>
      </c>
      <c r="L4" s="851" t="s">
        <v>575</v>
      </c>
      <c r="M4" s="1107"/>
      <c r="N4" s="851" t="s">
        <v>578</v>
      </c>
      <c r="O4" s="851" t="s">
        <v>571</v>
      </c>
      <c r="P4" s="1114"/>
      <c r="Q4" s="1107"/>
      <c r="R4" s="1102"/>
      <c r="T4" s="132"/>
      <c r="U4" s="132"/>
    </row>
    <row r="5" spans="1:21" ht="42.75">
      <c r="A5" s="506" t="s">
        <v>862</v>
      </c>
      <c r="B5" s="507" t="s">
        <v>104</v>
      </c>
      <c r="C5" s="508" t="s">
        <v>3</v>
      </c>
      <c r="D5" s="509"/>
      <c r="E5" s="510">
        <v>329</v>
      </c>
      <c r="F5" s="510"/>
      <c r="G5" s="510">
        <v>2141</v>
      </c>
      <c r="H5" s="510">
        <v>665</v>
      </c>
      <c r="I5" s="510"/>
      <c r="J5" s="510"/>
      <c r="K5" s="510"/>
      <c r="L5" s="510"/>
      <c r="M5" s="510"/>
      <c r="N5" s="510"/>
      <c r="O5" s="510"/>
      <c r="P5" s="510">
        <v>117641</v>
      </c>
      <c r="Q5" s="510">
        <f>SUM(D5:O5)</f>
        <v>3135</v>
      </c>
      <c r="R5" s="511">
        <f>P5+Q5</f>
        <v>120776</v>
      </c>
      <c r="S5" s="92"/>
      <c r="U5" s="92"/>
    </row>
    <row r="6" spans="1:21" ht="42.75">
      <c r="A6" s="852" t="s">
        <v>132</v>
      </c>
      <c r="B6" s="853" t="s">
        <v>104</v>
      </c>
      <c r="C6" s="854" t="s">
        <v>3</v>
      </c>
      <c r="D6" s="855"/>
      <c r="E6" s="856">
        <v>43</v>
      </c>
      <c r="F6" s="856"/>
      <c r="G6" s="856">
        <v>229</v>
      </c>
      <c r="H6" s="856">
        <v>72</v>
      </c>
      <c r="I6" s="856"/>
      <c r="J6" s="856"/>
      <c r="K6" s="856"/>
      <c r="L6" s="856"/>
      <c r="M6" s="856"/>
      <c r="N6" s="856"/>
      <c r="O6" s="856"/>
      <c r="P6" s="856">
        <v>43587</v>
      </c>
      <c r="Q6" s="856">
        <f t="shared" ref="Q6:Q22" si="0">SUM(D6:O6)</f>
        <v>344</v>
      </c>
      <c r="R6" s="857">
        <f t="shared" ref="R6:R29" si="1">P6+Q6</f>
        <v>43931</v>
      </c>
      <c r="S6" s="92"/>
      <c r="U6" s="92"/>
    </row>
    <row r="7" spans="1:21" ht="24.75" customHeight="1">
      <c r="A7" s="852" t="s">
        <v>133</v>
      </c>
      <c r="B7" s="853" t="s">
        <v>104</v>
      </c>
      <c r="C7" s="854" t="s">
        <v>3</v>
      </c>
      <c r="D7" s="855"/>
      <c r="E7" s="856">
        <v>416</v>
      </c>
      <c r="F7" s="856"/>
      <c r="G7" s="856">
        <v>2371</v>
      </c>
      <c r="H7" s="856">
        <v>751</v>
      </c>
      <c r="I7" s="856"/>
      <c r="J7" s="856"/>
      <c r="K7" s="856"/>
      <c r="L7" s="856"/>
      <c r="M7" s="856"/>
      <c r="N7" s="856"/>
      <c r="O7" s="856"/>
      <c r="P7" s="856">
        <v>99725</v>
      </c>
      <c r="Q7" s="856">
        <f t="shared" si="0"/>
        <v>3538</v>
      </c>
      <c r="R7" s="857">
        <f t="shared" si="1"/>
        <v>103263</v>
      </c>
      <c r="S7" s="92"/>
      <c r="U7" s="92"/>
    </row>
    <row r="8" spans="1:21" ht="28.5">
      <c r="A8" s="852" t="s">
        <v>134</v>
      </c>
      <c r="B8" s="853" t="s">
        <v>104</v>
      </c>
      <c r="C8" s="854" t="s">
        <v>3</v>
      </c>
      <c r="D8" s="855"/>
      <c r="E8" s="856">
        <v>1984</v>
      </c>
      <c r="F8" s="856"/>
      <c r="G8" s="856">
        <v>2218</v>
      </c>
      <c r="H8" s="856">
        <v>1134</v>
      </c>
      <c r="I8" s="856"/>
      <c r="J8" s="856">
        <v>1512</v>
      </c>
      <c r="K8" s="856"/>
      <c r="L8" s="856"/>
      <c r="M8" s="856"/>
      <c r="N8" s="856"/>
      <c r="O8" s="856"/>
      <c r="P8" s="856">
        <v>145739</v>
      </c>
      <c r="Q8" s="856">
        <f t="shared" si="0"/>
        <v>6848</v>
      </c>
      <c r="R8" s="857">
        <f t="shared" si="1"/>
        <v>152587</v>
      </c>
      <c r="S8" s="92"/>
      <c r="U8" s="92"/>
    </row>
    <row r="9" spans="1:21" ht="28.5">
      <c r="A9" s="852" t="s">
        <v>135</v>
      </c>
      <c r="B9" s="853" t="s">
        <v>104</v>
      </c>
      <c r="C9" s="854" t="s">
        <v>3</v>
      </c>
      <c r="D9" s="855"/>
      <c r="E9" s="856">
        <v>5</v>
      </c>
      <c r="F9" s="856"/>
      <c r="G9" s="856">
        <v>2447</v>
      </c>
      <c r="H9" s="856">
        <v>662</v>
      </c>
      <c r="I9" s="856"/>
      <c r="J9" s="856"/>
      <c r="K9" s="856"/>
      <c r="L9" s="856"/>
      <c r="M9" s="856"/>
      <c r="N9" s="856"/>
      <c r="O9" s="856"/>
      <c r="P9" s="856">
        <v>81304</v>
      </c>
      <c r="Q9" s="856">
        <f t="shared" si="0"/>
        <v>3114</v>
      </c>
      <c r="R9" s="857">
        <f t="shared" si="1"/>
        <v>84418</v>
      </c>
      <c r="S9" s="92"/>
      <c r="U9" s="92"/>
    </row>
    <row r="10" spans="1:21" ht="28.5">
      <c r="A10" s="852" t="s">
        <v>136</v>
      </c>
      <c r="B10" s="853" t="s">
        <v>104</v>
      </c>
      <c r="C10" s="854" t="s">
        <v>3</v>
      </c>
      <c r="D10" s="855"/>
      <c r="E10" s="856">
        <v>160</v>
      </c>
      <c r="F10" s="856"/>
      <c r="G10" s="856">
        <v>1530</v>
      </c>
      <c r="H10" s="856">
        <v>455</v>
      </c>
      <c r="I10" s="856"/>
      <c r="J10" s="856"/>
      <c r="K10" s="856"/>
      <c r="L10" s="856"/>
      <c r="M10" s="856"/>
      <c r="N10" s="856"/>
      <c r="O10" s="856"/>
      <c r="P10" s="856">
        <v>123431</v>
      </c>
      <c r="Q10" s="856">
        <f t="shared" si="0"/>
        <v>2145</v>
      </c>
      <c r="R10" s="857">
        <f t="shared" si="1"/>
        <v>125576</v>
      </c>
      <c r="S10" s="92"/>
      <c r="U10" s="92"/>
    </row>
    <row r="11" spans="1:21" s="133" customFormat="1" ht="38.25">
      <c r="A11" s="858" t="s">
        <v>137</v>
      </c>
      <c r="B11" s="853" t="s">
        <v>104</v>
      </c>
      <c r="C11" s="854" t="s">
        <v>3</v>
      </c>
      <c r="D11" s="855"/>
      <c r="E11" s="856">
        <v>2</v>
      </c>
      <c r="F11" s="856"/>
      <c r="G11" s="856">
        <v>229</v>
      </c>
      <c r="H11" s="856">
        <v>63</v>
      </c>
      <c r="I11" s="856"/>
      <c r="J11" s="856"/>
      <c r="K11" s="856"/>
      <c r="L11" s="856"/>
      <c r="M11" s="856"/>
      <c r="N11" s="856"/>
      <c r="O11" s="856"/>
      <c r="P11" s="856">
        <v>21282</v>
      </c>
      <c r="Q11" s="856">
        <f t="shared" si="0"/>
        <v>294</v>
      </c>
      <c r="R11" s="857">
        <f t="shared" si="1"/>
        <v>21576</v>
      </c>
      <c r="S11" s="92"/>
      <c r="U11" s="92"/>
    </row>
    <row r="12" spans="1:21" ht="28.5">
      <c r="A12" s="852" t="s">
        <v>138</v>
      </c>
      <c r="B12" s="853" t="s">
        <v>104</v>
      </c>
      <c r="C12" s="854" t="s">
        <v>3</v>
      </c>
      <c r="D12" s="855"/>
      <c r="E12" s="856">
        <v>14900</v>
      </c>
      <c r="F12" s="856"/>
      <c r="G12" s="856">
        <v>7337</v>
      </c>
      <c r="H12" s="856">
        <v>4649</v>
      </c>
      <c r="I12" s="856"/>
      <c r="J12" s="856"/>
      <c r="K12" s="856"/>
      <c r="L12" s="856"/>
      <c r="M12" s="856"/>
      <c r="N12" s="856"/>
      <c r="O12" s="856"/>
      <c r="P12" s="856">
        <v>198995</v>
      </c>
      <c r="Q12" s="856">
        <f t="shared" si="0"/>
        <v>26886</v>
      </c>
      <c r="R12" s="857">
        <f t="shared" si="1"/>
        <v>225881</v>
      </c>
      <c r="S12" s="92"/>
      <c r="U12" s="92"/>
    </row>
    <row r="13" spans="1:21" ht="32.25" customHeight="1">
      <c r="A13" s="859" t="s">
        <v>560</v>
      </c>
      <c r="B13" s="853" t="s">
        <v>104</v>
      </c>
      <c r="C13" s="854" t="s">
        <v>3</v>
      </c>
      <c r="D13" s="855"/>
      <c r="E13" s="856">
        <v>0</v>
      </c>
      <c r="F13" s="856"/>
      <c r="G13" s="856">
        <v>19048</v>
      </c>
      <c r="H13" s="856">
        <v>5143</v>
      </c>
      <c r="I13" s="856"/>
      <c r="J13" s="856"/>
      <c r="K13" s="856"/>
      <c r="L13" s="856"/>
      <c r="M13" s="856"/>
      <c r="N13" s="856"/>
      <c r="O13" s="856"/>
      <c r="P13" s="856">
        <v>37032</v>
      </c>
      <c r="Q13" s="856">
        <f t="shared" si="0"/>
        <v>24191</v>
      </c>
      <c r="R13" s="857">
        <f t="shared" si="1"/>
        <v>61223</v>
      </c>
      <c r="S13" s="92"/>
      <c r="U13" s="92"/>
    </row>
    <row r="14" spans="1:21" ht="48" customHeight="1">
      <c r="A14" s="859" t="s">
        <v>140</v>
      </c>
      <c r="B14" s="853" t="s">
        <v>104</v>
      </c>
      <c r="C14" s="854" t="s">
        <v>3</v>
      </c>
      <c r="D14" s="855"/>
      <c r="E14" s="856">
        <v>0</v>
      </c>
      <c r="F14" s="856"/>
      <c r="G14" s="856">
        <v>13637</v>
      </c>
      <c r="H14" s="856">
        <v>3682</v>
      </c>
      <c r="I14" s="856"/>
      <c r="J14" s="856"/>
      <c r="K14" s="856"/>
      <c r="L14" s="856"/>
      <c r="M14" s="856"/>
      <c r="N14" s="856"/>
      <c r="O14" s="856"/>
      <c r="P14" s="856">
        <v>18079</v>
      </c>
      <c r="Q14" s="856">
        <f t="shared" si="0"/>
        <v>17319</v>
      </c>
      <c r="R14" s="857">
        <f t="shared" si="1"/>
        <v>35398</v>
      </c>
      <c r="S14" s="92"/>
      <c r="U14" s="92"/>
    </row>
    <row r="15" spans="1:21" s="134" customFormat="1" ht="28.5">
      <c r="A15" s="852" t="s">
        <v>559</v>
      </c>
      <c r="B15" s="860" t="s">
        <v>104</v>
      </c>
      <c r="C15" s="854" t="s">
        <v>3</v>
      </c>
      <c r="D15" s="861">
        <f>D13+D14</f>
        <v>0</v>
      </c>
      <c r="E15" s="861">
        <f t="shared" ref="E15:P15" si="2">E13+E14</f>
        <v>0</v>
      </c>
      <c r="F15" s="861">
        <f t="shared" si="2"/>
        <v>0</v>
      </c>
      <c r="G15" s="861">
        <f t="shared" si="2"/>
        <v>32685</v>
      </c>
      <c r="H15" s="861">
        <f t="shared" si="2"/>
        <v>8825</v>
      </c>
      <c r="I15" s="861">
        <f t="shared" si="2"/>
        <v>0</v>
      </c>
      <c r="J15" s="861">
        <f t="shared" si="2"/>
        <v>0</v>
      </c>
      <c r="K15" s="861">
        <f t="shared" si="2"/>
        <v>0</v>
      </c>
      <c r="L15" s="861">
        <f t="shared" si="2"/>
        <v>0</v>
      </c>
      <c r="M15" s="861">
        <f t="shared" si="2"/>
        <v>0</v>
      </c>
      <c r="N15" s="861">
        <f t="shared" si="2"/>
        <v>0</v>
      </c>
      <c r="O15" s="861">
        <f t="shared" si="2"/>
        <v>0</v>
      </c>
      <c r="P15" s="861">
        <f t="shared" si="2"/>
        <v>55111</v>
      </c>
      <c r="Q15" s="862">
        <f t="shared" si="0"/>
        <v>41510</v>
      </c>
      <c r="R15" s="857">
        <f t="shared" si="1"/>
        <v>96621</v>
      </c>
      <c r="S15" s="135"/>
      <c r="U15" s="135"/>
    </row>
    <row r="16" spans="1:21" ht="42" customHeight="1">
      <c r="A16" s="863" t="s">
        <v>142</v>
      </c>
      <c r="B16" s="853" t="s">
        <v>104</v>
      </c>
      <c r="C16" s="854" t="s">
        <v>3</v>
      </c>
      <c r="D16" s="855"/>
      <c r="E16" s="856"/>
      <c r="F16" s="856"/>
      <c r="G16" s="856">
        <v>18004</v>
      </c>
      <c r="H16" s="856">
        <v>4861</v>
      </c>
      <c r="I16" s="856"/>
      <c r="J16" s="856"/>
      <c r="K16" s="856"/>
      <c r="L16" s="856"/>
      <c r="M16" s="856"/>
      <c r="N16" s="856"/>
      <c r="O16" s="856"/>
      <c r="P16" s="856">
        <v>35782</v>
      </c>
      <c r="Q16" s="856">
        <v>22865</v>
      </c>
      <c r="R16" s="857">
        <f t="shared" si="1"/>
        <v>58647</v>
      </c>
      <c r="S16" s="92"/>
      <c r="U16" s="92"/>
    </row>
    <row r="17" spans="1:21" ht="54.75" customHeight="1">
      <c r="A17" s="863" t="s">
        <v>143</v>
      </c>
      <c r="B17" s="853" t="s">
        <v>104</v>
      </c>
      <c r="C17" s="854" t="s">
        <v>3</v>
      </c>
      <c r="D17" s="855"/>
      <c r="E17" s="856"/>
      <c r="F17" s="856"/>
      <c r="G17" s="856">
        <v>7735</v>
      </c>
      <c r="H17" s="856">
        <v>2088</v>
      </c>
      <c r="I17" s="856"/>
      <c r="J17" s="856"/>
      <c r="K17" s="856"/>
      <c r="L17" s="856"/>
      <c r="M17" s="856"/>
      <c r="N17" s="856"/>
      <c r="O17" s="856"/>
      <c r="P17" s="856">
        <v>13467</v>
      </c>
      <c r="Q17" s="856">
        <v>9823</v>
      </c>
      <c r="R17" s="857">
        <f t="shared" si="1"/>
        <v>23290</v>
      </c>
      <c r="S17" s="92"/>
      <c r="U17" s="92"/>
    </row>
    <row r="18" spans="1:21" s="136" customFormat="1" ht="42.75">
      <c r="A18" s="852" t="s">
        <v>144</v>
      </c>
      <c r="B18" s="860" t="s">
        <v>104</v>
      </c>
      <c r="C18" s="854" t="s">
        <v>3</v>
      </c>
      <c r="D18" s="861">
        <f>D16+D17</f>
        <v>0</v>
      </c>
      <c r="E18" s="861">
        <f t="shared" ref="E18:P18" si="3">E16+E17</f>
        <v>0</v>
      </c>
      <c r="F18" s="861">
        <f t="shared" si="3"/>
        <v>0</v>
      </c>
      <c r="G18" s="861">
        <f t="shared" si="3"/>
        <v>25739</v>
      </c>
      <c r="H18" s="861">
        <f t="shared" si="3"/>
        <v>6949</v>
      </c>
      <c r="I18" s="861">
        <f t="shared" si="3"/>
        <v>0</v>
      </c>
      <c r="J18" s="861">
        <f t="shared" si="3"/>
        <v>0</v>
      </c>
      <c r="K18" s="861">
        <f t="shared" si="3"/>
        <v>0</v>
      </c>
      <c r="L18" s="861">
        <f t="shared" si="3"/>
        <v>0</v>
      </c>
      <c r="M18" s="861">
        <f t="shared" si="3"/>
        <v>0</v>
      </c>
      <c r="N18" s="861">
        <f t="shared" si="3"/>
        <v>0</v>
      </c>
      <c r="O18" s="861">
        <f t="shared" si="3"/>
        <v>0</v>
      </c>
      <c r="P18" s="861">
        <f t="shared" si="3"/>
        <v>49249</v>
      </c>
      <c r="Q18" s="862">
        <f t="shared" si="0"/>
        <v>32688</v>
      </c>
      <c r="R18" s="857">
        <f t="shared" si="1"/>
        <v>81937</v>
      </c>
      <c r="S18" s="135"/>
      <c r="U18" s="135"/>
    </row>
    <row r="19" spans="1:21" ht="49.5" customHeight="1">
      <c r="A19" s="864" t="s">
        <v>145</v>
      </c>
      <c r="B19" s="853" t="s">
        <v>104</v>
      </c>
      <c r="C19" s="854" t="s">
        <v>3</v>
      </c>
      <c r="D19" s="855"/>
      <c r="E19" s="856"/>
      <c r="F19" s="856"/>
      <c r="G19" s="856">
        <v>4808</v>
      </c>
      <c r="H19" s="856">
        <v>1298</v>
      </c>
      <c r="I19" s="856"/>
      <c r="J19" s="856"/>
      <c r="K19" s="856"/>
      <c r="L19" s="856"/>
      <c r="M19" s="856"/>
      <c r="N19" s="856"/>
      <c r="O19" s="856"/>
      <c r="P19" s="856">
        <v>20119</v>
      </c>
      <c r="Q19" s="856">
        <f t="shared" si="0"/>
        <v>6106</v>
      </c>
      <c r="R19" s="857">
        <f t="shared" si="1"/>
        <v>26225</v>
      </c>
      <c r="S19" s="92"/>
      <c r="U19" s="92"/>
    </row>
    <row r="20" spans="1:21" ht="90">
      <c r="A20" s="875" t="s">
        <v>861</v>
      </c>
      <c r="B20" s="853" t="s">
        <v>104</v>
      </c>
      <c r="C20" s="854" t="s">
        <v>3</v>
      </c>
      <c r="D20" s="855"/>
      <c r="E20" s="856"/>
      <c r="F20" s="856"/>
      <c r="G20" s="856">
        <v>4817</v>
      </c>
      <c r="H20" s="856">
        <v>1301</v>
      </c>
      <c r="I20" s="856"/>
      <c r="J20" s="856"/>
      <c r="K20" s="856"/>
      <c r="L20" s="856"/>
      <c r="M20" s="856"/>
      <c r="N20" s="856"/>
      <c r="O20" s="856"/>
      <c r="P20" s="856">
        <v>6886</v>
      </c>
      <c r="Q20" s="856">
        <f t="shared" si="0"/>
        <v>6118</v>
      </c>
      <c r="R20" s="857">
        <f t="shared" si="1"/>
        <v>13004</v>
      </c>
      <c r="S20" s="92"/>
      <c r="U20" s="92"/>
    </row>
    <row r="21" spans="1:21" ht="51" customHeight="1">
      <c r="A21" s="865" t="s">
        <v>554</v>
      </c>
      <c r="B21" s="853" t="s">
        <v>104</v>
      </c>
      <c r="C21" s="854" t="s">
        <v>3</v>
      </c>
      <c r="D21" s="855"/>
      <c r="E21" s="856"/>
      <c r="F21" s="856"/>
      <c r="G21" s="856">
        <v>14066</v>
      </c>
      <c r="H21" s="856">
        <v>3798</v>
      </c>
      <c r="I21" s="856"/>
      <c r="J21" s="856"/>
      <c r="K21" s="856"/>
      <c r="L21" s="856"/>
      <c r="M21" s="856"/>
      <c r="N21" s="856"/>
      <c r="O21" s="856"/>
      <c r="P21" s="856">
        <v>22331</v>
      </c>
      <c r="Q21" s="856">
        <f t="shared" si="0"/>
        <v>17864</v>
      </c>
      <c r="R21" s="857">
        <f t="shared" si="1"/>
        <v>40195</v>
      </c>
      <c r="S21" s="92"/>
      <c r="U21" s="92"/>
    </row>
    <row r="22" spans="1:21" ht="45">
      <c r="A22" s="852" t="s">
        <v>146</v>
      </c>
      <c r="B22" s="866" t="s">
        <v>147</v>
      </c>
      <c r="C22" s="854" t="s">
        <v>3</v>
      </c>
      <c r="D22" s="854"/>
      <c r="E22" s="867">
        <v>13010</v>
      </c>
      <c r="F22" s="867"/>
      <c r="G22" s="867"/>
      <c r="H22" s="867">
        <v>25003</v>
      </c>
      <c r="I22" s="867"/>
      <c r="J22" s="867"/>
      <c r="K22" s="867"/>
      <c r="L22" s="867"/>
      <c r="M22" s="867"/>
      <c r="N22" s="867"/>
      <c r="O22" s="867"/>
      <c r="P22" s="856">
        <v>69287</v>
      </c>
      <c r="Q22" s="856">
        <f t="shared" si="0"/>
        <v>38013</v>
      </c>
      <c r="R22" s="857">
        <f t="shared" si="1"/>
        <v>107300</v>
      </c>
      <c r="S22" s="92"/>
      <c r="U22" s="92"/>
    </row>
    <row r="23" spans="1:21" s="134" customFormat="1" ht="38.25" customHeight="1">
      <c r="A23" s="852" t="s">
        <v>148</v>
      </c>
      <c r="B23" s="860"/>
      <c r="C23" s="854" t="s">
        <v>3</v>
      </c>
      <c r="D23" s="861">
        <f t="shared" ref="D23:O23" si="4">D15+D18+D19+D20+D21+D22</f>
        <v>0</v>
      </c>
      <c r="E23" s="862">
        <f t="shared" si="4"/>
        <v>13010</v>
      </c>
      <c r="F23" s="862">
        <f t="shared" si="4"/>
        <v>0</v>
      </c>
      <c r="G23" s="862">
        <f t="shared" si="4"/>
        <v>82115</v>
      </c>
      <c r="H23" s="862">
        <f t="shared" si="4"/>
        <v>47174</v>
      </c>
      <c r="I23" s="862">
        <f t="shared" si="4"/>
        <v>0</v>
      </c>
      <c r="J23" s="862">
        <f t="shared" si="4"/>
        <v>0</v>
      </c>
      <c r="K23" s="862">
        <f t="shared" si="4"/>
        <v>0</v>
      </c>
      <c r="L23" s="862">
        <f t="shared" si="4"/>
        <v>0</v>
      </c>
      <c r="M23" s="862">
        <f t="shared" si="4"/>
        <v>0</v>
      </c>
      <c r="N23" s="862">
        <f t="shared" si="4"/>
        <v>0</v>
      </c>
      <c r="O23" s="862">
        <f t="shared" si="4"/>
        <v>0</v>
      </c>
      <c r="P23" s="862">
        <f>P15+P18+P19+P20+P21+P22</f>
        <v>222983</v>
      </c>
      <c r="Q23" s="862">
        <f>Q15+Q18+Q19+Q20+Q21+Q22</f>
        <v>142299</v>
      </c>
      <c r="R23" s="857">
        <f t="shared" si="1"/>
        <v>365282</v>
      </c>
      <c r="S23" s="135"/>
      <c r="U23" s="135"/>
    </row>
    <row r="24" spans="1:21" ht="36.75" customHeight="1">
      <c r="A24" s="852" t="s">
        <v>149</v>
      </c>
      <c r="B24" s="853" t="s">
        <v>104</v>
      </c>
      <c r="C24" s="854" t="s">
        <v>3</v>
      </c>
      <c r="D24" s="868">
        <v>5000</v>
      </c>
      <c r="E24" s="856">
        <v>208509</v>
      </c>
      <c r="F24" s="856">
        <v>900</v>
      </c>
      <c r="G24" s="856"/>
      <c r="H24" s="856">
        <v>57891</v>
      </c>
      <c r="I24" s="856"/>
      <c r="J24" s="856"/>
      <c r="K24" s="856"/>
      <c r="L24" s="856"/>
      <c r="M24" s="856"/>
      <c r="N24" s="856"/>
      <c r="O24" s="856"/>
      <c r="P24" s="856">
        <v>351815</v>
      </c>
      <c r="Q24" s="856">
        <v>272300</v>
      </c>
      <c r="R24" s="857">
        <f>P24+Q24</f>
        <v>624115</v>
      </c>
      <c r="S24" s="92"/>
      <c r="U24" s="92"/>
    </row>
    <row r="25" spans="1:21" ht="42.75">
      <c r="A25" s="852" t="s">
        <v>150</v>
      </c>
      <c r="B25" s="853" t="s">
        <v>104</v>
      </c>
      <c r="C25" s="854" t="s">
        <v>3</v>
      </c>
      <c r="D25" s="855"/>
      <c r="E25" s="856">
        <v>1105</v>
      </c>
      <c r="F25" s="856"/>
      <c r="G25" s="856"/>
      <c r="H25" s="856">
        <v>297</v>
      </c>
      <c r="I25" s="856"/>
      <c r="J25" s="856"/>
      <c r="K25" s="856"/>
      <c r="L25" s="856"/>
      <c r="M25" s="856"/>
      <c r="N25" s="856"/>
      <c r="O25" s="856"/>
      <c r="P25" s="856">
        <v>51598</v>
      </c>
      <c r="Q25" s="856">
        <v>1402</v>
      </c>
      <c r="R25" s="857">
        <f t="shared" si="1"/>
        <v>53000</v>
      </c>
      <c r="S25" s="92"/>
      <c r="U25" s="92"/>
    </row>
    <row r="26" spans="1:21" s="136" customFormat="1" ht="47.25" customHeight="1">
      <c r="A26" s="858" t="s">
        <v>151</v>
      </c>
      <c r="B26" s="860" t="s">
        <v>104</v>
      </c>
      <c r="C26" s="854" t="s">
        <v>3</v>
      </c>
      <c r="D26" s="855"/>
      <c r="E26" s="856">
        <v>20</v>
      </c>
      <c r="F26" s="856">
        <v>1400</v>
      </c>
      <c r="G26" s="856"/>
      <c r="H26" s="856"/>
      <c r="I26" s="856"/>
      <c r="J26" s="856">
        <v>86856</v>
      </c>
      <c r="K26" s="856"/>
      <c r="L26" s="856"/>
      <c r="M26" s="856"/>
      <c r="N26" s="856"/>
      <c r="O26" s="856"/>
      <c r="P26" s="856">
        <v>36539</v>
      </c>
      <c r="Q26" s="856">
        <v>88276</v>
      </c>
      <c r="R26" s="857">
        <f t="shared" si="1"/>
        <v>124815</v>
      </c>
      <c r="S26" s="135"/>
      <c r="U26" s="135"/>
    </row>
    <row r="27" spans="1:21" s="136" customFormat="1" ht="60" customHeight="1">
      <c r="A27" s="858" t="s">
        <v>558</v>
      </c>
      <c r="B27" s="860" t="s">
        <v>71</v>
      </c>
      <c r="C27" s="854" t="s">
        <v>3</v>
      </c>
      <c r="D27" s="862">
        <f>D5+D6+D7+D8+D9+D10+D11+D12+D23+D24+D25+D26</f>
        <v>5000</v>
      </c>
      <c r="E27" s="862">
        <f>E5+E6+E7+E8+E9+E10+E11+E12+E23+E24+E25+E26</f>
        <v>240483</v>
      </c>
      <c r="F27" s="862">
        <f t="shared" ref="F27:Q27" si="5">F5+F6+F7+F8+F9+F10+F11+F12+F23+F24+F25+F26</f>
        <v>2300</v>
      </c>
      <c r="G27" s="862">
        <f t="shared" si="5"/>
        <v>100617</v>
      </c>
      <c r="H27" s="862">
        <f t="shared" si="5"/>
        <v>113813</v>
      </c>
      <c r="I27" s="862">
        <f t="shared" si="5"/>
        <v>0</v>
      </c>
      <c r="J27" s="862">
        <f t="shared" si="5"/>
        <v>88368</v>
      </c>
      <c r="K27" s="862">
        <f t="shared" si="5"/>
        <v>0</v>
      </c>
      <c r="L27" s="862">
        <f t="shared" si="5"/>
        <v>0</v>
      </c>
      <c r="M27" s="862">
        <f t="shared" si="5"/>
        <v>0</v>
      </c>
      <c r="N27" s="862">
        <f t="shared" si="5"/>
        <v>0</v>
      </c>
      <c r="O27" s="862">
        <f t="shared" si="5"/>
        <v>0</v>
      </c>
      <c r="P27" s="862">
        <f t="shared" si="5"/>
        <v>1494639</v>
      </c>
      <c r="Q27" s="862">
        <f t="shared" si="5"/>
        <v>550581</v>
      </c>
      <c r="R27" s="857">
        <f t="shared" si="1"/>
        <v>2045220</v>
      </c>
      <c r="S27" s="137"/>
      <c r="U27" s="135"/>
    </row>
    <row r="28" spans="1:21" s="134" customFormat="1" ht="54.75" customHeight="1">
      <c r="A28" s="852" t="s">
        <v>152</v>
      </c>
      <c r="B28" s="869" t="s">
        <v>119</v>
      </c>
      <c r="C28" s="854" t="s">
        <v>3</v>
      </c>
      <c r="D28" s="870">
        <f>D27-D29</f>
        <v>5000</v>
      </c>
      <c r="E28" s="870">
        <f t="shared" ref="E28:Q28" si="6">E27-E29</f>
        <v>227473</v>
      </c>
      <c r="F28" s="870">
        <f t="shared" si="6"/>
        <v>2300</v>
      </c>
      <c r="G28" s="870">
        <f t="shared" si="6"/>
        <v>100617</v>
      </c>
      <c r="H28" s="870">
        <f t="shared" si="6"/>
        <v>88810</v>
      </c>
      <c r="I28" s="870">
        <f t="shared" si="6"/>
        <v>0</v>
      </c>
      <c r="J28" s="870">
        <f t="shared" si="6"/>
        <v>88368</v>
      </c>
      <c r="K28" s="870">
        <f t="shared" si="6"/>
        <v>0</v>
      </c>
      <c r="L28" s="870">
        <f t="shared" si="6"/>
        <v>0</v>
      </c>
      <c r="M28" s="870">
        <f t="shared" si="6"/>
        <v>0</v>
      </c>
      <c r="N28" s="870">
        <f t="shared" si="6"/>
        <v>0</v>
      </c>
      <c r="O28" s="870">
        <f t="shared" si="6"/>
        <v>0</v>
      </c>
      <c r="P28" s="870">
        <f t="shared" si="6"/>
        <v>1425352</v>
      </c>
      <c r="Q28" s="870">
        <f t="shared" si="6"/>
        <v>512568</v>
      </c>
      <c r="R28" s="857">
        <f>P28+Q28</f>
        <v>1937920</v>
      </c>
      <c r="S28" s="137"/>
      <c r="U28" s="135"/>
    </row>
    <row r="29" spans="1:21" s="134" customFormat="1" ht="54" customHeight="1" thickBot="1">
      <c r="A29" s="374" t="s">
        <v>153</v>
      </c>
      <c r="B29" s="315" t="s">
        <v>147</v>
      </c>
      <c r="C29" s="512" t="s">
        <v>3</v>
      </c>
      <c r="D29" s="871">
        <f>D22</f>
        <v>0</v>
      </c>
      <c r="E29" s="871">
        <f t="shared" ref="E29:Q29" si="7">E22</f>
        <v>13010</v>
      </c>
      <c r="F29" s="871">
        <f t="shared" si="7"/>
        <v>0</v>
      </c>
      <c r="G29" s="871">
        <f t="shared" si="7"/>
        <v>0</v>
      </c>
      <c r="H29" s="871">
        <f t="shared" si="7"/>
        <v>25003</v>
      </c>
      <c r="I29" s="871">
        <f t="shared" si="7"/>
        <v>0</v>
      </c>
      <c r="J29" s="871">
        <f t="shared" si="7"/>
        <v>0</v>
      </c>
      <c r="K29" s="871">
        <f t="shared" si="7"/>
        <v>0</v>
      </c>
      <c r="L29" s="871">
        <f t="shared" si="7"/>
        <v>0</v>
      </c>
      <c r="M29" s="871">
        <f t="shared" si="7"/>
        <v>0</v>
      </c>
      <c r="N29" s="871">
        <f t="shared" si="7"/>
        <v>0</v>
      </c>
      <c r="O29" s="871">
        <f t="shared" si="7"/>
        <v>0</v>
      </c>
      <c r="P29" s="871">
        <f t="shared" si="7"/>
        <v>69287</v>
      </c>
      <c r="Q29" s="871">
        <f t="shared" si="7"/>
        <v>38013</v>
      </c>
      <c r="R29" s="131">
        <f t="shared" si="1"/>
        <v>107300</v>
      </c>
      <c r="S29" s="137"/>
      <c r="U29" s="135"/>
    </row>
    <row r="30" spans="1:21" ht="15" customHeight="1"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</row>
    <row r="31" spans="1:21" ht="15" hidden="1" customHeight="1"/>
    <row r="32" spans="1:21" ht="15" hidden="1" customHeight="1">
      <c r="R32" s="92"/>
    </row>
    <row r="33" spans="1:18" ht="15" hidden="1" customHeight="1"/>
    <row r="34" spans="1:18" ht="15" hidden="1" customHeight="1">
      <c r="R34" s="92"/>
    </row>
    <row r="35" spans="1:18" ht="15" hidden="1" customHeight="1"/>
    <row r="37" spans="1:18">
      <c r="A37" s="140"/>
    </row>
    <row r="38" spans="1:18">
      <c r="A38" s="140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</row>
  </sheetData>
  <mergeCells count="12">
    <mergeCell ref="R3:R4"/>
    <mergeCell ref="A1:R1"/>
    <mergeCell ref="A2:R2"/>
    <mergeCell ref="A3:A4"/>
    <mergeCell ref="B3:B4"/>
    <mergeCell ref="C3:C4"/>
    <mergeCell ref="I3:L3"/>
    <mergeCell ref="M3:M4"/>
    <mergeCell ref="N3:O3"/>
    <mergeCell ref="Q3:Q4"/>
    <mergeCell ref="D3:H3"/>
    <mergeCell ref="P3:P4"/>
  </mergeCells>
  <pageMargins left="0.69" right="0.25" top="0.75" bottom="0.75" header="0.3" footer="0.3"/>
  <pageSetup paperSize="9" scale="57" orientation="portrait" r:id="rId1"/>
  <headerFooter>
    <oddHeader>&amp;L&amp;"Times New Roman,Normál"&amp;8 6. melléklet 1 a 24/2019. (XII.19.)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view="pageLayout" zoomScale="96" zoomScaleNormal="100" zoomScalePageLayoutView="96" workbookViewId="0">
      <selection activeCell="H28" sqref="H28"/>
    </sheetView>
  </sheetViews>
  <sheetFormatPr defaultRowHeight="15"/>
  <cols>
    <col min="1" max="1" width="42.7109375" style="46" customWidth="1"/>
    <col min="2" max="2" width="15.28515625" style="46" customWidth="1"/>
    <col min="3" max="3" width="8" style="318" bestFit="1" customWidth="1"/>
    <col min="4" max="4" width="9.140625" style="46"/>
    <col min="5" max="5" width="9.7109375" style="46" customWidth="1"/>
    <col min="6" max="6" width="9.140625" style="46"/>
    <col min="7" max="7" width="10.5703125" style="46" customWidth="1"/>
    <col min="8" max="8" width="11.7109375" style="46" customWidth="1"/>
    <col min="9" max="9" width="11.140625" style="46" customWidth="1"/>
    <col min="10" max="16384" width="9.140625" style="46"/>
  </cols>
  <sheetData>
    <row r="1" spans="1:9">
      <c r="A1" s="1115" t="s">
        <v>615</v>
      </c>
      <c r="B1" s="1115"/>
      <c r="C1" s="1115"/>
      <c r="D1" s="1115"/>
      <c r="E1" s="1115"/>
      <c r="F1" s="1115"/>
      <c r="G1" s="1115"/>
      <c r="H1" s="1115"/>
      <c r="I1" s="1115"/>
    </row>
    <row r="2" spans="1:9" ht="15.75" thickBot="1">
      <c r="A2" s="1122"/>
      <c r="B2" s="1122"/>
      <c r="C2" s="1122"/>
      <c r="D2" s="1122"/>
      <c r="E2" s="1122"/>
      <c r="F2" s="1122"/>
      <c r="G2" s="1122"/>
      <c r="H2" s="1122"/>
      <c r="I2" s="1122"/>
    </row>
    <row r="3" spans="1:9" ht="38.25" customHeight="1">
      <c r="A3" s="1116" t="s">
        <v>128</v>
      </c>
      <c r="B3" s="1118" t="s">
        <v>129</v>
      </c>
      <c r="C3" s="1120"/>
      <c r="D3" s="1123" t="s">
        <v>100</v>
      </c>
      <c r="E3" s="1124"/>
      <c r="F3" s="1124"/>
      <c r="G3" s="1123" t="s">
        <v>101</v>
      </c>
      <c r="H3" s="1124"/>
      <c r="I3" s="1125" t="s">
        <v>131</v>
      </c>
    </row>
    <row r="4" spans="1:9" ht="43.5" thickBot="1">
      <c r="A4" s="1117"/>
      <c r="B4" s="1119"/>
      <c r="C4" s="1121"/>
      <c r="D4" s="500" t="s">
        <v>556</v>
      </c>
      <c r="E4" s="500" t="s">
        <v>557</v>
      </c>
      <c r="F4" s="505" t="s">
        <v>102</v>
      </c>
      <c r="G4" s="505" t="s">
        <v>59</v>
      </c>
      <c r="H4" s="505" t="s">
        <v>60</v>
      </c>
      <c r="I4" s="1126"/>
    </row>
    <row r="5" spans="1:9" ht="28.5">
      <c r="A5" s="502" t="s">
        <v>860</v>
      </c>
      <c r="B5" s="503" t="s">
        <v>104</v>
      </c>
      <c r="C5" s="504" t="s">
        <v>3</v>
      </c>
      <c r="D5" s="880">
        <v>83348</v>
      </c>
      <c r="E5" s="880">
        <v>14498</v>
      </c>
      <c r="F5" s="880">
        <v>18087</v>
      </c>
      <c r="G5" s="880">
        <v>1442</v>
      </c>
      <c r="H5" s="880">
        <v>3401</v>
      </c>
      <c r="I5" s="881">
        <f>SUM(D5:H5)</f>
        <v>120776</v>
      </c>
    </row>
    <row r="6" spans="1:9" ht="28.5">
      <c r="A6" s="872" t="s">
        <v>132</v>
      </c>
      <c r="B6" s="873" t="s">
        <v>104</v>
      </c>
      <c r="C6" s="874" t="s">
        <v>3</v>
      </c>
      <c r="D6" s="882">
        <v>27491</v>
      </c>
      <c r="E6" s="882">
        <v>4790</v>
      </c>
      <c r="F6" s="882">
        <v>7830</v>
      </c>
      <c r="G6" s="882">
        <v>3820</v>
      </c>
      <c r="H6" s="882">
        <v>0</v>
      </c>
      <c r="I6" s="883">
        <f t="shared" ref="I6:I29" si="0">SUM(D6:H6)</f>
        <v>43931</v>
      </c>
    </row>
    <row r="7" spans="1:9">
      <c r="A7" s="872" t="s">
        <v>133</v>
      </c>
      <c r="B7" s="873" t="s">
        <v>104</v>
      </c>
      <c r="C7" s="874" t="s">
        <v>3</v>
      </c>
      <c r="D7" s="882">
        <v>70369</v>
      </c>
      <c r="E7" s="882">
        <v>12244</v>
      </c>
      <c r="F7" s="882">
        <v>16570</v>
      </c>
      <c r="G7" s="882">
        <v>480</v>
      </c>
      <c r="H7" s="882">
        <v>3600</v>
      </c>
      <c r="I7" s="883">
        <f t="shared" si="0"/>
        <v>103263</v>
      </c>
    </row>
    <row r="8" spans="1:9">
      <c r="A8" s="872" t="s">
        <v>134</v>
      </c>
      <c r="B8" s="873" t="s">
        <v>104</v>
      </c>
      <c r="C8" s="874" t="s">
        <v>3</v>
      </c>
      <c r="D8" s="882">
        <v>93731</v>
      </c>
      <c r="E8" s="882">
        <v>16182</v>
      </c>
      <c r="F8" s="882">
        <v>28024</v>
      </c>
      <c r="G8" s="882">
        <v>650</v>
      </c>
      <c r="H8" s="882">
        <v>14000</v>
      </c>
      <c r="I8" s="883">
        <f t="shared" si="0"/>
        <v>152587</v>
      </c>
    </row>
    <row r="9" spans="1:9">
      <c r="A9" s="872" t="s">
        <v>135</v>
      </c>
      <c r="B9" s="873" t="s">
        <v>104</v>
      </c>
      <c r="C9" s="874" t="s">
        <v>3</v>
      </c>
      <c r="D9" s="882">
        <v>49258</v>
      </c>
      <c r="E9" s="882">
        <v>8554</v>
      </c>
      <c r="F9" s="882">
        <v>16456</v>
      </c>
      <c r="G9" s="882">
        <v>5150</v>
      </c>
      <c r="H9" s="882">
        <v>5000</v>
      </c>
      <c r="I9" s="883">
        <f t="shared" si="0"/>
        <v>84418</v>
      </c>
    </row>
    <row r="10" spans="1:9">
      <c r="A10" s="872" t="s">
        <v>136</v>
      </c>
      <c r="B10" s="873" t="s">
        <v>104</v>
      </c>
      <c r="C10" s="874" t="s">
        <v>3</v>
      </c>
      <c r="D10" s="882">
        <v>89756</v>
      </c>
      <c r="E10" s="882">
        <v>18460</v>
      </c>
      <c r="F10" s="882">
        <v>14020</v>
      </c>
      <c r="G10" s="882">
        <v>1240</v>
      </c>
      <c r="H10" s="882">
        <v>2100</v>
      </c>
      <c r="I10" s="883">
        <f t="shared" si="0"/>
        <v>125576</v>
      </c>
    </row>
    <row r="11" spans="1:9" ht="28.5">
      <c r="A11" s="872" t="s">
        <v>821</v>
      </c>
      <c r="B11" s="873" t="s">
        <v>104</v>
      </c>
      <c r="C11" s="874" t="s">
        <v>3</v>
      </c>
      <c r="D11" s="882">
        <v>13147</v>
      </c>
      <c r="E11" s="882">
        <v>2301</v>
      </c>
      <c r="F11" s="882">
        <v>3998</v>
      </c>
      <c r="G11" s="882">
        <v>130</v>
      </c>
      <c r="H11" s="882">
        <v>2000</v>
      </c>
      <c r="I11" s="883">
        <f t="shared" si="0"/>
        <v>21576</v>
      </c>
    </row>
    <row r="12" spans="1:9">
      <c r="A12" s="872" t="s">
        <v>138</v>
      </c>
      <c r="B12" s="873" t="s">
        <v>104</v>
      </c>
      <c r="C12" s="874" t="s">
        <v>3</v>
      </c>
      <c r="D12" s="882">
        <v>138978</v>
      </c>
      <c r="E12" s="882">
        <v>28100</v>
      </c>
      <c r="F12" s="882">
        <v>51201</v>
      </c>
      <c r="G12" s="882">
        <v>5342</v>
      </c>
      <c r="H12" s="882">
        <v>2260</v>
      </c>
      <c r="I12" s="883">
        <f t="shared" si="0"/>
        <v>225881</v>
      </c>
    </row>
    <row r="13" spans="1:9">
      <c r="A13" s="875" t="s">
        <v>139</v>
      </c>
      <c r="B13" s="873" t="s">
        <v>104</v>
      </c>
      <c r="C13" s="874" t="s">
        <v>3</v>
      </c>
      <c r="D13" s="882">
        <v>0</v>
      </c>
      <c r="E13" s="882">
        <v>0</v>
      </c>
      <c r="F13" s="882">
        <v>61223</v>
      </c>
      <c r="G13" s="882"/>
      <c r="H13" s="882"/>
      <c r="I13" s="883">
        <f t="shared" si="0"/>
        <v>61223</v>
      </c>
    </row>
    <row r="14" spans="1:9" ht="30">
      <c r="A14" s="875" t="s">
        <v>140</v>
      </c>
      <c r="B14" s="873" t="s">
        <v>104</v>
      </c>
      <c r="C14" s="874" t="s">
        <v>3</v>
      </c>
      <c r="D14" s="882"/>
      <c r="E14" s="882"/>
      <c r="F14" s="882">
        <v>35398</v>
      </c>
      <c r="G14" s="882"/>
      <c r="H14" s="882"/>
      <c r="I14" s="883">
        <f t="shared" si="0"/>
        <v>35398</v>
      </c>
    </row>
    <row r="15" spans="1:9" s="134" customFormat="1" ht="14.25" customHeight="1">
      <c r="A15" s="872" t="s">
        <v>141</v>
      </c>
      <c r="B15" s="876" t="s">
        <v>104</v>
      </c>
      <c r="C15" s="877" t="s">
        <v>3</v>
      </c>
      <c r="D15" s="884">
        <f>D13+D14</f>
        <v>0</v>
      </c>
      <c r="E15" s="884">
        <f t="shared" ref="E15:H15" si="1">E13+E14</f>
        <v>0</v>
      </c>
      <c r="F15" s="884">
        <f t="shared" si="1"/>
        <v>96621</v>
      </c>
      <c r="G15" s="884">
        <f t="shared" si="1"/>
        <v>0</v>
      </c>
      <c r="H15" s="884">
        <f t="shared" si="1"/>
        <v>0</v>
      </c>
      <c r="I15" s="885">
        <f t="shared" si="0"/>
        <v>96621</v>
      </c>
    </row>
    <row r="16" spans="1:9">
      <c r="A16" s="875" t="s">
        <v>142</v>
      </c>
      <c r="B16" s="873" t="s">
        <v>104</v>
      </c>
      <c r="C16" s="874" t="s">
        <v>3</v>
      </c>
      <c r="D16" s="882"/>
      <c r="E16" s="882"/>
      <c r="F16" s="882">
        <v>58647</v>
      </c>
      <c r="G16" s="882"/>
      <c r="H16" s="882"/>
      <c r="I16" s="883">
        <f t="shared" si="0"/>
        <v>58647</v>
      </c>
    </row>
    <row r="17" spans="1:9" ht="30">
      <c r="A17" s="875" t="s">
        <v>143</v>
      </c>
      <c r="B17" s="873" t="s">
        <v>104</v>
      </c>
      <c r="C17" s="874" t="s">
        <v>3</v>
      </c>
      <c r="D17" s="882"/>
      <c r="E17" s="882"/>
      <c r="F17" s="882">
        <v>23290</v>
      </c>
      <c r="G17" s="882"/>
      <c r="H17" s="882"/>
      <c r="I17" s="883">
        <f t="shared" si="0"/>
        <v>23290</v>
      </c>
    </row>
    <row r="18" spans="1:9" s="134" customFormat="1" ht="14.25">
      <c r="A18" s="872" t="s">
        <v>144</v>
      </c>
      <c r="B18" s="876" t="s">
        <v>104</v>
      </c>
      <c r="C18" s="877" t="s">
        <v>3</v>
      </c>
      <c r="D18" s="884">
        <f>D16+D17</f>
        <v>0</v>
      </c>
      <c r="E18" s="884">
        <f t="shared" ref="E18:H18" si="2">E16+E17</f>
        <v>0</v>
      </c>
      <c r="F18" s="884">
        <f t="shared" si="2"/>
        <v>81937</v>
      </c>
      <c r="G18" s="884">
        <f t="shared" si="2"/>
        <v>0</v>
      </c>
      <c r="H18" s="884">
        <f t="shared" si="2"/>
        <v>0</v>
      </c>
      <c r="I18" s="885">
        <f t="shared" si="0"/>
        <v>81937</v>
      </c>
    </row>
    <row r="19" spans="1:9" ht="30">
      <c r="A19" s="875" t="s">
        <v>145</v>
      </c>
      <c r="B19" s="873" t="s">
        <v>104</v>
      </c>
      <c r="C19" s="874" t="s">
        <v>3</v>
      </c>
      <c r="D19" s="882"/>
      <c r="E19" s="882"/>
      <c r="F19" s="882">
        <v>26225</v>
      </c>
      <c r="G19" s="882"/>
      <c r="H19" s="882"/>
      <c r="I19" s="883">
        <f t="shared" si="0"/>
        <v>26225</v>
      </c>
    </row>
    <row r="20" spans="1:9" ht="45">
      <c r="A20" s="875" t="s">
        <v>861</v>
      </c>
      <c r="B20" s="873" t="s">
        <v>104</v>
      </c>
      <c r="C20" s="874" t="s">
        <v>3</v>
      </c>
      <c r="D20" s="882"/>
      <c r="E20" s="882"/>
      <c r="F20" s="882">
        <v>13004</v>
      </c>
      <c r="G20" s="882"/>
      <c r="H20" s="882"/>
      <c r="I20" s="883">
        <f t="shared" si="0"/>
        <v>13004</v>
      </c>
    </row>
    <row r="21" spans="1:9">
      <c r="A21" s="875" t="s">
        <v>554</v>
      </c>
      <c r="B21" s="873" t="s">
        <v>104</v>
      </c>
      <c r="C21" s="874" t="s">
        <v>3</v>
      </c>
      <c r="D21" s="882"/>
      <c r="E21" s="882"/>
      <c r="F21" s="882">
        <v>40195</v>
      </c>
      <c r="G21" s="882"/>
      <c r="H21" s="882"/>
      <c r="I21" s="883">
        <f t="shared" si="0"/>
        <v>40195</v>
      </c>
    </row>
    <row r="22" spans="1:9" ht="30">
      <c r="A22" s="875" t="s">
        <v>146</v>
      </c>
      <c r="B22" s="878" t="s">
        <v>147</v>
      </c>
      <c r="C22" s="874" t="s">
        <v>3</v>
      </c>
      <c r="D22" s="882">
        <v>44329</v>
      </c>
      <c r="E22" s="882">
        <v>7573</v>
      </c>
      <c r="F22" s="882">
        <v>53598</v>
      </c>
      <c r="G22" s="882">
        <v>1800</v>
      </c>
      <c r="H22" s="882"/>
      <c r="I22" s="883">
        <f t="shared" si="0"/>
        <v>107300</v>
      </c>
    </row>
    <row r="23" spans="1:9" s="134" customFormat="1" ht="14.25">
      <c r="A23" s="872" t="s">
        <v>148</v>
      </c>
      <c r="B23" s="869"/>
      <c r="C23" s="877" t="s">
        <v>3</v>
      </c>
      <c r="D23" s="884">
        <f>D15+D18+D19+D20+D21+D22</f>
        <v>44329</v>
      </c>
      <c r="E23" s="884">
        <f t="shared" ref="E23:H23" si="3">E15+E18+E19+E20+E21+E22</f>
        <v>7573</v>
      </c>
      <c r="F23" s="884">
        <f t="shared" si="3"/>
        <v>311580</v>
      </c>
      <c r="G23" s="884">
        <f t="shared" si="3"/>
        <v>1800</v>
      </c>
      <c r="H23" s="884">
        <f t="shared" si="3"/>
        <v>0</v>
      </c>
      <c r="I23" s="885">
        <f t="shared" si="0"/>
        <v>365282</v>
      </c>
    </row>
    <row r="24" spans="1:9">
      <c r="A24" s="879" t="s">
        <v>149</v>
      </c>
      <c r="B24" s="878" t="s">
        <v>104</v>
      </c>
      <c r="C24" s="874" t="s">
        <v>3</v>
      </c>
      <c r="D24" s="882">
        <v>194348</v>
      </c>
      <c r="E24" s="882">
        <v>32967</v>
      </c>
      <c r="F24" s="882">
        <v>346800</v>
      </c>
      <c r="G24" s="882">
        <v>26000</v>
      </c>
      <c r="H24" s="882">
        <v>24000</v>
      </c>
      <c r="I24" s="883">
        <f t="shared" si="0"/>
        <v>624115</v>
      </c>
    </row>
    <row r="25" spans="1:9">
      <c r="A25" s="879" t="s">
        <v>150</v>
      </c>
      <c r="B25" s="878" t="s">
        <v>104</v>
      </c>
      <c r="C25" s="874" t="s">
        <v>3</v>
      </c>
      <c r="D25" s="882">
        <v>33207</v>
      </c>
      <c r="E25" s="882">
        <v>5710</v>
      </c>
      <c r="F25" s="882">
        <v>11031</v>
      </c>
      <c r="G25" s="882">
        <v>3052</v>
      </c>
      <c r="H25" s="882">
        <v>0</v>
      </c>
      <c r="I25" s="883">
        <f t="shared" si="0"/>
        <v>53000</v>
      </c>
    </row>
    <row r="26" spans="1:9">
      <c r="A26" s="879" t="s">
        <v>151</v>
      </c>
      <c r="B26" s="878" t="s">
        <v>104</v>
      </c>
      <c r="C26" s="874" t="s">
        <v>3</v>
      </c>
      <c r="D26" s="882">
        <v>91312</v>
      </c>
      <c r="E26" s="882">
        <v>15894</v>
      </c>
      <c r="F26" s="882">
        <v>15962</v>
      </c>
      <c r="G26" s="882">
        <v>1647</v>
      </c>
      <c r="H26" s="882">
        <v>0</v>
      </c>
      <c r="I26" s="883">
        <f t="shared" si="0"/>
        <v>124815</v>
      </c>
    </row>
    <row r="27" spans="1:9" s="134" customFormat="1" ht="14.25" customHeight="1">
      <c r="A27" s="872" t="s">
        <v>558</v>
      </c>
      <c r="B27" s="869" t="s">
        <v>555</v>
      </c>
      <c r="C27" s="877" t="s">
        <v>3</v>
      </c>
      <c r="D27" s="884">
        <f>D5+D6+D7+D8+D9+D10+D11+D12+D1+D23+D24+D25+D26</f>
        <v>929274</v>
      </c>
      <c r="E27" s="884">
        <f t="shared" ref="E27:H27" si="4">E5+E6+E7+E8+E9+E10+E11+E12+E1+E23+E24+E25+E26</f>
        <v>167273</v>
      </c>
      <c r="F27" s="884">
        <f t="shared" si="4"/>
        <v>841559</v>
      </c>
      <c r="G27" s="884">
        <f t="shared" si="4"/>
        <v>50753</v>
      </c>
      <c r="H27" s="884">
        <f t="shared" si="4"/>
        <v>56361</v>
      </c>
      <c r="I27" s="885">
        <f t="shared" si="0"/>
        <v>2045220</v>
      </c>
    </row>
    <row r="28" spans="1:9" s="134" customFormat="1" ht="28.5">
      <c r="A28" s="872" t="s">
        <v>152</v>
      </c>
      <c r="B28" s="869" t="s">
        <v>119</v>
      </c>
      <c r="C28" s="877" t="s">
        <v>3</v>
      </c>
      <c r="D28" s="884">
        <f>D27-D29</f>
        <v>884945</v>
      </c>
      <c r="E28" s="884">
        <f t="shared" ref="E28:H28" si="5">E27-E29</f>
        <v>159700</v>
      </c>
      <c r="F28" s="884">
        <f t="shared" si="5"/>
        <v>787961</v>
      </c>
      <c r="G28" s="884">
        <f t="shared" si="5"/>
        <v>48953</v>
      </c>
      <c r="H28" s="884">
        <f t="shared" si="5"/>
        <v>56361</v>
      </c>
      <c r="I28" s="885">
        <f t="shared" si="0"/>
        <v>1937920</v>
      </c>
    </row>
    <row r="29" spans="1:9" s="134" customFormat="1" ht="29.25" thickBot="1">
      <c r="A29" s="499" t="s">
        <v>153</v>
      </c>
      <c r="B29" s="500" t="s">
        <v>147</v>
      </c>
      <c r="C29" s="501" t="s">
        <v>3</v>
      </c>
      <c r="D29" s="886">
        <f>D22</f>
        <v>44329</v>
      </c>
      <c r="E29" s="886">
        <f t="shared" ref="E29:H29" si="6">E22</f>
        <v>7573</v>
      </c>
      <c r="F29" s="886">
        <f t="shared" si="6"/>
        <v>53598</v>
      </c>
      <c r="G29" s="886">
        <f t="shared" si="6"/>
        <v>1800</v>
      </c>
      <c r="H29" s="886">
        <f t="shared" si="6"/>
        <v>0</v>
      </c>
      <c r="I29" s="887">
        <f t="shared" si="0"/>
        <v>107300</v>
      </c>
    </row>
    <row r="31" spans="1:9">
      <c r="A31" s="140"/>
    </row>
    <row r="32" spans="1:9">
      <c r="A32" s="140"/>
    </row>
  </sheetData>
  <mergeCells count="8">
    <mergeCell ref="A1:I1"/>
    <mergeCell ref="A3:A4"/>
    <mergeCell ref="B3:B4"/>
    <mergeCell ref="C3:C4"/>
    <mergeCell ref="A2:I2"/>
    <mergeCell ref="D3:F3"/>
    <mergeCell ref="G3:H3"/>
    <mergeCell ref="I3:I4"/>
  </mergeCells>
  <pageMargins left="0.7" right="0.7" top="0.75" bottom="0.75" header="0.3" footer="0.3"/>
  <pageSetup paperSize="9" scale="61" orientation="portrait" r:id="rId1"/>
  <headerFooter>
    <oddHeader>&amp;L&amp;"Times New Roman,Normál"6. melléklet 2 a 24/2019.(XII.19.)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7"/>
  <sheetViews>
    <sheetView view="pageLayout" topLeftCell="A70" zoomScaleNormal="100" workbookViewId="0">
      <selection activeCell="A64" sqref="A64"/>
    </sheetView>
  </sheetViews>
  <sheetFormatPr defaultRowHeight="15"/>
  <cols>
    <col min="1" max="1" width="102.42578125" style="21" customWidth="1"/>
    <col min="2" max="2" width="18.28515625" style="21" customWidth="1"/>
    <col min="3" max="15" width="9.140625" style="153"/>
    <col min="16" max="16384" width="9.140625" style="21"/>
  </cols>
  <sheetData>
    <row r="1" spans="1:13">
      <c r="A1" s="1127" t="s">
        <v>606</v>
      </c>
      <c r="B1" s="1127"/>
    </row>
    <row r="2" spans="1:13" ht="15.75" thickBot="1">
      <c r="A2" s="41"/>
    </row>
    <row r="3" spans="1:13" ht="15.75" thickBot="1">
      <c r="A3" s="223" t="s">
        <v>2</v>
      </c>
      <c r="B3" s="452" t="s">
        <v>3</v>
      </c>
    </row>
    <row r="4" spans="1:13" ht="15.75" thickBot="1">
      <c r="A4" s="224" t="s">
        <v>69</v>
      </c>
      <c r="B4" s="448">
        <f>B6+B20</f>
        <v>2130929</v>
      </c>
    </row>
    <row r="5" spans="1:13">
      <c r="A5" s="451"/>
      <c r="B5" s="458"/>
      <c r="C5" s="291"/>
      <c r="D5" s="291"/>
      <c r="E5" s="291"/>
      <c r="F5" s="291"/>
      <c r="G5" s="291"/>
      <c r="H5" s="291"/>
      <c r="I5" s="291"/>
      <c r="J5" s="291"/>
    </row>
    <row r="6" spans="1:13">
      <c r="A6" s="566" t="s">
        <v>154</v>
      </c>
      <c r="B6" s="791">
        <f>SUM(B7:B18)</f>
        <v>1828260</v>
      </c>
      <c r="C6" s="291"/>
      <c r="D6" s="291"/>
      <c r="E6" s="291"/>
      <c r="F6" s="291"/>
      <c r="G6" s="291"/>
      <c r="H6" s="291"/>
      <c r="I6" s="291"/>
      <c r="J6" s="291"/>
    </row>
    <row r="7" spans="1:13" ht="15" customHeight="1">
      <c r="A7" s="787" t="s">
        <v>155</v>
      </c>
      <c r="B7" s="785">
        <v>194310</v>
      </c>
      <c r="C7" s="291"/>
      <c r="D7" s="291"/>
      <c r="E7" s="291"/>
      <c r="F7" s="291"/>
      <c r="G7" s="291"/>
      <c r="H7" s="291"/>
      <c r="I7" s="291"/>
      <c r="J7" s="338"/>
      <c r="K7" s="24"/>
      <c r="L7" s="24"/>
      <c r="M7" s="24"/>
    </row>
    <row r="8" spans="1:13">
      <c r="A8" s="792" t="s">
        <v>449</v>
      </c>
      <c r="B8" s="785">
        <v>193599</v>
      </c>
      <c r="C8" s="291"/>
      <c r="D8" s="291"/>
      <c r="E8" s="291"/>
      <c r="F8" s="291"/>
      <c r="G8" s="291"/>
      <c r="H8" s="291"/>
      <c r="I8" s="291"/>
      <c r="J8" s="338"/>
      <c r="K8" s="24"/>
      <c r="L8" s="24"/>
      <c r="M8" s="24"/>
    </row>
    <row r="9" spans="1:13">
      <c r="A9" s="793" t="s">
        <v>450</v>
      </c>
      <c r="B9" s="785">
        <v>401034</v>
      </c>
      <c r="C9" s="291"/>
      <c r="D9" s="291"/>
      <c r="E9" s="291"/>
      <c r="F9" s="291"/>
      <c r="G9" s="291"/>
      <c r="H9" s="291"/>
      <c r="I9" s="291"/>
      <c r="J9" s="338"/>
      <c r="K9" s="24"/>
      <c r="L9" s="24"/>
      <c r="M9" s="24"/>
    </row>
    <row r="10" spans="1:13">
      <c r="A10" s="793" t="s">
        <v>451</v>
      </c>
      <c r="B10" s="785">
        <f>106926+37684</f>
        <v>144610</v>
      </c>
      <c r="C10" s="291"/>
      <c r="D10" s="291"/>
      <c r="E10" s="291"/>
      <c r="F10" s="291"/>
      <c r="G10" s="291"/>
      <c r="H10" s="291"/>
      <c r="I10" s="291"/>
      <c r="J10" s="338"/>
      <c r="K10" s="24"/>
      <c r="L10" s="24"/>
      <c r="M10" s="24"/>
    </row>
    <row r="11" spans="1:13" ht="18" customHeight="1">
      <c r="A11" s="794" t="s">
        <v>453</v>
      </c>
      <c r="B11" s="785">
        <v>98270</v>
      </c>
      <c r="C11" s="291"/>
      <c r="D11" s="291"/>
      <c r="E11" s="291"/>
      <c r="F11" s="291"/>
      <c r="G11" s="291"/>
      <c r="H11" s="291"/>
      <c r="I11" s="291"/>
      <c r="J11" s="338"/>
      <c r="K11" s="24"/>
      <c r="L11" s="24"/>
      <c r="M11" s="24"/>
    </row>
    <row r="12" spans="1:13" ht="30">
      <c r="A12" s="787" t="s">
        <v>454</v>
      </c>
      <c r="B12" s="785">
        <v>224517</v>
      </c>
      <c r="C12" s="291"/>
      <c r="D12" s="291"/>
      <c r="E12" s="291"/>
      <c r="F12" s="291"/>
      <c r="G12" s="291"/>
      <c r="H12" s="291"/>
      <c r="I12" s="291"/>
      <c r="J12" s="338"/>
      <c r="K12" s="24"/>
      <c r="L12" s="24"/>
      <c r="M12" s="24"/>
    </row>
    <row r="13" spans="1:13">
      <c r="A13" s="787" t="s">
        <v>333</v>
      </c>
      <c r="B13" s="785">
        <v>1820</v>
      </c>
      <c r="C13" s="291"/>
      <c r="D13" s="291"/>
      <c r="E13" s="291"/>
      <c r="F13" s="291"/>
      <c r="G13" s="291"/>
      <c r="H13" s="291"/>
      <c r="I13" s="291"/>
      <c r="J13" s="338"/>
      <c r="K13" s="24"/>
      <c r="L13" s="24"/>
      <c r="M13" s="24"/>
    </row>
    <row r="14" spans="1:13" ht="30">
      <c r="A14" s="787" t="s">
        <v>455</v>
      </c>
      <c r="B14" s="785">
        <v>4161</v>
      </c>
      <c r="C14" s="291"/>
      <c r="D14" s="291"/>
      <c r="E14" s="291"/>
      <c r="F14" s="291"/>
      <c r="G14" s="291"/>
      <c r="H14" s="291"/>
      <c r="I14" s="291"/>
      <c r="J14" s="338"/>
      <c r="K14" s="24"/>
      <c r="L14" s="24"/>
      <c r="M14" s="24"/>
    </row>
    <row r="15" spans="1:13">
      <c r="A15" s="787" t="s">
        <v>737</v>
      </c>
      <c r="B15" s="785">
        <v>103129</v>
      </c>
      <c r="C15" s="291"/>
      <c r="D15" s="291"/>
      <c r="E15" s="291"/>
      <c r="F15" s="291"/>
      <c r="G15" s="291"/>
      <c r="H15" s="291"/>
      <c r="I15" s="291"/>
      <c r="J15" s="338"/>
      <c r="K15" s="24"/>
      <c r="L15" s="24"/>
      <c r="M15" s="24"/>
    </row>
    <row r="16" spans="1:13">
      <c r="A16" s="795" t="s">
        <v>456</v>
      </c>
      <c r="B16" s="796">
        <v>363888</v>
      </c>
      <c r="C16" s="291"/>
      <c r="D16" s="291"/>
      <c r="E16" s="291"/>
      <c r="F16" s="291"/>
      <c r="G16" s="291"/>
      <c r="H16" s="291"/>
      <c r="I16" s="291"/>
      <c r="J16" s="338"/>
      <c r="K16" s="24"/>
      <c r="L16" s="24"/>
      <c r="M16" s="24"/>
    </row>
    <row r="17" spans="1:13">
      <c r="A17" s="795" t="s">
        <v>457</v>
      </c>
      <c r="B17" s="796">
        <v>49557</v>
      </c>
      <c r="C17" s="291"/>
      <c r="D17" s="291"/>
      <c r="E17" s="291"/>
      <c r="F17" s="291"/>
      <c r="G17" s="291"/>
      <c r="H17" s="291"/>
      <c r="I17" s="291"/>
      <c r="J17" s="338"/>
      <c r="K17" s="24"/>
      <c r="L17" s="24"/>
      <c r="M17" s="24"/>
    </row>
    <row r="18" spans="1:13">
      <c r="A18" s="795" t="s">
        <v>458</v>
      </c>
      <c r="B18" s="796">
        <f>144521-95156</f>
        <v>49365</v>
      </c>
      <c r="C18" s="291"/>
      <c r="D18" s="291"/>
      <c r="E18" s="291"/>
      <c r="F18" s="291"/>
      <c r="G18" s="291"/>
      <c r="H18" s="291"/>
      <c r="I18" s="291"/>
      <c r="J18" s="338"/>
      <c r="K18" s="24"/>
      <c r="L18" s="24"/>
      <c r="M18" s="24"/>
    </row>
    <row r="19" spans="1:13">
      <c r="A19" s="795"/>
      <c r="B19" s="796"/>
      <c r="C19" s="291"/>
      <c r="D19" s="291"/>
      <c r="E19" s="291"/>
      <c r="F19" s="291"/>
      <c r="G19" s="291"/>
      <c r="H19" s="291"/>
      <c r="I19" s="291"/>
      <c r="J19" s="291"/>
    </row>
    <row r="20" spans="1:13" ht="13.5" customHeight="1">
      <c r="A20" s="568" t="s">
        <v>616</v>
      </c>
      <c r="B20" s="791">
        <f>SUM(B21:B51)</f>
        <v>302669</v>
      </c>
      <c r="C20" s="291"/>
      <c r="D20" s="291"/>
      <c r="E20" s="291"/>
      <c r="F20" s="291"/>
      <c r="G20" s="291"/>
      <c r="H20" s="291"/>
      <c r="I20" s="291"/>
      <c r="J20" s="291"/>
    </row>
    <row r="21" spans="1:13">
      <c r="A21" s="343" t="s">
        <v>618</v>
      </c>
      <c r="B21" s="553">
        <v>900</v>
      </c>
      <c r="C21" s="291"/>
      <c r="D21" s="338"/>
      <c r="E21" s="338"/>
      <c r="F21" s="338"/>
      <c r="G21" s="338"/>
      <c r="H21" s="338"/>
      <c r="I21" s="338"/>
      <c r="J21" s="338"/>
    </row>
    <row r="22" spans="1:13">
      <c r="A22" s="567" t="s">
        <v>620</v>
      </c>
      <c r="B22" s="796">
        <v>1000</v>
      </c>
      <c r="C22" s="291"/>
      <c r="D22" s="338"/>
      <c r="E22" s="338"/>
      <c r="F22" s="338"/>
      <c r="G22" s="338"/>
      <c r="H22" s="338"/>
      <c r="I22" s="338"/>
      <c r="J22" s="338"/>
    </row>
    <row r="23" spans="1:13" ht="13.5" customHeight="1">
      <c r="A23" s="794" t="s">
        <v>635</v>
      </c>
      <c r="B23" s="785">
        <v>3200</v>
      </c>
      <c r="C23" s="291"/>
      <c r="D23" s="338"/>
      <c r="E23" s="338"/>
      <c r="F23" s="338"/>
      <c r="G23" s="338"/>
      <c r="H23" s="338"/>
      <c r="I23" s="338"/>
      <c r="J23" s="338"/>
    </row>
    <row r="24" spans="1:13">
      <c r="A24" s="794" t="s">
        <v>636</v>
      </c>
      <c r="B24" s="797">
        <v>657</v>
      </c>
      <c r="C24" s="291"/>
      <c r="D24" s="338"/>
      <c r="E24" s="338"/>
      <c r="F24" s="338"/>
      <c r="G24" s="338"/>
      <c r="H24" s="338"/>
      <c r="I24" s="338"/>
      <c r="J24" s="338"/>
    </row>
    <row r="25" spans="1:13">
      <c r="A25" s="794" t="s">
        <v>639</v>
      </c>
      <c r="B25" s="797">
        <v>10000</v>
      </c>
      <c r="C25" s="291"/>
      <c r="D25" s="338"/>
      <c r="E25" s="338"/>
      <c r="F25" s="338"/>
      <c r="G25" s="338"/>
      <c r="H25" s="338"/>
      <c r="I25" s="338"/>
      <c r="J25" s="338"/>
    </row>
    <row r="26" spans="1:13">
      <c r="A26" s="794" t="s">
        <v>728</v>
      </c>
      <c r="B26" s="797">
        <v>6350</v>
      </c>
      <c r="C26" s="291"/>
      <c r="D26" s="338"/>
      <c r="E26" s="338"/>
      <c r="F26" s="338"/>
      <c r="G26" s="338"/>
      <c r="H26" s="338"/>
      <c r="I26" s="338"/>
      <c r="J26" s="338"/>
    </row>
    <row r="27" spans="1:13">
      <c r="A27" s="794" t="s">
        <v>729</v>
      </c>
      <c r="B27" s="797">
        <v>5940</v>
      </c>
      <c r="C27" s="291"/>
      <c r="D27" s="338"/>
      <c r="E27" s="338"/>
      <c r="F27" s="338"/>
      <c r="G27" s="338"/>
      <c r="H27" s="338"/>
      <c r="I27" s="338"/>
      <c r="J27" s="338"/>
    </row>
    <row r="28" spans="1:13" ht="15.75" customHeight="1">
      <c r="A28" s="798" t="s">
        <v>732</v>
      </c>
      <c r="B28" s="799">
        <v>70000</v>
      </c>
      <c r="C28" s="291"/>
      <c r="D28" s="338"/>
      <c r="E28" s="338"/>
      <c r="F28" s="338"/>
      <c r="G28" s="338"/>
      <c r="H28" s="338"/>
      <c r="I28" s="338"/>
      <c r="J28" s="338"/>
    </row>
    <row r="29" spans="1:13">
      <c r="A29" s="800" t="s">
        <v>733</v>
      </c>
      <c r="B29" s="801">
        <v>18453</v>
      </c>
      <c r="C29" s="291"/>
      <c r="D29" s="338"/>
      <c r="E29" s="338"/>
      <c r="F29" s="338"/>
      <c r="G29" s="338"/>
      <c r="H29" s="338"/>
      <c r="I29" s="338"/>
      <c r="J29" s="338"/>
    </row>
    <row r="30" spans="1:13">
      <c r="A30" s="794" t="s">
        <v>734</v>
      </c>
      <c r="B30" s="797">
        <v>20000</v>
      </c>
      <c r="C30" s="291"/>
      <c r="D30" s="338"/>
      <c r="E30" s="338"/>
      <c r="F30" s="338"/>
      <c r="G30" s="338"/>
      <c r="H30" s="338"/>
      <c r="I30" s="338"/>
      <c r="J30" s="338"/>
    </row>
    <row r="31" spans="1:13">
      <c r="A31" s="794" t="s">
        <v>735</v>
      </c>
      <c r="B31" s="797">
        <v>5000</v>
      </c>
      <c r="C31" s="291"/>
      <c r="D31" s="338"/>
      <c r="E31" s="338"/>
      <c r="F31" s="338"/>
      <c r="G31" s="338"/>
      <c r="H31" s="338"/>
      <c r="I31" s="338"/>
      <c r="J31" s="338"/>
    </row>
    <row r="32" spans="1:13">
      <c r="A32" s="794" t="s">
        <v>783</v>
      </c>
      <c r="B32" s="797">
        <v>15000</v>
      </c>
      <c r="C32" s="291"/>
      <c r="D32" s="338"/>
      <c r="E32" s="338"/>
      <c r="F32" s="338"/>
      <c r="G32" s="338"/>
      <c r="H32" s="338"/>
      <c r="I32" s="338"/>
      <c r="J32" s="338"/>
    </row>
    <row r="33" spans="1:10">
      <c r="A33" s="794" t="s">
        <v>739</v>
      </c>
      <c r="B33" s="797">
        <v>2500</v>
      </c>
      <c r="C33" s="291"/>
      <c r="D33" s="338"/>
      <c r="E33" s="338"/>
      <c r="F33" s="338"/>
      <c r="G33" s="338"/>
      <c r="H33" s="338"/>
      <c r="I33" s="338"/>
      <c r="J33" s="338"/>
    </row>
    <row r="34" spans="1:10">
      <c r="A34" s="794" t="s">
        <v>741</v>
      </c>
      <c r="B34" s="797">
        <v>3000</v>
      </c>
      <c r="C34" s="291"/>
      <c r="D34" s="338"/>
      <c r="E34" s="338"/>
      <c r="F34" s="338"/>
      <c r="G34" s="338"/>
      <c r="H34" s="338"/>
      <c r="I34" s="338"/>
      <c r="J34" s="338"/>
    </row>
    <row r="35" spans="1:10" ht="15" customHeight="1">
      <c r="A35" s="794" t="s">
        <v>742</v>
      </c>
      <c r="B35" s="797">
        <v>17691</v>
      </c>
      <c r="C35" s="291"/>
      <c r="D35" s="338"/>
      <c r="E35" s="338"/>
      <c r="F35" s="338"/>
      <c r="G35" s="338"/>
      <c r="H35" s="338"/>
      <c r="I35" s="338"/>
      <c r="J35" s="338"/>
    </row>
    <row r="36" spans="1:10">
      <c r="A36" s="794" t="s">
        <v>786</v>
      </c>
      <c r="B36" s="797">
        <v>27000</v>
      </c>
      <c r="C36" s="291"/>
      <c r="D36" s="338"/>
      <c r="E36" s="338"/>
      <c r="F36" s="338"/>
      <c r="G36" s="338"/>
      <c r="H36" s="338"/>
      <c r="I36" s="338"/>
      <c r="J36" s="338"/>
    </row>
    <row r="37" spans="1:10">
      <c r="A37" s="794" t="s">
        <v>745</v>
      </c>
      <c r="B37" s="797">
        <v>6350</v>
      </c>
      <c r="C37" s="291"/>
      <c r="D37" s="338"/>
      <c r="E37" s="338"/>
      <c r="F37" s="338"/>
      <c r="G37" s="338"/>
      <c r="H37" s="338"/>
      <c r="I37" s="338"/>
      <c r="J37" s="338"/>
    </row>
    <row r="38" spans="1:10">
      <c r="A38" s="794" t="s">
        <v>782</v>
      </c>
      <c r="B38" s="797">
        <v>6350</v>
      </c>
      <c r="C38" s="291"/>
      <c r="D38" s="338"/>
      <c r="E38" s="338"/>
      <c r="F38" s="338"/>
      <c r="G38" s="338"/>
      <c r="H38" s="338"/>
      <c r="I38" s="338"/>
      <c r="J38" s="338"/>
    </row>
    <row r="39" spans="1:10">
      <c r="A39" s="794" t="s">
        <v>754</v>
      </c>
      <c r="B39" s="797">
        <v>10160</v>
      </c>
      <c r="C39" s="291"/>
      <c r="D39" s="338"/>
      <c r="E39" s="338"/>
      <c r="F39" s="338"/>
      <c r="G39" s="338"/>
      <c r="H39" s="338"/>
      <c r="I39" s="338"/>
      <c r="J39" s="338"/>
    </row>
    <row r="40" spans="1:10" ht="15.75">
      <c r="A40" s="802" t="s">
        <v>755</v>
      </c>
      <c r="B40" s="797">
        <v>2000</v>
      </c>
      <c r="C40" s="291"/>
      <c r="D40" s="338"/>
      <c r="E40" s="338"/>
      <c r="F40" s="338"/>
      <c r="G40" s="338"/>
      <c r="H40" s="338"/>
      <c r="I40" s="338"/>
      <c r="J40" s="338"/>
    </row>
    <row r="41" spans="1:10" ht="15.75">
      <c r="A41" s="802" t="s">
        <v>756</v>
      </c>
      <c r="B41" s="797">
        <v>27400</v>
      </c>
      <c r="C41" s="291"/>
      <c r="D41" s="338"/>
      <c r="E41" s="338"/>
      <c r="F41" s="338"/>
      <c r="G41" s="338"/>
      <c r="H41" s="338"/>
      <c r="I41" s="338"/>
      <c r="J41" s="338"/>
    </row>
    <row r="42" spans="1:10">
      <c r="A42" s="794" t="s">
        <v>757</v>
      </c>
      <c r="B42" s="797">
        <v>4000</v>
      </c>
      <c r="C42" s="291"/>
      <c r="D42" s="338"/>
      <c r="E42" s="338"/>
      <c r="F42" s="338"/>
      <c r="G42" s="338"/>
      <c r="H42" s="338"/>
      <c r="I42" s="338"/>
      <c r="J42" s="338"/>
    </row>
    <row r="43" spans="1:10">
      <c r="A43" s="803" t="s">
        <v>758</v>
      </c>
      <c r="B43" s="804">
        <v>2000</v>
      </c>
      <c r="C43" s="291"/>
      <c r="D43" s="338"/>
      <c r="E43" s="338"/>
      <c r="F43" s="338"/>
      <c r="G43" s="338"/>
      <c r="H43" s="338"/>
      <c r="I43" s="338"/>
      <c r="J43" s="338"/>
    </row>
    <row r="44" spans="1:10">
      <c r="A44" s="803" t="s">
        <v>759</v>
      </c>
      <c r="B44" s="804">
        <v>6218</v>
      </c>
      <c r="C44" s="291"/>
      <c r="D44" s="338"/>
      <c r="E44" s="338"/>
      <c r="F44" s="338"/>
      <c r="G44" s="338"/>
      <c r="H44" s="338"/>
      <c r="I44" s="338"/>
      <c r="J44" s="338"/>
    </row>
    <row r="45" spans="1:10">
      <c r="A45" s="803" t="s">
        <v>764</v>
      </c>
      <c r="B45" s="804">
        <v>1500</v>
      </c>
      <c r="C45" s="291"/>
      <c r="D45" s="338"/>
      <c r="E45" s="338"/>
      <c r="F45" s="338"/>
      <c r="G45" s="338"/>
      <c r="H45" s="338"/>
      <c r="I45" s="338"/>
      <c r="J45" s="338"/>
    </row>
    <row r="46" spans="1:10">
      <c r="A46" s="794" t="s">
        <v>768</v>
      </c>
      <c r="B46" s="804">
        <v>1800</v>
      </c>
      <c r="C46" s="291"/>
      <c r="D46" s="338"/>
      <c r="E46" s="338"/>
      <c r="F46" s="338"/>
      <c r="G46" s="338"/>
      <c r="H46" s="338"/>
      <c r="I46" s="338"/>
      <c r="J46" s="338"/>
    </row>
    <row r="47" spans="1:10" ht="15.75">
      <c r="A47" s="805" t="s">
        <v>769</v>
      </c>
      <c r="B47" s="804">
        <v>1200</v>
      </c>
      <c r="C47" s="291"/>
      <c r="D47" s="338"/>
      <c r="E47" s="338"/>
      <c r="F47" s="338"/>
      <c r="G47" s="338"/>
      <c r="H47" s="338"/>
      <c r="I47" s="338"/>
      <c r="J47" s="338"/>
    </row>
    <row r="48" spans="1:10" ht="15.75">
      <c r="A48" s="806" t="s">
        <v>781</v>
      </c>
      <c r="B48" s="804">
        <v>7000</v>
      </c>
      <c r="C48" s="291"/>
      <c r="D48" s="338"/>
      <c r="E48" s="338"/>
      <c r="F48" s="338"/>
      <c r="G48" s="338"/>
      <c r="H48" s="338"/>
      <c r="I48" s="338"/>
      <c r="J48" s="338"/>
    </row>
    <row r="49" spans="1:10" ht="15.75">
      <c r="A49" s="807" t="s">
        <v>785</v>
      </c>
      <c r="B49" s="804">
        <v>15000</v>
      </c>
      <c r="C49" s="291"/>
      <c r="D49" s="338"/>
      <c r="E49" s="338"/>
      <c r="F49" s="338"/>
      <c r="G49" s="338"/>
      <c r="H49" s="338"/>
      <c r="I49" s="338"/>
      <c r="J49" s="338"/>
    </row>
    <row r="50" spans="1:10" ht="15.75">
      <c r="A50" s="807" t="s">
        <v>793</v>
      </c>
      <c r="B50" s="804">
        <v>5000</v>
      </c>
      <c r="C50" s="291"/>
      <c r="D50" s="338"/>
      <c r="E50" s="338"/>
      <c r="F50" s="338"/>
      <c r="G50" s="338"/>
      <c r="H50" s="338"/>
      <c r="I50" s="338"/>
      <c r="J50" s="338"/>
    </row>
    <row r="51" spans="1:10" ht="15" customHeight="1" thickBot="1">
      <c r="A51" s="803"/>
      <c r="B51" s="453"/>
      <c r="C51" s="291"/>
      <c r="D51" s="338"/>
      <c r="E51" s="338"/>
      <c r="F51" s="338"/>
      <c r="G51" s="338"/>
      <c r="H51" s="338"/>
      <c r="I51" s="338"/>
      <c r="J51" s="338"/>
    </row>
    <row r="52" spans="1:10" ht="15" customHeight="1" thickBot="1">
      <c r="A52" s="226" t="s">
        <v>70</v>
      </c>
      <c r="B52" s="454">
        <f>B53+B67</f>
        <v>14659</v>
      </c>
      <c r="C52" s="291"/>
      <c r="D52" s="338"/>
      <c r="E52" s="338"/>
      <c r="F52" s="338"/>
      <c r="G52" s="338"/>
      <c r="H52" s="338"/>
      <c r="I52" s="338"/>
      <c r="J52" s="338"/>
    </row>
    <row r="53" spans="1:10" ht="15" customHeight="1">
      <c r="A53" s="833" t="s">
        <v>121</v>
      </c>
      <c r="B53" s="834">
        <f>SUM(B54:B66)</f>
        <v>14559</v>
      </c>
      <c r="C53" s="291"/>
      <c r="D53" s="338"/>
      <c r="E53" s="338"/>
      <c r="F53" s="338"/>
      <c r="G53" s="338"/>
      <c r="H53" s="338"/>
      <c r="I53" s="338"/>
      <c r="J53" s="338"/>
    </row>
    <row r="54" spans="1:10" ht="17.25" customHeight="1">
      <c r="A54" s="455" t="s">
        <v>621</v>
      </c>
      <c r="B54" s="521">
        <v>5000</v>
      </c>
      <c r="C54" s="291"/>
      <c r="D54" s="338"/>
      <c r="E54" s="338"/>
      <c r="F54" s="338"/>
      <c r="G54" s="338"/>
      <c r="H54" s="338"/>
      <c r="I54" s="338"/>
      <c r="J54" s="338"/>
    </row>
    <row r="55" spans="1:10" ht="14.25" customHeight="1">
      <c r="A55" s="787" t="s">
        <v>622</v>
      </c>
      <c r="B55" s="801">
        <v>450</v>
      </c>
      <c r="C55" s="291"/>
      <c r="D55" s="338"/>
      <c r="E55" s="338"/>
      <c r="F55" s="338"/>
      <c r="G55" s="338"/>
      <c r="H55" s="338"/>
      <c r="I55" s="338"/>
      <c r="J55" s="338"/>
    </row>
    <row r="56" spans="1:10">
      <c r="A56" s="787" t="s">
        <v>623</v>
      </c>
      <c r="B56" s="797">
        <v>600</v>
      </c>
      <c r="C56" s="291"/>
      <c r="D56" s="338"/>
      <c r="E56" s="338"/>
      <c r="F56" s="338"/>
      <c r="G56" s="338"/>
      <c r="H56" s="338"/>
      <c r="I56" s="338"/>
      <c r="J56" s="338"/>
    </row>
    <row r="57" spans="1:10">
      <c r="A57" s="787" t="s">
        <v>624</v>
      </c>
      <c r="B57" s="801">
        <v>250</v>
      </c>
      <c r="C57" s="291"/>
      <c r="D57" s="338"/>
      <c r="E57" s="338"/>
      <c r="F57" s="338"/>
      <c r="G57" s="338"/>
      <c r="H57" s="338"/>
      <c r="I57" s="338"/>
      <c r="J57" s="338"/>
    </row>
    <row r="58" spans="1:10">
      <c r="A58" s="787" t="s">
        <v>625</v>
      </c>
      <c r="B58" s="797">
        <v>2655</v>
      </c>
      <c r="C58" s="291"/>
      <c r="D58" s="338"/>
      <c r="E58" s="338"/>
      <c r="F58" s="338"/>
      <c r="G58" s="338"/>
      <c r="H58" s="338"/>
      <c r="I58" s="338"/>
      <c r="J58" s="338"/>
    </row>
    <row r="59" spans="1:10">
      <c r="A59" s="787" t="s">
        <v>626</v>
      </c>
      <c r="B59" s="797">
        <v>1232</v>
      </c>
      <c r="C59" s="291"/>
      <c r="D59" s="338"/>
      <c r="E59" s="338"/>
      <c r="F59" s="338"/>
      <c r="G59" s="338"/>
      <c r="H59" s="338"/>
      <c r="I59" s="338"/>
      <c r="J59" s="338"/>
    </row>
    <row r="60" spans="1:10">
      <c r="A60" s="794" t="s">
        <v>630</v>
      </c>
      <c r="B60" s="797">
        <v>1302</v>
      </c>
      <c r="C60" s="291"/>
      <c r="D60" s="338"/>
      <c r="E60" s="338"/>
      <c r="F60" s="338"/>
      <c r="G60" s="338"/>
      <c r="H60" s="338"/>
      <c r="I60" s="338"/>
      <c r="J60" s="338"/>
    </row>
    <row r="61" spans="1:10">
      <c r="A61" s="794" t="s">
        <v>631</v>
      </c>
      <c r="B61" s="797">
        <v>210</v>
      </c>
      <c r="C61" s="291"/>
      <c r="D61" s="338"/>
      <c r="E61" s="338"/>
      <c r="F61" s="338"/>
      <c r="G61" s="338"/>
      <c r="H61" s="338"/>
      <c r="I61" s="338"/>
      <c r="J61" s="338"/>
    </row>
    <row r="62" spans="1:10" ht="15.75">
      <c r="A62" s="805" t="s">
        <v>632</v>
      </c>
      <c r="B62" s="797">
        <v>1257</v>
      </c>
      <c r="C62" s="291"/>
      <c r="D62" s="338"/>
      <c r="E62" s="338"/>
      <c r="F62" s="338"/>
      <c r="G62" s="338"/>
      <c r="H62" s="338"/>
      <c r="I62" s="338"/>
      <c r="J62" s="338"/>
    </row>
    <row r="63" spans="1:10">
      <c r="A63" s="794" t="s">
        <v>633</v>
      </c>
      <c r="B63" s="797">
        <v>489</v>
      </c>
      <c r="C63" s="291"/>
      <c r="D63" s="338"/>
      <c r="E63" s="338"/>
      <c r="F63" s="338"/>
      <c r="G63" s="338"/>
      <c r="H63" s="338"/>
      <c r="I63" s="338"/>
      <c r="J63" s="338"/>
    </row>
    <row r="64" spans="1:10">
      <c r="A64" s="787" t="s">
        <v>634</v>
      </c>
      <c r="B64" s="785">
        <v>914</v>
      </c>
      <c r="C64" s="291"/>
      <c r="D64" s="338"/>
      <c r="E64" s="338"/>
      <c r="F64" s="338"/>
      <c r="G64" s="338"/>
      <c r="H64" s="338"/>
      <c r="I64" s="338"/>
      <c r="J64" s="338"/>
    </row>
    <row r="65" spans="1:15">
      <c r="A65" s="787" t="s">
        <v>641</v>
      </c>
      <c r="B65" s="785">
        <v>200</v>
      </c>
      <c r="C65" s="291"/>
      <c r="D65" s="338"/>
      <c r="E65" s="338"/>
      <c r="F65" s="338"/>
      <c r="G65" s="338"/>
      <c r="H65" s="338"/>
      <c r="I65" s="338"/>
      <c r="J65" s="338"/>
    </row>
    <row r="66" spans="1:15">
      <c r="A66" s="787"/>
      <c r="B66" s="785"/>
      <c r="C66" s="291"/>
      <c r="D66" s="338"/>
      <c r="E66" s="338"/>
      <c r="F66" s="338"/>
      <c r="G66" s="338"/>
      <c r="H66" s="338"/>
      <c r="I66" s="338"/>
      <c r="J66" s="338"/>
    </row>
    <row r="67" spans="1:15">
      <c r="A67" s="780" t="s">
        <v>637</v>
      </c>
      <c r="B67" s="791">
        <f>SUM(B68)</f>
        <v>100</v>
      </c>
      <c r="C67" s="291"/>
      <c r="D67" s="338"/>
      <c r="E67" s="338"/>
      <c r="F67" s="338"/>
      <c r="G67" s="338"/>
      <c r="H67" s="338"/>
      <c r="I67" s="338"/>
      <c r="J67" s="338"/>
    </row>
    <row r="68" spans="1:15">
      <c r="A68" s="929" t="s">
        <v>638</v>
      </c>
      <c r="B68" s="785">
        <v>100</v>
      </c>
      <c r="C68" s="291"/>
      <c r="D68" s="338"/>
      <c r="E68" s="338"/>
      <c r="F68" s="338"/>
      <c r="G68" s="338"/>
      <c r="H68" s="338"/>
      <c r="I68" s="338"/>
      <c r="J68" s="338"/>
    </row>
    <row r="69" spans="1:15">
      <c r="A69" s="842"/>
      <c r="B69" s="785"/>
      <c r="C69" s="291"/>
      <c r="D69" s="338"/>
      <c r="E69" s="338"/>
      <c r="F69" s="338"/>
      <c r="G69" s="338"/>
      <c r="H69" s="338"/>
      <c r="I69" s="338"/>
      <c r="J69" s="338"/>
    </row>
    <row r="70" spans="1:15" ht="15.75" thickBot="1">
      <c r="A70" s="927" t="s">
        <v>156</v>
      </c>
      <c r="B70" s="928">
        <f>B72+B80+B87+B91+B95+B98+B101+B104+B108+B111+B119+B76</f>
        <v>50753</v>
      </c>
      <c r="C70" s="291"/>
      <c r="D70" s="338"/>
      <c r="E70" s="338"/>
      <c r="F70" s="338"/>
      <c r="G70" s="338"/>
      <c r="H70" s="338"/>
      <c r="I70" s="338"/>
      <c r="J70" s="338"/>
    </row>
    <row r="71" spans="1:15" ht="16.5" customHeight="1">
      <c r="A71" s="455"/>
      <c r="B71" s="450"/>
      <c r="C71" s="291"/>
      <c r="D71" s="338"/>
      <c r="E71" s="338"/>
      <c r="F71" s="338"/>
      <c r="G71" s="338"/>
      <c r="H71" s="338"/>
      <c r="I71" s="338"/>
      <c r="J71" s="338"/>
    </row>
    <row r="72" spans="1:15" s="94" customFormat="1">
      <c r="A72" s="780" t="s">
        <v>853</v>
      </c>
      <c r="B72" s="784">
        <f>SUM(B73:B74)</f>
        <v>5342</v>
      </c>
      <c r="C72" s="339"/>
      <c r="D72" s="339"/>
      <c r="E72" s="339"/>
      <c r="F72" s="339"/>
      <c r="G72" s="339"/>
      <c r="H72" s="339"/>
      <c r="I72" s="339"/>
      <c r="J72" s="339"/>
      <c r="K72" s="155"/>
      <c r="L72" s="155"/>
      <c r="M72" s="155"/>
      <c r="N72" s="155"/>
      <c r="O72" s="155"/>
    </row>
    <row r="73" spans="1:15" ht="15.75">
      <c r="A73" s="808" t="s">
        <v>832</v>
      </c>
      <c r="B73" s="809">
        <v>4190</v>
      </c>
      <c r="C73" s="291"/>
      <c r="D73" s="291"/>
      <c r="E73" s="291"/>
      <c r="F73" s="291"/>
      <c r="G73" s="291"/>
      <c r="H73" s="291"/>
      <c r="I73" s="291"/>
      <c r="J73" s="291"/>
    </row>
    <row r="74" spans="1:15" ht="15.75">
      <c r="A74" s="810" t="s">
        <v>833</v>
      </c>
      <c r="B74" s="781">
        <v>1152</v>
      </c>
      <c r="C74" s="291"/>
      <c r="D74" s="291"/>
      <c r="E74" s="291"/>
      <c r="F74" s="291"/>
      <c r="G74" s="291"/>
      <c r="H74" s="291"/>
      <c r="I74" s="291"/>
      <c r="J74" s="291"/>
    </row>
    <row r="75" spans="1:15" ht="15.75">
      <c r="A75" s="811"/>
      <c r="B75" s="782"/>
      <c r="C75" s="291"/>
      <c r="D75" s="291"/>
      <c r="E75" s="291"/>
      <c r="F75" s="291"/>
      <c r="G75" s="291"/>
      <c r="H75" s="291"/>
      <c r="I75" s="291"/>
      <c r="J75" s="291"/>
    </row>
    <row r="76" spans="1:15">
      <c r="A76" s="780" t="s">
        <v>191</v>
      </c>
      <c r="B76" s="784">
        <f>SUM(B77:B78)</f>
        <v>1240</v>
      </c>
      <c r="C76" s="291"/>
      <c r="D76" s="291"/>
      <c r="E76" s="291"/>
      <c r="F76" s="291"/>
      <c r="G76" s="291"/>
      <c r="H76" s="291"/>
      <c r="I76" s="291"/>
      <c r="J76" s="291"/>
    </row>
    <row r="77" spans="1:15" ht="15.75">
      <c r="A77" s="812" t="s">
        <v>834</v>
      </c>
      <c r="B77" s="785">
        <v>540</v>
      </c>
      <c r="C77" s="291"/>
      <c r="D77" s="291"/>
      <c r="E77" s="291"/>
      <c r="F77" s="291"/>
      <c r="G77" s="291"/>
      <c r="H77" s="291"/>
      <c r="I77" s="291"/>
      <c r="J77" s="291"/>
    </row>
    <row r="78" spans="1:15" ht="15.75">
      <c r="A78" s="812" t="s">
        <v>835</v>
      </c>
      <c r="B78" s="785">
        <v>700</v>
      </c>
      <c r="C78" s="291"/>
      <c r="D78" s="291"/>
      <c r="E78" s="291"/>
      <c r="F78" s="291"/>
      <c r="G78" s="291"/>
      <c r="H78" s="291"/>
      <c r="I78" s="291"/>
      <c r="J78" s="291"/>
    </row>
    <row r="79" spans="1:15" ht="15.75">
      <c r="A79" s="812"/>
      <c r="B79" s="785"/>
      <c r="C79" s="291"/>
      <c r="D79" s="291"/>
      <c r="E79" s="291"/>
      <c r="F79" s="291"/>
      <c r="G79" s="291"/>
      <c r="H79" s="291"/>
      <c r="I79" s="291"/>
      <c r="J79" s="291"/>
    </row>
    <row r="80" spans="1:15">
      <c r="A80" s="780" t="s">
        <v>132</v>
      </c>
      <c r="B80" s="784">
        <f>SUM(B81:B85)</f>
        <v>3820</v>
      </c>
      <c r="C80" s="291"/>
      <c r="D80" s="291"/>
      <c r="E80" s="291"/>
      <c r="F80" s="291"/>
      <c r="G80" s="291"/>
      <c r="H80" s="291"/>
      <c r="I80" s="291"/>
      <c r="J80" s="291"/>
    </row>
    <row r="81" spans="1:15" ht="15.75">
      <c r="A81" s="812" t="s">
        <v>836</v>
      </c>
      <c r="B81" s="785">
        <v>850</v>
      </c>
      <c r="C81" s="291"/>
      <c r="D81" s="291"/>
      <c r="E81" s="291"/>
      <c r="F81" s="291"/>
      <c r="G81" s="291"/>
      <c r="H81" s="291"/>
      <c r="I81" s="291"/>
      <c r="J81" s="291"/>
    </row>
    <row r="82" spans="1:15" s="94" customFormat="1" ht="15.75" customHeight="1">
      <c r="A82" s="812" t="s">
        <v>837</v>
      </c>
      <c r="B82" s="785">
        <v>800</v>
      </c>
      <c r="C82" s="339"/>
      <c r="D82" s="339"/>
      <c r="E82" s="339"/>
      <c r="F82" s="339"/>
      <c r="G82" s="339"/>
      <c r="H82" s="339"/>
      <c r="I82" s="339"/>
      <c r="J82" s="339"/>
      <c r="K82" s="155"/>
      <c r="L82" s="155"/>
      <c r="M82" s="155"/>
      <c r="N82" s="155"/>
      <c r="O82" s="155"/>
    </row>
    <row r="83" spans="1:15" ht="18" customHeight="1">
      <c r="A83" s="812" t="s">
        <v>838</v>
      </c>
      <c r="B83" s="785">
        <v>600</v>
      </c>
    </row>
    <row r="84" spans="1:15" ht="18" customHeight="1">
      <c r="A84" s="812" t="s">
        <v>839</v>
      </c>
      <c r="B84" s="785">
        <v>370</v>
      </c>
    </row>
    <row r="85" spans="1:15" ht="18" customHeight="1">
      <c r="A85" s="812" t="s">
        <v>840</v>
      </c>
      <c r="B85" s="785">
        <v>1200</v>
      </c>
    </row>
    <row r="86" spans="1:15" s="94" customFormat="1" ht="15.75" customHeight="1">
      <c r="A86" s="787"/>
      <c r="B86" s="785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</row>
    <row r="87" spans="1:15">
      <c r="A87" s="780" t="s">
        <v>135</v>
      </c>
      <c r="B87" s="784">
        <f>SUM(B88:B90)</f>
        <v>5150</v>
      </c>
    </row>
    <row r="88" spans="1:15" ht="15.75">
      <c r="A88" s="808" t="s">
        <v>841</v>
      </c>
      <c r="B88" s="785">
        <v>3000</v>
      </c>
    </row>
    <row r="89" spans="1:15" s="94" customFormat="1" ht="15.75">
      <c r="A89" s="808" t="s">
        <v>832</v>
      </c>
      <c r="B89" s="785">
        <v>2150</v>
      </c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</row>
    <row r="90" spans="1:15">
      <c r="A90" s="787"/>
      <c r="B90" s="785"/>
    </row>
    <row r="91" spans="1:15">
      <c r="A91" s="780" t="s">
        <v>187</v>
      </c>
      <c r="B91" s="784">
        <f>SUM(B92:B93)</f>
        <v>1442</v>
      </c>
    </row>
    <row r="92" spans="1:15" ht="15.75">
      <c r="A92" s="808" t="s">
        <v>832</v>
      </c>
      <c r="B92" s="785">
        <v>442</v>
      </c>
    </row>
    <row r="93" spans="1:15" ht="15.75">
      <c r="A93" s="808" t="s">
        <v>842</v>
      </c>
      <c r="B93" s="785">
        <v>1000</v>
      </c>
    </row>
    <row r="94" spans="1:15">
      <c r="A94" s="787"/>
      <c r="B94" s="785"/>
    </row>
    <row r="95" spans="1:15">
      <c r="A95" s="780" t="s">
        <v>134</v>
      </c>
      <c r="B95" s="784">
        <f>SUM(B96:B96)</f>
        <v>650</v>
      </c>
    </row>
    <row r="96" spans="1:15" ht="15.75">
      <c r="A96" s="808" t="s">
        <v>832</v>
      </c>
      <c r="B96" s="813">
        <v>650</v>
      </c>
    </row>
    <row r="97" spans="1:15">
      <c r="A97" s="787"/>
      <c r="B97" s="785"/>
    </row>
    <row r="98" spans="1:15" s="94" customFormat="1">
      <c r="A98" s="780" t="s">
        <v>133</v>
      </c>
      <c r="B98" s="784">
        <f>SUM(B99:B99)</f>
        <v>480</v>
      </c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</row>
    <row r="99" spans="1:15" ht="15.75">
      <c r="A99" s="808" t="s">
        <v>832</v>
      </c>
      <c r="B99" s="814">
        <v>480</v>
      </c>
    </row>
    <row r="100" spans="1:15">
      <c r="A100" s="787"/>
      <c r="B100" s="785"/>
    </row>
    <row r="101" spans="1:15">
      <c r="A101" s="780" t="s">
        <v>821</v>
      </c>
      <c r="B101" s="784">
        <f>SUM(B102:B102)</f>
        <v>130</v>
      </c>
    </row>
    <row r="102" spans="1:15" ht="15.75">
      <c r="A102" s="808" t="s">
        <v>843</v>
      </c>
      <c r="B102" s="815">
        <v>130</v>
      </c>
    </row>
    <row r="103" spans="1:15" ht="15.75">
      <c r="A103" s="816"/>
      <c r="B103" s="815"/>
    </row>
    <row r="104" spans="1:15" s="94" customFormat="1">
      <c r="A104" s="817" t="s">
        <v>146</v>
      </c>
      <c r="B104" s="818">
        <f>SUM(B105:B106)</f>
        <v>1800</v>
      </c>
      <c r="C104" s="155"/>
      <c r="D104" s="155"/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</row>
    <row r="105" spans="1:15" ht="15.75" customHeight="1" thickBot="1">
      <c r="A105" s="819" t="s">
        <v>844</v>
      </c>
      <c r="B105" s="815">
        <v>800</v>
      </c>
    </row>
    <row r="106" spans="1:15">
      <c r="A106" s="819" t="s">
        <v>845</v>
      </c>
      <c r="B106" s="815">
        <v>1000</v>
      </c>
    </row>
    <row r="107" spans="1:15">
      <c r="A107" s="819"/>
      <c r="B107" s="815"/>
    </row>
    <row r="108" spans="1:15">
      <c r="A108" s="817" t="s">
        <v>151</v>
      </c>
      <c r="B108" s="818">
        <f>SUM(B109:B109)</f>
        <v>1647</v>
      </c>
    </row>
    <row r="109" spans="1:15" s="94" customFormat="1" ht="15.75">
      <c r="A109" s="808" t="s">
        <v>846</v>
      </c>
      <c r="B109" s="813">
        <v>1647</v>
      </c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</row>
    <row r="110" spans="1:15">
      <c r="A110" s="787"/>
      <c r="B110" s="785"/>
    </row>
    <row r="111" spans="1:15">
      <c r="A111" s="780" t="s">
        <v>149</v>
      </c>
      <c r="B111" s="784">
        <f>SUM(B112:B117)</f>
        <v>26000</v>
      </c>
    </row>
    <row r="112" spans="1:15" ht="15.75">
      <c r="A112" s="820" t="s">
        <v>847</v>
      </c>
      <c r="B112" s="788">
        <v>8000</v>
      </c>
    </row>
    <row r="113" spans="1:15" ht="15.75">
      <c r="A113" s="820" t="s">
        <v>848</v>
      </c>
      <c r="B113" s="788">
        <v>3000</v>
      </c>
    </row>
    <row r="114" spans="1:15" ht="15.75">
      <c r="A114" s="820" t="s">
        <v>849</v>
      </c>
      <c r="B114" s="788">
        <v>2000</v>
      </c>
    </row>
    <row r="115" spans="1:15" ht="15.75">
      <c r="A115" s="820" t="s">
        <v>850</v>
      </c>
      <c r="B115" s="788">
        <v>2000</v>
      </c>
    </row>
    <row r="116" spans="1:15" s="94" customFormat="1" ht="15" customHeight="1">
      <c r="A116" s="820" t="s">
        <v>851</v>
      </c>
      <c r="B116" s="788">
        <v>3000</v>
      </c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</row>
    <row r="117" spans="1:15" s="94" customFormat="1" ht="15" customHeight="1">
      <c r="A117" s="888" t="s">
        <v>863</v>
      </c>
      <c r="B117" s="788">
        <v>8000</v>
      </c>
      <c r="C117" s="155"/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</row>
    <row r="118" spans="1:15" ht="15.75">
      <c r="A118" s="787"/>
      <c r="B118" s="788"/>
    </row>
    <row r="119" spans="1:15" s="94" customFormat="1">
      <c r="A119" s="780" t="s">
        <v>150</v>
      </c>
      <c r="B119" s="784">
        <f>SUM(B120:B121)</f>
        <v>3052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</row>
    <row r="120" spans="1:15" ht="15" customHeight="1">
      <c r="A120" s="789" t="s">
        <v>852</v>
      </c>
      <c r="B120" s="790">
        <v>2902</v>
      </c>
    </row>
    <row r="121" spans="1:15" ht="13.5" customHeight="1" thickBot="1">
      <c r="A121" s="787" t="s">
        <v>864</v>
      </c>
      <c r="B121" s="545">
        <v>150</v>
      </c>
    </row>
    <row r="122" spans="1:15" ht="13.5" customHeight="1" thickBot="1">
      <c r="A122" s="224" t="s">
        <v>64</v>
      </c>
      <c r="B122" s="448">
        <f>B4+B52+B70</f>
        <v>2196341</v>
      </c>
    </row>
    <row r="123" spans="1:15" ht="13.5" customHeight="1">
      <c r="A123" s="40"/>
    </row>
    <row r="124" spans="1:15" ht="13.5" customHeight="1">
      <c r="A124" s="40"/>
    </row>
    <row r="125" spans="1:15" ht="13.5" customHeight="1">
      <c r="A125" s="140"/>
    </row>
    <row r="126" spans="1:15" ht="13.5" customHeight="1">
      <c r="A126" s="140"/>
    </row>
    <row r="127" spans="1:15" ht="13.5" customHeight="1">
      <c r="A127" s="41"/>
    </row>
    <row r="128" spans="1:15" ht="13.5" customHeight="1">
      <c r="A128" s="42"/>
    </row>
    <row r="129" spans="1:1" ht="13.5" customHeight="1">
      <c r="A129" s="42"/>
    </row>
    <row r="130" spans="1:1" ht="13.5" customHeight="1">
      <c r="A130" s="42"/>
    </row>
    <row r="131" spans="1:1" ht="13.5" customHeight="1">
      <c r="A131" s="42"/>
    </row>
    <row r="132" spans="1:1" ht="13.5" customHeight="1">
      <c r="A132" s="42"/>
    </row>
    <row r="133" spans="1:1" ht="13.5" customHeight="1">
      <c r="A133" s="42"/>
    </row>
    <row r="134" spans="1:1" ht="13.5" customHeight="1">
      <c r="A134" s="42"/>
    </row>
    <row r="135" spans="1:1" ht="13.5" customHeight="1">
      <c r="A135" s="42"/>
    </row>
    <row r="136" spans="1:1" ht="13.5" customHeight="1">
      <c r="A136" s="42"/>
    </row>
    <row r="137" spans="1:1" ht="13.5" customHeight="1">
      <c r="A137" s="42"/>
    </row>
    <row r="138" spans="1:1" ht="13.5" customHeight="1">
      <c r="A138" s="42"/>
    </row>
    <row r="139" spans="1:1" ht="13.5" customHeight="1">
      <c r="A139" s="42"/>
    </row>
    <row r="140" spans="1:1" ht="13.5" customHeight="1">
      <c r="A140" s="43"/>
    </row>
    <row r="141" spans="1:1">
      <c r="A141" s="41"/>
    </row>
    <row r="142" spans="1:1">
      <c r="A142" s="41"/>
    </row>
    <row r="143" spans="1:1">
      <c r="A143" s="40"/>
    </row>
    <row r="144" spans="1:1">
      <c r="A144" s="40"/>
    </row>
    <row r="145" spans="1:1">
      <c r="A145" s="40"/>
    </row>
    <row r="146" spans="1:1">
      <c r="A146" s="44"/>
    </row>
    <row r="147" spans="1:1">
      <c r="A147" s="41"/>
    </row>
  </sheetData>
  <mergeCells count="1">
    <mergeCell ref="A1:B1"/>
  </mergeCells>
  <pageMargins left="0.67" right="0.70866141732283472" top="0.74803149606299213" bottom="0.74803149606299213" header="0.31496062992125984" footer="0.31496062992125984"/>
  <pageSetup paperSize="9" scale="65" fitToHeight="2" orientation="portrait" r:id="rId1"/>
  <headerFooter>
    <oddHeader>&amp;L&amp;"Times New Roman,Normál"&amp;8 7. melléklet a 24/2019. (XII.19.) önkormányzati rendelethez</oddHeader>
  </headerFooter>
  <rowBreaks count="1" manualBreakCount="1"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7</vt:i4>
      </vt:variant>
    </vt:vector>
  </HeadingPairs>
  <TitlesOfParts>
    <vt:vector size="30" baseType="lpstr">
      <vt:lpstr>1. melléklet</vt:lpstr>
      <vt:lpstr>2. melléklet</vt:lpstr>
      <vt:lpstr>3. melléklet</vt:lpstr>
      <vt:lpstr>4. melléklet</vt:lpstr>
      <vt:lpstr>5. melléklet 1</vt:lpstr>
      <vt:lpstr>5. melléklet 2</vt:lpstr>
      <vt:lpstr>6. melléklet 1</vt:lpstr>
      <vt:lpstr>6. melléklet 2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13.melléklet 1</vt:lpstr>
      <vt:lpstr>13. melléklet 2 </vt:lpstr>
      <vt:lpstr>13. melléklet 3</vt:lpstr>
      <vt:lpstr>14. melléklet 1</vt:lpstr>
      <vt:lpstr>14. melléklet 2</vt:lpstr>
      <vt:lpstr>14. melléklet 3</vt:lpstr>
      <vt:lpstr>15. melléklet</vt:lpstr>
      <vt:lpstr>16. melléklet</vt:lpstr>
      <vt:lpstr>17. melléklet</vt:lpstr>
      <vt:lpstr>'11. melléklet'!Nyomtatási_cím</vt:lpstr>
      <vt:lpstr>'14. melléklet 1'!Nyomtatási_cím</vt:lpstr>
      <vt:lpstr>'14. melléklet 2'!Nyomtatási_cím</vt:lpstr>
      <vt:lpstr>'7. melléklet'!Nyomtatási_cím</vt:lpstr>
      <vt:lpstr>'8. melléklet'!Nyomtatási_cím</vt:lpstr>
      <vt:lpstr>'5. melléklet 2'!Nyomtatási_terület</vt:lpstr>
      <vt:lpstr>'6. melléklet 1'!Nyomtatási_terület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Kerényi Zsuzsanna</dc:creator>
  <cp:lastModifiedBy>Lantai Éva dr.</cp:lastModifiedBy>
  <cp:lastPrinted>2019-12-09T13:46:29Z</cp:lastPrinted>
  <dcterms:created xsi:type="dcterms:W3CDTF">2018-06-06T07:42:41Z</dcterms:created>
  <dcterms:modified xsi:type="dcterms:W3CDTF">2021-02-22T08:21:25Z</dcterms:modified>
</cp:coreProperties>
</file>