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12" firstSheet="1" activeTab="4"/>
  </bookViews>
  <sheets>
    <sheet name="1.sz.mell." sheetId="1" r:id="rId1"/>
    <sheet name="2.1.sz.mell  " sheetId="2" r:id="rId2"/>
    <sheet name="2.2.sz.mell  " sheetId="3" r:id="rId3"/>
    <sheet name="3.sz.mell." sheetId="4" r:id="rId4"/>
    <sheet name="4.sz.mell." sheetId="5" r:id="rId5"/>
    <sheet name="5. sz. mell. " sheetId="6" r:id="rId6"/>
    <sheet name="6.1. sz. mell_k" sheetId="7" r:id="rId7"/>
    <sheet name="6.2. sz. mell_k" sheetId="8" r:id="rId8"/>
    <sheet name="6.3. sz. mell_k" sheetId="9" r:id="rId9"/>
    <sheet name="6.4. sz. mell_k" sheetId="10" r:id="rId10"/>
    <sheet name="7.1. sz. mell_k" sheetId="11" r:id="rId11"/>
    <sheet name="7.2. sz. mell_k" sheetId="12" r:id="rId12"/>
    <sheet name="7.3. sz. mell_k" sheetId="13" r:id="rId13"/>
    <sheet name="7.4. sz. mell_k" sheetId="14" r:id="rId14"/>
    <sheet name="8.1. sz. mell._k" sheetId="15" r:id="rId15"/>
    <sheet name="8.2 sz. mell._k" sheetId="16" r:id="rId16"/>
    <sheet name="8.3. sz. mell._k" sheetId="17" r:id="rId17"/>
    <sheet name="8.4. sz. mell._k" sheetId="18" r:id="rId18"/>
    <sheet name="9. sz. mell_k" sheetId="19" r:id="rId19"/>
    <sheet name="10. sz. mell_k" sheetId="20" r:id="rId20"/>
    <sheet name="11. sz. mell" sheetId="21" r:id="rId21"/>
    <sheet name="1. tájékoztató tábla" sheetId="22" r:id="rId22"/>
    <sheet name="2. tájékoztató tábla" sheetId="23" r:id="rId23"/>
    <sheet name="3. tájékoztató tábla" sheetId="24" r:id="rId24"/>
    <sheet name="4. tájékoztató tábla" sheetId="25" r:id="rId25"/>
    <sheet name="5. tájékoztató tábla" sheetId="26" r:id="rId26"/>
    <sheet name="ÖSSZEFÜGGÉSEK" sheetId="27" r:id="rId27"/>
    <sheet name="ELLENŐRZÉS-1.sz.2.1.sz.2.2.sz." sheetId="28" r:id="rId28"/>
  </sheets>
  <definedNames>
    <definedName name="_ftn1_33">'4. tájékoztató tábla'!$A$29</definedName>
    <definedName name="_ftnref1_33">'4. tájékoztató tábla'!$A$20</definedName>
    <definedName name="Excel_BuiltIn_Print_Area_25">"$#REF!.$A$1:$E$145"</definedName>
    <definedName name="Excel_BuiltIn_Print_Area_31">"$#REF!.$A$1:$E$146"</definedName>
    <definedName name="Excel_BuiltIn_Print_Area_4">"$#REF!.$A$1:$E$146"</definedName>
    <definedName name="Excel_BuiltIn_Print_Area_5">"$#REF!.$A$1:$E$146"</definedName>
    <definedName name="_xlnm.Print_Titles" localSheetId="22">'2. tájékoztató tábla'!$4:$8</definedName>
    <definedName name="_xlnm.Print_Titles" localSheetId="6">'6.1. sz. mell_k'!$1:$6</definedName>
    <definedName name="_xlnm.Print_Titles" localSheetId="7">'6.2. sz. mell_k'!$1:$6</definedName>
    <definedName name="_xlnm.Print_Titles" localSheetId="8">'6.3. sz. mell_k'!$1:$6</definedName>
    <definedName name="_xlnm.Print_Titles" localSheetId="9">'6.4. sz. mell_k'!$1:$6</definedName>
    <definedName name="_xlnm.Print_Titles" localSheetId="10">'7.1. sz. mell_k'!$1:$6</definedName>
    <definedName name="_xlnm.Print_Titles" localSheetId="11">'7.2. sz. mell_k'!$1:$6</definedName>
    <definedName name="_xlnm.Print_Titles" localSheetId="12">'7.3. sz. mell_k'!$1:$6</definedName>
    <definedName name="_xlnm.Print_Titles" localSheetId="13">'7.4. sz. mell_k'!$1:$6</definedName>
    <definedName name="_xlnm.Print_Titles" localSheetId="14">'8.1. sz. mell._k'!$1:$6</definedName>
    <definedName name="_xlnm.Print_Titles" localSheetId="15">'8.2 sz. mell._k'!$1:$6</definedName>
    <definedName name="_xlnm.Print_Titles" localSheetId="16">'8.3. sz. mell._k'!$1:$6</definedName>
    <definedName name="_xlnm.Print_Titles" localSheetId="17">'8.4. sz. mell._k'!$1:$6</definedName>
    <definedName name="_xlnm.Print_Area" localSheetId="0">'1.sz.mell.'!$A$1:$E$153</definedName>
    <definedName name="_xlnm.Print_Area" localSheetId="1">'2.1.sz.mell  '!$A$1:$I$34</definedName>
  </definedNames>
  <calcPr fullCalcOnLoad="1"/>
</workbook>
</file>

<file path=xl/sharedStrings.xml><?xml version="1.0" encoding="utf-8"?>
<sst xmlns="http://schemas.openxmlformats.org/spreadsheetml/2006/main" count="4051" uniqueCount="865">
  <si>
    <t>Költségvetési rendelet űrlapjainak összefüggései: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</si>
  <si>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</si>
  <si>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</si>
  <si>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</si>
  <si>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</si>
  <si>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</si>
  <si>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</si>
  <si>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</si>
  <si>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2.1. számú melléklet D. oszlop 13. sor + 2.2. számú melléklet D. oszlop 12. sor</t>
  </si>
  <si>
    <t>1. sz. melléklet Bevételek táblázat D. oszlop 16 sora =</t>
  </si>
  <si>
    <t>2.1. számú melléklet D. oszlop 22. sor + 2.2. számú melléklet D. oszlop 25. sor</t>
  </si>
  <si>
    <t>1. sz. melléklet Bevételek táblázat D. oszlop 17 sora =</t>
  </si>
  <si>
    <t>2.1. számú melléklet D. oszlop 23. sor + 2.2. számú melléklet D. oszlop 26. sor</t>
  </si>
  <si>
    <t>1. sz. melléklet Bevételek táblázat E. oszlop 9 sora =</t>
  </si>
  <si>
    <t>2.1. számú melléklet E. oszlop 13. sor + 2.2. számú melléklet E. oszlop 12. sor</t>
  </si>
  <si>
    <t>1. sz. melléklet Bevételek táblázat E. oszlop 16 sora =</t>
  </si>
  <si>
    <t>2.1. számú melléklet E. oszlop 22. sor + 2.2. számú melléklet E. oszlop 25. sor</t>
  </si>
  <si>
    <t>1. sz. melléklet Bevételek táblázat E. oszlop 17 sora =</t>
  </si>
  <si>
    <t>2.1. számú melléklet E. oszlop 23. sor + 2.2. számú melléklet E. oszlop 26. sor</t>
  </si>
  <si>
    <t>1. sz. melléklet Kiadások táblázat C. oszlop 4 sora =</t>
  </si>
  <si>
    <t>2.1. számú melléklet G. oszlop 13. sor + 2.2. számú melléklet G. oszlop 12. sor</t>
  </si>
  <si>
    <t>1. sz. melléklet Kiadások táblázat C. oszlop 9 sora =</t>
  </si>
  <si>
    <t>2.1. számú melléklet G. oszlop 22. sor + 2.2. számú melléklet G. oszlop 25. sor</t>
  </si>
  <si>
    <t>1. sz. melléklet Kiadások táblázat C. oszlop 10 sora =</t>
  </si>
  <si>
    <t>2.1. számú melléklet G. oszlop 23. sor + 2.2. számú melléklet G. oszlop 26. sor</t>
  </si>
  <si>
    <t>1. sz. melléklet Kiadások táblázat D. oszlop 4 sora =</t>
  </si>
  <si>
    <t>2.1. számú melléklet H. oszlop 13. sor + 2.2. számú melléklet H. oszlop 12. sor</t>
  </si>
  <si>
    <t>1. sz. melléklet Kiadások táblázat D. oszlop 9 sora =</t>
  </si>
  <si>
    <t>2.1. számú melléklet H. oszlop 22. sor + 2.2. számú melléklet H. oszlop 25. sor</t>
  </si>
  <si>
    <t>1. sz. melléklet Kiadások táblázat D. oszlop 10 sora =</t>
  </si>
  <si>
    <t>2.1. számú melléklet H. oszlop 23. sor + 2.2. számú melléklet H. oszlop 26. sor</t>
  </si>
  <si>
    <t>1. sz. melléklet Kiadások táblázat E. oszlop 4 sora =</t>
  </si>
  <si>
    <t>2.1. számú melléklet I. oszlop 13. sor + 2.2. számú melléklet I. oszlop 12. sor</t>
  </si>
  <si>
    <t>1. sz. melléklet Kiadások táblázat E. oszlop 9 sora =</t>
  </si>
  <si>
    <t>2.1. számú melléklet I. oszlop 22. sor + 2.2. számú melléklet I. oszlop 25. sor</t>
  </si>
  <si>
    <t>1. sz. melléklet Kiadások táblázat E. oszlop 10 sora =</t>
  </si>
  <si>
    <t>2.1. számú melléklet I. oszlop 23. sor + 2.2. számú melléklet I. oszlop 26. sor</t>
  </si>
  <si>
    <t>B E V É T E L E K</t>
  </si>
  <si>
    <t>1. sz. táblázat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</si>
  <si>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</si>
  <si>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</si>
  <si>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</si>
  <si>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</si>
  <si>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</si>
  <si>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</si>
  <si>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</si>
  <si>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</si>
  <si>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</si>
  <si>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</si>
  <si>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</si>
  <si>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</si>
  <si>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</si>
  <si>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</si>
  <si>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</si>
  <si>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</si>
  <si>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</si>
  <si>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</si>
  <si>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</si>
  <si>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</si>
  <si>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</si>
  <si>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</si>
  <si>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</si>
  <si>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</si>
  <si>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</si>
  <si>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</si>
  <si>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</si>
  <si>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</si>
  <si>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</si>
  <si>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</si>
  <si>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</si>
  <si>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</si>
  <si>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</si>
  <si>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</si>
  <si>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</si>
  <si>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</si>
  <si>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</si>
  <si>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</si>
  <si>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</si>
  <si>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</si>
  <si>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</si>
  <si>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</si>
  <si>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</si>
  <si>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</si>
  <si>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</si>
  <si>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</si>
  <si>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</si>
  <si>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</si>
  <si>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</si>
  <si>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</si>
  <si>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</si>
  <si>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</si>
  <si>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</si>
  <si>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</si>
  <si>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</si>
  <si>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</si>
  <si>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</si>
  <si>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</si>
  <si>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</si>
  <si>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</si>
  <si>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</si>
  <si>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</si>
  <si>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</si>
  <si>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</si>
  <si>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</si>
  <si>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</si>
  <si>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</si>
  <si>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</si>
  <si>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</si>
  <si>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</si>
  <si>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</si>
  <si>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</si>
  <si>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</si>
  <si>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</si>
  <si>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</si>
  <si>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</si>
  <si>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</si>
  <si>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</si>
  <si>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</si>
  <si>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</si>
  <si>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</si>
  <si>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</si>
  <si>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</si>
  <si>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</si>
  <si>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</si>
  <si>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</si>
  <si>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</si>
  <si>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</si>
  <si>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</si>
  <si>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</si>
  <si>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</si>
  <si>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</si>
  <si>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</si>
  <si>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</si>
  <si>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</si>
  <si>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</si>
  <si>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</si>
  <si>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</si>
  <si>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</si>
  <si>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</si>
  <si>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</si>
  <si>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</si>
  <si>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</si>
  <si>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</si>
  <si>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</si>
  <si>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</si>
  <si>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</si>
  <si>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</si>
  <si>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</si>
  <si>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</si>
  <si>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</si>
  <si>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</si>
  <si>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</si>
  <si>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</si>
  <si>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</si>
  <si>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</si>
  <si>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</si>
  <si>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</si>
  <si>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</si>
  <si>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</si>
  <si>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</si>
  <si>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</si>
  <si>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</si>
  <si>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</si>
  <si>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</si>
  <si>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</si>
  <si>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</si>
  <si>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</si>
  <si>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</si>
  <si>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</si>
  <si>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</si>
  <si>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</si>
  <si>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</si>
  <si>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</si>
  <si>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</si>
  <si>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</si>
  <si>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</si>
  <si>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</si>
  <si>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</si>
  <si>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</si>
  <si>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</si>
  <si>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</si>
  <si>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</si>
  <si>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</si>
  <si>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</si>
  <si>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</si>
  <si>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</si>
  <si>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</si>
  <si>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</si>
  <si>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</si>
  <si>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</si>
  <si>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</si>
  <si>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</si>
  <si>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</si>
  <si>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</si>
  <si>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</si>
  <si>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</si>
  <si>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</si>
  <si>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</si>
  <si>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</si>
  <si>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</si>
  <si>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</si>
  <si>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</si>
  <si>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</si>
  <si>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</si>
  <si>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</si>
  <si>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</si>
  <si>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</si>
  <si>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</si>
  <si>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</si>
  <si>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</si>
  <si>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</si>
  <si>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</si>
  <si>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</si>
  <si>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</si>
  <si>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</si>
  <si>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</si>
  <si>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</si>
  <si>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</si>
  <si>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</si>
  <si>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</si>
  <si>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</si>
  <si>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</si>
  <si>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</si>
  <si>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</si>
  <si>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</si>
  <si>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</si>
  <si>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</si>
  <si>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</si>
  <si>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</si>
  <si>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</si>
  <si>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</si>
  <si>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</si>
  <si>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</si>
  <si>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</si>
  <si>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</si>
  <si>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</si>
  <si>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</si>
  <si>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</si>
  <si>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</si>
  <si>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</si>
  <si>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</si>
  <si>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</si>
  <si>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</si>
  <si>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</si>
  <si>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</si>
  <si>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</si>
  <si>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</si>
  <si>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</si>
  <si>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</si>
  <si>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</si>
  <si>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</si>
  <si>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</si>
  <si>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</si>
  <si>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</si>
  <si>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</si>
  <si>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</si>
  <si>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</si>
  <si>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</si>
  <si>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</si>
  <si>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</si>
  <si>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</si>
  <si>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</si>
  <si>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</si>
  <si>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</si>
  <si>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</si>
  <si>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</si>
  <si>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</si>
  <si>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</si>
  <si>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</si>
  <si>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</si>
  <si>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</si>
  <si>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</si>
  <si>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</si>
  <si>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</si>
  <si>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</si>
  <si>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</si>
  <si>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</si>
  <si>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</si>
  <si>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</si>
  <si>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</si>
  <si>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</si>
  <si>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</si>
  <si>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</si>
  <si>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</si>
  <si>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</si>
  <si>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</si>
  <si>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</si>
  <si>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</si>
  <si>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</si>
  <si>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</si>
  <si>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</si>
  <si>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</si>
  <si>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</si>
  <si>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</si>
  <si>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</si>
  <si>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</si>
  <si>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</si>
  <si>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</si>
  <si>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</si>
  <si>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</si>
  <si>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</si>
  <si>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</si>
  <si>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</si>
  <si>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</si>
  <si>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</si>
  <si>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</si>
  <si>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</si>
  <si>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</si>
  <si>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</si>
  <si>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</si>
  <si>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</si>
  <si>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</si>
  <si>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</si>
  <si>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</si>
  <si>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</si>
  <si>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</si>
  <si>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</si>
  <si>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</si>
  <si>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</si>
  <si>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</si>
  <si>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</si>
  <si>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</si>
  <si>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</si>
  <si>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</si>
  <si>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</si>
  <si>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</si>
  <si>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</si>
  <si>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</si>
  <si>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</si>
  <si>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</si>
  <si>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</si>
  <si>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</si>
  <si>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</si>
  <si>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</si>
  <si>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</si>
  <si>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</si>
  <si>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</si>
  <si>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</si>
  <si>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</si>
  <si>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</si>
  <si>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</si>
  <si>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</si>
  <si>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</si>
  <si>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</si>
  <si>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</si>
  <si>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</si>
  <si>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</si>
  <si>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</si>
  <si>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</si>
  <si>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</si>
  <si>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</si>
  <si>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</si>
  <si>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</si>
  <si>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</si>
  <si>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</si>
  <si>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</si>
  <si>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</si>
  <si>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</si>
  <si>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</si>
  <si>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</si>
  <si>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</si>
  <si>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</si>
  <si>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</si>
  <si>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</si>
  <si>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</si>
  <si>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</si>
  <si>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</si>
  <si>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</si>
  <si>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</si>
  <si>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</si>
  <si>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</si>
  <si>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</si>
  <si>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</si>
  <si>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</si>
  <si>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</si>
  <si>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</si>
  <si>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</si>
  <si>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</si>
  <si>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</si>
  <si>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</si>
  <si>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</si>
  <si>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</si>
  <si>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</si>
  <si>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</si>
  <si>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</si>
  <si>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</si>
  <si>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</si>
  <si>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</si>
  <si>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</si>
  <si>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</si>
  <si>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</si>
  <si>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</si>
  <si>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</si>
  <si>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</si>
  <si>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</si>
  <si>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</si>
  <si>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</si>
  <si>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</si>
  <si>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</si>
  <si>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</si>
  <si>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</si>
  <si>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</si>
  <si>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</si>
  <si>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</si>
  <si>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</si>
  <si>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</si>
  <si>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</si>
  <si>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</si>
  <si>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</si>
  <si>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</si>
  <si>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</si>
  <si>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</si>
  <si>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</si>
  <si>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</si>
  <si>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</si>
  <si>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</si>
  <si>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</si>
  <si>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</si>
  <si>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</si>
  <si>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</si>
  <si>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</si>
  <si>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</si>
  <si>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</si>
  <si>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</si>
  <si>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</si>
  <si>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</si>
  <si>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</si>
  <si>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</si>
  <si>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</si>
  <si>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</si>
  <si>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</si>
  <si>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</si>
  <si>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</si>
  <si>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</si>
  <si>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</si>
  <si>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</si>
  <si>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</si>
  <si>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</si>
  <si>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</si>
  <si>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</si>
  <si>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</si>
  <si>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</si>
  <si>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</si>
  <si>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</si>
  <si>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</si>
  <si>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</si>
  <si>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</si>
  <si>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</si>
  <si>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</si>
  <si>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</si>
  <si>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</si>
  <si>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</si>
  <si>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</si>
  <si>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</si>
  <si>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</si>
  <si>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</si>
  <si>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</si>
  <si>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</si>
  <si>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</si>
  <si>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</si>
  <si>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</si>
  <si>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ELTÉRÉS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</si>
  <si>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</si>
  <si>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</si>
  <si>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</si>
  <si>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</si>
  <si>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</si>
  <si>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>ÖSSZESEN:</t>
  </si>
  <si>
    <t>Felújítási kiadások előirányzata felújításonként</t>
  </si>
  <si>
    <t>Felújítás  megnevezése</t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</si>
  <si>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</si>
  <si>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</si>
  <si>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</si>
  <si>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</si>
  <si>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</si>
  <si>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</si>
  <si>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Összesen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</si>
  <si>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</si>
  <si>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</si>
  <si>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</si>
  <si>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</si>
  <si>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</si>
  <si>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</si>
  <si>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</si>
  <si>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</si>
  <si>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</si>
  <si>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</si>
  <si>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</si>
  <si>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</si>
  <si>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</si>
  <si>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</si>
  <si>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</si>
  <si>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</si>
  <si>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</si>
  <si>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</si>
  <si>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</si>
  <si>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</si>
  <si>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</si>
  <si>
    <t>Önkormányzat</t>
  </si>
  <si>
    <t>01</t>
  </si>
  <si>
    <t>Feladat
megnevezése</t>
  </si>
  <si>
    <t>Összes bevétel, kiadás</t>
  </si>
  <si>
    <t>Ezer forintban !</t>
  </si>
  <si>
    <t>Száma</t>
  </si>
  <si>
    <t>Előirányzat-csoport, kiemelt előirányzat megnevezése</t>
  </si>
  <si>
    <t>-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</si>
  <si>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</si>
  <si>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</si>
  <si>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</si>
  <si>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</si>
  <si>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</si>
  <si>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</si>
  <si>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</si>
  <si>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</si>
  <si>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</si>
  <si>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</si>
  <si>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Közfoglalkoztatottak létszáma (fő)</t>
  </si>
  <si>
    <t xml:space="preserve">Kötelező feladatok </t>
  </si>
  <si>
    <t>02</t>
  </si>
  <si>
    <t>Éves engedélyezett létszám előirányzat  (fő)</t>
  </si>
  <si>
    <t xml:space="preserve">Önként vállalt feladatok </t>
  </si>
  <si>
    <t>03</t>
  </si>
  <si>
    <t>Államigazgatási feladatok</t>
  </si>
  <si>
    <t>04</t>
  </si>
  <si>
    <t>Költségvetési szerv megnevezése</t>
  </si>
  <si>
    <t>Közös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</si>
  <si>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</si>
  <si>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</si>
  <si>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</si>
  <si>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</si>
  <si>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</si>
  <si>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</si>
  <si>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</si>
  <si>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</si>
  <si>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</si>
  <si>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</si>
  <si>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</si>
  <si>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</si>
  <si>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</si>
  <si>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</si>
  <si>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</si>
  <si>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</si>
  <si>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</si>
  <si>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</si>
  <si>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</si>
  <si>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</si>
  <si>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</si>
  <si>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</si>
  <si>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</si>
  <si>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</si>
  <si>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</si>
  <si>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</si>
  <si>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Önként vállalt feladatok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</si>
  <si>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</si>
  <si>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</si>
  <si>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</si>
  <si>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</si>
  <si>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</si>
  <si>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Kötelező feladatok</t>
  </si>
  <si>
    <t xml:space="preserve">Államigazgatási feladatok 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</si>
  <si>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</si>
  <si>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</si>
  <si>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</si>
  <si>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</si>
  <si>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</si>
  <si>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</si>
  <si>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</si>
  <si>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</si>
  <si>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</si>
  <si>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Nemesnádudvari Közös Önkormányzati Hivatal</t>
  </si>
  <si>
    <t>29.</t>
  </si>
  <si>
    <t>30.</t>
  </si>
  <si>
    <t>31.</t>
  </si>
  <si>
    <t>L</t>
  </si>
  <si>
    <t>M</t>
  </si>
  <si>
    <t>N</t>
  </si>
  <si>
    <t>Előirányzat Csop.</t>
  </si>
  <si>
    <t>Kiem. eir.</t>
  </si>
  <si>
    <t>KIADÁSOK</t>
  </si>
  <si>
    <t>Állami (államigazgatási) feladatok</t>
  </si>
  <si>
    <t>I.</t>
  </si>
  <si>
    <t>Működési kiadások</t>
  </si>
  <si>
    <t>Dologi kiadások</t>
  </si>
  <si>
    <t>Ellátottak pénzbeli juttatása</t>
  </si>
  <si>
    <t>II.</t>
  </si>
  <si>
    <t>Felhalmozási kiadások</t>
  </si>
  <si>
    <t>Egyéb felhalmozási célú kiadások</t>
  </si>
  <si>
    <t>Költségvetési kiadások összesen (I+II)</t>
  </si>
  <si>
    <t>III.</t>
  </si>
  <si>
    <t>Finanszírozási kiadások</t>
  </si>
  <si>
    <t>9.1</t>
  </si>
  <si>
    <t>9.1.1</t>
  </si>
  <si>
    <t>9.1.2</t>
  </si>
  <si>
    <t>9.2</t>
  </si>
  <si>
    <t>9.2.1</t>
  </si>
  <si>
    <t>Felhalmozási célú kiadások</t>
  </si>
  <si>
    <t>9.2.2</t>
  </si>
  <si>
    <t>Működési célú kiadások</t>
  </si>
  <si>
    <t>Tárgyévi kiadások (I.+II.+III.)</t>
  </si>
  <si>
    <t>BEVÉTELEK</t>
  </si>
  <si>
    <t>Működési bevételek</t>
  </si>
  <si>
    <t xml:space="preserve">Működési célú átvett pénzeszközök </t>
  </si>
  <si>
    <t xml:space="preserve">Felhalmozási célú átvett pénzeszközök </t>
  </si>
  <si>
    <t>Költségvetési bevételek összesen (I+II)</t>
  </si>
  <si>
    <t>KÖLTSÉGVETÉSI MŰKÖDÉSI KIADÁSOK ÉS BEVÉTELEK EGYENLEGE       (A I. - B I.)</t>
  </si>
  <si>
    <t>KÖLTSÉGVETÉSI FELHALMOZÁSI KIADÁSOK ÉS BEVÉTELEK EGYENLEGE (A II. - B II.)</t>
  </si>
  <si>
    <t>Finanszírozási bevételek</t>
  </si>
  <si>
    <t>8.1.1</t>
  </si>
  <si>
    <t>8.1.2</t>
  </si>
  <si>
    <t>8.2</t>
  </si>
  <si>
    <t>Belföldi értékpapírok bevételei</t>
  </si>
  <si>
    <t>8.2.1</t>
  </si>
  <si>
    <t>Forgatási célú</t>
  </si>
  <si>
    <t>8.2.2</t>
  </si>
  <si>
    <t>Befektetési célú</t>
  </si>
  <si>
    <t>8.3</t>
  </si>
  <si>
    <t>Maradvány igénybevétele</t>
  </si>
  <si>
    <t>8.3.1</t>
  </si>
  <si>
    <t>Felhalmozási célú</t>
  </si>
  <si>
    <t>8.3.2</t>
  </si>
  <si>
    <t>Működési célú</t>
  </si>
  <si>
    <t>8.4</t>
  </si>
  <si>
    <t>Államháztartáson belüli megelőlegzések</t>
  </si>
  <si>
    <t>Tárgyévi bevételek (I.+II.+III.)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</si>
  <si>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</si>
  <si>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</si>
  <si>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</si>
  <si>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</si>
  <si>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</si>
  <si>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</si>
  <si>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</si>
  <si>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</si>
  <si>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</si>
  <si>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</si>
  <si>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</si>
  <si>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</si>
  <si>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</si>
  <si>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</si>
  <si>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</si>
  <si>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</si>
  <si>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</si>
  <si>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</si>
  <si>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</si>
  <si>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Sportkör önerő támogatás</t>
  </si>
  <si>
    <t>Összesen (1+4+7+9+11)</t>
  </si>
  <si>
    <t>Közös Hivatal</t>
  </si>
  <si>
    <t>Önkormányzat összesen</t>
  </si>
  <si>
    <t>ESZKÖZÖK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</si>
  <si>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</si>
  <si>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</si>
  <si>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</si>
  <si>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</si>
  <si>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</si>
  <si>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</si>
  <si>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</si>
  <si>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</si>
  <si>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</si>
  <si>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</si>
  <si>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</si>
  <si>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</si>
  <si>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</si>
  <si>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</si>
  <si>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</si>
  <si>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</si>
  <si>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</si>
  <si>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</si>
  <si>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</si>
  <si>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</si>
  <si>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</si>
  <si>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</si>
  <si>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</si>
  <si>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</si>
  <si>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</si>
  <si>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</si>
  <si>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</si>
  <si>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</si>
  <si>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</si>
  <si>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</si>
  <si>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</si>
  <si>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</si>
  <si>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</si>
  <si>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</si>
  <si>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</si>
  <si>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</si>
  <si>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</si>
  <si>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</si>
  <si>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</si>
  <si>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</si>
  <si>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</si>
  <si>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</si>
  <si>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</si>
  <si>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</si>
  <si>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</si>
  <si>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</si>
  <si>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</si>
  <si>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</si>
  <si>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</si>
  <si>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</si>
  <si>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</si>
  <si>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</si>
  <si>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</si>
  <si>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</si>
  <si>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</si>
  <si>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</si>
  <si>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</si>
  <si>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</si>
  <si>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</si>
  <si>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</si>
  <si>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</si>
  <si>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</si>
  <si>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</si>
  <si>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</si>
  <si>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</si>
  <si>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</si>
  <si>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</si>
  <si>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</si>
  <si>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</si>
  <si>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</si>
  <si>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</si>
  <si>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</si>
  <si>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</si>
  <si>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</si>
  <si>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</si>
  <si>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</si>
  <si>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</si>
  <si>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</si>
  <si>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</si>
  <si>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</si>
  <si>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</si>
  <si>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</si>
  <si>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</si>
  <si>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</si>
  <si>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</si>
  <si>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</si>
  <si>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</si>
  <si>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</si>
  <si>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</si>
  <si>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</si>
  <si>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</si>
  <si>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</si>
  <si>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</si>
  <si>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</si>
  <si>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</si>
  <si>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</si>
  <si>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</si>
  <si>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</si>
  <si>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</si>
  <si>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</si>
  <si>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</si>
  <si>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</si>
  <si>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</si>
  <si>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</si>
  <si>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</si>
  <si>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</si>
  <si>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</si>
  <si>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</si>
  <si>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Adatok: ezer forintban!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</si>
  <si>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</si>
  <si>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</si>
  <si>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</si>
  <si>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</si>
  <si>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</si>
  <si>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</si>
  <si>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</si>
  <si>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</si>
  <si>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</si>
  <si>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</si>
  <si>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</si>
  <si>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</si>
  <si>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</si>
  <si>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</si>
  <si>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</si>
  <si>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</si>
  <si>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</si>
  <si>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</si>
  <si>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</si>
  <si>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</si>
  <si>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</si>
  <si>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</si>
  <si>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</si>
  <si>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</si>
  <si>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</si>
  <si>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</si>
  <si>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</si>
  <si>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</si>
  <si>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</si>
  <si>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</si>
  <si>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</si>
  <si>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</si>
  <si>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</si>
  <si>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</si>
  <si>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</si>
  <si>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</si>
  <si>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</si>
  <si>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</si>
  <si>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</si>
  <si>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</si>
  <si>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</si>
  <si>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</si>
  <si>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</si>
  <si>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</si>
  <si>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Bevételek  - Kiadások (pénzmaradvány)</t>
  </si>
  <si>
    <t>Pénzmaradványba beszámító tételek</t>
  </si>
  <si>
    <t>Pénzeszközök módosítva a pénzmaradványba beszámító tételekkel</t>
  </si>
  <si>
    <t>Nemesnádudvar Fejlődéséért Közalapítvány</t>
  </si>
  <si>
    <t>Betétlekötés</t>
  </si>
  <si>
    <t>Betétlekötés éven túl</t>
  </si>
  <si>
    <t>Megelőlegzés</t>
  </si>
  <si>
    <t>Lekötött betét megszüntetése</t>
  </si>
  <si>
    <t>Éven túli betét megszüntetése</t>
  </si>
  <si>
    <t>Áht-n belüli megelőlegzések</t>
  </si>
  <si>
    <t>Filantrop Nonprofit Kft.</t>
  </si>
  <si>
    <t>Bajavíz Kft.</t>
  </si>
  <si>
    <t>Felső-Bácskai Hulladékgazdálkodási Kft.</t>
  </si>
  <si>
    <t>Homokhátsági Regionális Hulladékgazdálkodási Önkormányzati Társulás</t>
  </si>
  <si>
    <t xml:space="preserve"> NEMESNÁDUDVAR KÖZSÉG KÖLTSÉGVETÉSI MÉRLEGE FT-BAN</t>
  </si>
  <si>
    <t>Ft-ban</t>
  </si>
  <si>
    <t>forintban</t>
  </si>
  <si>
    <t>Adatok: forintban</t>
  </si>
  <si>
    <t>Betétlekötés/kincstárjegy éven belül</t>
  </si>
  <si>
    <t>Éven belüli betét/KTJ megszüntetése</t>
  </si>
  <si>
    <t>Könyvtár</t>
  </si>
  <si>
    <t>FBH-NP Közszolgáltató Nonprofit Korlátolt Felelősségű Társaság</t>
  </si>
  <si>
    <t>Nemesnádudvari Községi Könyvtár</t>
  </si>
  <si>
    <t>2018 tény</t>
  </si>
  <si>
    <t>EU-s projekt neve, azonosítója:EFOP 153, 392 VP Traktor, TOP Egészségház</t>
  </si>
  <si>
    <t>Vis maior partfal</t>
  </si>
  <si>
    <t>2018-2019</t>
  </si>
  <si>
    <t>Kamerarendszer</t>
  </si>
  <si>
    <t>2019. évi eredeti előirányzat BEVÉTELEK</t>
  </si>
  <si>
    <t>Pénzkészlet 2019. január 1-jén
ebből:</t>
  </si>
  <si>
    <t>Záró pénzkészlet 2019. december 31-én
ebből:</t>
  </si>
  <si>
    <t>2020 terv</t>
  </si>
  <si>
    <t>2019 tény</t>
  </si>
  <si>
    <t>Forintban !</t>
  </si>
  <si>
    <t xml:space="preserve"> </t>
  </si>
  <si>
    <t>Ingatlan felújítás Petőfi u. 49. (Mezőfi)</t>
  </si>
  <si>
    <t>EFOP felújítás</t>
  </si>
  <si>
    <t>Művelődési ház felújítás (tető)</t>
  </si>
  <si>
    <t>Babamúzeum</t>
  </si>
  <si>
    <t>2019-2019</t>
  </si>
  <si>
    <t>2019-2020</t>
  </si>
  <si>
    <t>Ingatlan vásárlás Petőfi u. 49. (Mezőfi)</t>
  </si>
  <si>
    <t>Kisiskola kerítés</t>
  </si>
  <si>
    <t>Rémi-Csávolyi utca járda</t>
  </si>
  <si>
    <t>Könyvtár vonalkód olvasó+postaláda</t>
  </si>
  <si>
    <t>Akkus fúró</t>
  </si>
  <si>
    <t>Székek</t>
  </si>
  <si>
    <t>Iratmegsemmisítő</t>
  </si>
  <si>
    <t>Klíma orvosi rendelőbe</t>
  </si>
  <si>
    <t>Garázs orvosi lakáshoz</t>
  </si>
  <si>
    <t>Chip olvasó</t>
  </si>
  <si>
    <t>Víruskereső (17 gépre, 3 évre)</t>
  </si>
  <si>
    <t>Hálózati adattároló (NAS)</t>
  </si>
  <si>
    <t>Raklapvilla</t>
  </si>
  <si>
    <t>Ágy, állvány védőnő</t>
  </si>
  <si>
    <t>Babamúzeum szoftver</t>
  </si>
  <si>
    <t>Korlát járdához</t>
  </si>
  <si>
    <t>Számítógép családsegítő</t>
  </si>
  <si>
    <t>Bútorok beszerzése</t>
  </si>
  <si>
    <t>Magyar Falu eszközök</t>
  </si>
  <si>
    <t>x</t>
  </si>
  <si>
    <t>Forintban</t>
  </si>
  <si>
    <t>Összeg  ( Ft )</t>
  </si>
  <si>
    <t>10. melléklet a 6/2020. (VII.17.) önkormányzati rendelethez</t>
  </si>
</sst>
</file>

<file path=xl/styles.xml><?xml version="1.0" encoding="utf-8"?>
<styleSheet xmlns="http://schemas.openxmlformats.org/spreadsheetml/2006/main">
  <numFmts count="3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\ #,##0.00&quot;     &quot;;\-#,##0.00&quot;     &quot;;&quot; -&quot;#&quot;     &quot;;@\ "/>
    <numFmt numFmtId="173" formatCode="#,###"/>
    <numFmt numFmtId="174" formatCode="#,##0.0"/>
    <numFmt numFmtId="175" formatCode="mmm\ d/"/>
    <numFmt numFmtId="176" formatCode="\ #,##0&quot;     &quot;;\-#,##0&quot;     &quot;;&quot; -&quot;#&quot;     &quot;;@\ "/>
    <numFmt numFmtId="177" formatCode="00"/>
    <numFmt numFmtId="178" formatCode="#,###&quot;  &quot;;\-#,###&quot;  &quot;"/>
    <numFmt numFmtId="179" formatCode="#,###&quot;    &quot;;\-#,###&quot;    &quot;"/>
    <numFmt numFmtId="180" formatCode="#,###&quot;  &quot;"/>
    <numFmt numFmtId="181" formatCode="#,###.0"/>
    <numFmt numFmtId="182" formatCode="#,###.00"/>
    <numFmt numFmtId="183" formatCode="#,###.000"/>
    <numFmt numFmtId="184" formatCode="#,###.0000"/>
    <numFmt numFmtId="185" formatCode="#,###.00000"/>
    <numFmt numFmtId="186" formatCode="0.0%"/>
    <numFmt numFmtId="187" formatCode="0.000000E+00"/>
    <numFmt numFmtId="188" formatCode="0.0000000E+00"/>
    <numFmt numFmtId="189" formatCode="0.00000000E+00"/>
    <numFmt numFmtId="190" formatCode="0.000%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_-* #,##0.00\ _F_t_-;\-* #,##0.00\ _F_t_-;_-* \-??\ _F_t_-;_-@_-"/>
  </numFmts>
  <fonts count="76">
    <font>
      <sz val="10"/>
      <name val="Times New Roman CE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8"/>
      <name val="Arial CE"/>
      <family val="0"/>
    </font>
    <font>
      <u val="single"/>
      <sz val="10"/>
      <color indexed="30"/>
      <name val="Times New Roman CE"/>
      <family val="1"/>
    </font>
    <font>
      <u val="single"/>
      <sz val="10"/>
      <color indexed="25"/>
      <name val="Times New Roman CE"/>
      <family val="1"/>
    </font>
    <font>
      <u val="single"/>
      <sz val="10"/>
      <color theme="10"/>
      <name val="Times New Roman CE"/>
      <family val="1"/>
    </font>
    <font>
      <u val="single"/>
      <sz val="10"/>
      <color theme="11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5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2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9" fillId="17" borderId="0" applyNumberFormat="0" applyBorder="0" applyAlignment="0" applyProtection="0"/>
    <xf numFmtId="0" fontId="20" fillId="11" borderId="0" applyNumberFormat="0" applyBorder="0" applyAlignment="0" applyProtection="0"/>
    <xf numFmtId="0" fontId="21" fillId="16" borderId="1" applyNumberFormat="0" applyAlignment="0" applyProtection="0"/>
    <xf numFmtId="9" fontId="0" fillId="0" borderId="0" applyFill="0" applyBorder="0" applyAlignment="0" applyProtection="0"/>
  </cellStyleXfs>
  <cellXfs count="710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0" xfId="63">
      <alignment/>
      <protection/>
    </xf>
    <xf numFmtId="0" fontId="17" fillId="0" borderId="0" xfId="63" applyAlignment="1">
      <alignment horizontal="right" vertical="center" indent="1"/>
      <protection/>
    </xf>
    <xf numFmtId="173" fontId="29" fillId="0" borderId="10" xfId="63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right" vertical="center"/>
    </xf>
    <xf numFmtId="49" fontId="17" fillId="0" borderId="0" xfId="63" applyNumberFormat="1">
      <alignment/>
      <protection/>
    </xf>
    <xf numFmtId="0" fontId="31" fillId="0" borderId="11" xfId="63" applyFont="1" applyBorder="1" applyAlignment="1">
      <alignment horizontal="center" vertical="center" wrapText="1"/>
      <protection/>
    </xf>
    <xf numFmtId="0" fontId="31" fillId="0" borderId="12" xfId="63" applyFont="1" applyBorder="1" applyAlignment="1">
      <alignment horizontal="center" vertical="center" wrapText="1"/>
      <protection/>
    </xf>
    <xf numFmtId="0" fontId="32" fillId="0" borderId="13" xfId="63" applyFont="1" applyBorder="1" applyAlignment="1">
      <alignment horizontal="center" vertical="center" wrapText="1"/>
      <protection/>
    </xf>
    <xf numFmtId="0" fontId="32" fillId="0" borderId="14" xfId="63" applyFont="1" applyBorder="1" applyAlignment="1">
      <alignment horizontal="center" vertical="center" wrapText="1"/>
      <protection/>
    </xf>
    <xf numFmtId="0" fontId="32" fillId="0" borderId="15" xfId="63" applyFont="1" applyBorder="1" applyAlignment="1">
      <alignment horizontal="center" vertical="center" wrapText="1"/>
      <protection/>
    </xf>
    <xf numFmtId="49" fontId="33" fillId="0" borderId="0" xfId="63" applyNumberFormat="1" applyFont="1">
      <alignment/>
      <protection/>
    </xf>
    <xf numFmtId="0" fontId="33" fillId="0" borderId="0" xfId="63" applyFont="1">
      <alignment/>
      <protection/>
    </xf>
    <xf numFmtId="0" fontId="32" fillId="0" borderId="13" xfId="63" applyFont="1" applyBorder="1" applyAlignment="1">
      <alignment horizontal="left" vertical="center" wrapText="1" indent="1"/>
      <protection/>
    </xf>
    <xf numFmtId="0" fontId="32" fillId="0" borderId="14" xfId="63" applyFont="1" applyBorder="1" applyAlignment="1">
      <alignment horizontal="left" vertical="center" wrapText="1" indent="1"/>
      <protection/>
    </xf>
    <xf numFmtId="173" fontId="32" fillId="0" borderId="16" xfId="63" applyNumberFormat="1" applyFont="1" applyBorder="1" applyAlignment="1">
      <alignment horizontal="right" vertical="center" wrapText="1" indent="1"/>
      <protection/>
    </xf>
    <xf numFmtId="49" fontId="0" fillId="0" borderId="0" xfId="63" applyNumberFormat="1" applyFont="1">
      <alignment/>
      <protection/>
    </xf>
    <xf numFmtId="0" fontId="0" fillId="0" borderId="0" xfId="63" applyFont="1">
      <alignment/>
      <protection/>
    </xf>
    <xf numFmtId="49" fontId="33" fillId="0" borderId="17" xfId="63" applyNumberFormat="1" applyFont="1" applyBorder="1" applyAlignment="1">
      <alignment horizontal="left" vertical="center" wrapText="1" indent="1"/>
      <protection/>
    </xf>
    <xf numFmtId="0" fontId="34" fillId="0" borderId="18" xfId="0" applyFont="1" applyBorder="1" applyAlignment="1">
      <alignment horizontal="left" wrapText="1" indent="1"/>
    </xf>
    <xf numFmtId="173" fontId="33" fillId="0" borderId="19" xfId="63" applyNumberFormat="1" applyFont="1" applyBorder="1" applyAlignment="1">
      <alignment horizontal="right" vertical="center" wrapText="1" indent="1"/>
      <protection/>
    </xf>
    <xf numFmtId="49" fontId="33" fillId="0" borderId="20" xfId="63" applyNumberFormat="1" applyFont="1" applyBorder="1" applyAlignment="1">
      <alignment horizontal="left" vertical="center" wrapText="1" indent="1"/>
      <protection/>
    </xf>
    <xf numFmtId="0" fontId="34" fillId="0" borderId="19" xfId="0" applyFont="1" applyBorder="1" applyAlignment="1">
      <alignment horizontal="left" wrapText="1" indent="1"/>
    </xf>
    <xf numFmtId="49" fontId="33" fillId="0" borderId="21" xfId="63" applyNumberFormat="1" applyFont="1" applyBorder="1" applyAlignment="1">
      <alignment horizontal="left" vertical="center" wrapText="1" indent="1"/>
      <protection/>
    </xf>
    <xf numFmtId="0" fontId="34" fillId="0" borderId="22" xfId="0" applyFont="1" applyBorder="1" applyAlignment="1">
      <alignment horizontal="left" wrapText="1" indent="1"/>
    </xf>
    <xf numFmtId="0" fontId="35" fillId="0" borderId="14" xfId="0" applyFont="1" applyBorder="1" applyAlignment="1">
      <alignment horizontal="left" vertical="center" wrapText="1" indent="1"/>
    </xf>
    <xf numFmtId="173" fontId="32" fillId="0" borderId="23" xfId="63" applyNumberFormat="1" applyFont="1" applyBorder="1" applyAlignment="1">
      <alignment horizontal="right" vertical="center" wrapText="1" indent="1"/>
      <protection/>
    </xf>
    <xf numFmtId="173" fontId="0" fillId="0" borderId="0" xfId="63" applyNumberFormat="1" applyFont="1">
      <alignment/>
      <protection/>
    </xf>
    <xf numFmtId="0" fontId="34" fillId="0" borderId="22" xfId="0" applyFont="1" applyBorder="1" applyAlignment="1">
      <alignment horizontal="left" vertical="center" wrapText="1" indent="1"/>
    </xf>
    <xf numFmtId="173" fontId="33" fillId="0" borderId="18" xfId="63" applyNumberFormat="1" applyFont="1" applyBorder="1" applyAlignment="1" applyProtection="1">
      <alignment horizontal="right" vertical="center" wrapText="1" indent="1"/>
      <protection locked="0"/>
    </xf>
    <xf numFmtId="173" fontId="33" fillId="0" borderId="24" xfId="63" applyNumberFormat="1" applyFont="1" applyBorder="1" applyAlignment="1" applyProtection="1">
      <alignment horizontal="right" vertical="center" wrapText="1" indent="1"/>
      <protection locked="0"/>
    </xf>
    <xf numFmtId="173" fontId="33" fillId="0" borderId="19" xfId="63" applyNumberFormat="1" applyFont="1" applyBorder="1" applyAlignment="1" applyProtection="1">
      <alignment horizontal="right" vertical="center" wrapText="1" indent="1"/>
      <protection locked="0"/>
    </xf>
    <xf numFmtId="173" fontId="33" fillId="0" borderId="25" xfId="63" applyNumberFormat="1" applyFont="1" applyBorder="1" applyAlignment="1" applyProtection="1">
      <alignment horizontal="right" vertical="center" wrapText="1" indent="1"/>
      <protection locked="0"/>
    </xf>
    <xf numFmtId="173" fontId="33" fillId="0" borderId="22" xfId="63" applyNumberFormat="1" applyFont="1" applyBorder="1" applyAlignment="1" applyProtection="1">
      <alignment horizontal="right" vertical="center" wrapText="1" indent="1"/>
      <protection locked="0"/>
    </xf>
    <xf numFmtId="173" fontId="33" fillId="0" borderId="26" xfId="63" applyNumberFormat="1" applyFont="1" applyBorder="1" applyAlignment="1" applyProtection="1">
      <alignment horizontal="right" vertical="center" wrapText="1" indent="1"/>
      <protection locked="0"/>
    </xf>
    <xf numFmtId="173" fontId="32" fillId="0" borderId="27" xfId="63" applyNumberFormat="1" applyFont="1" applyBorder="1" applyAlignment="1">
      <alignment horizontal="right" vertical="center" wrapText="1" indent="1"/>
      <protection/>
    </xf>
    <xf numFmtId="0" fontId="35" fillId="0" borderId="13" xfId="0" applyFont="1" applyBorder="1" applyAlignment="1">
      <alignment vertical="center" wrapText="1"/>
    </xf>
    <xf numFmtId="173" fontId="32" fillId="0" borderId="19" xfId="63" applyNumberFormat="1" applyFont="1" applyBorder="1" applyAlignment="1">
      <alignment horizontal="right" vertical="center" wrapText="1" indent="1"/>
      <protection/>
    </xf>
    <xf numFmtId="0" fontId="34" fillId="0" borderId="22" xfId="0" applyFont="1" applyBorder="1" applyAlignment="1">
      <alignment vertical="center" wrapText="1"/>
    </xf>
    <xf numFmtId="0" fontId="34" fillId="0" borderId="17" xfId="0" applyFont="1" applyBorder="1" applyAlignment="1">
      <alignment wrapText="1"/>
    </xf>
    <xf numFmtId="0" fontId="34" fillId="0" borderId="20" xfId="0" applyFont="1" applyBorder="1" applyAlignment="1">
      <alignment wrapText="1"/>
    </xf>
    <xf numFmtId="0" fontId="34" fillId="0" borderId="21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6" fillId="0" borderId="0" xfId="0" applyFont="1" applyAlignment="1">
      <alignment horizontal="left" vertical="center" wrapText="1" indent="1"/>
    </xf>
    <xf numFmtId="173" fontId="31" fillId="0" borderId="0" xfId="63" applyNumberFormat="1" applyFont="1" applyAlignment="1">
      <alignment horizontal="right" vertical="center" wrapText="1" indent="1"/>
      <protection/>
    </xf>
    <xf numFmtId="173" fontId="29" fillId="0" borderId="10" xfId="63" applyNumberFormat="1" applyFont="1" applyBorder="1">
      <alignment/>
      <protection/>
    </xf>
    <xf numFmtId="0" fontId="30" fillId="0" borderId="10" xfId="0" applyFont="1" applyBorder="1" applyAlignment="1">
      <alignment horizontal="right"/>
    </xf>
    <xf numFmtId="0" fontId="32" fillId="0" borderId="29" xfId="63" applyFont="1" applyBorder="1" applyAlignment="1">
      <alignment horizontal="center" vertical="center" wrapText="1"/>
      <protection/>
    </xf>
    <xf numFmtId="0" fontId="32" fillId="0" borderId="30" xfId="63" applyFont="1" applyBorder="1" applyAlignment="1">
      <alignment horizontal="left" vertical="center" wrapText="1" indent="1"/>
      <protection/>
    </xf>
    <xf numFmtId="0" fontId="32" fillId="0" borderId="16" xfId="63" applyFont="1" applyBorder="1" applyAlignment="1">
      <alignment vertical="center" wrapText="1"/>
      <protection/>
    </xf>
    <xf numFmtId="173" fontId="32" fillId="0" borderId="14" xfId="63" applyNumberFormat="1" applyFont="1" applyBorder="1" applyAlignment="1">
      <alignment horizontal="right" vertical="center" wrapText="1" indent="1"/>
      <protection/>
    </xf>
    <xf numFmtId="49" fontId="33" fillId="0" borderId="31" xfId="63" applyNumberFormat="1" applyFont="1" applyBorder="1" applyAlignment="1">
      <alignment horizontal="left" vertical="center" wrapText="1" indent="1"/>
      <protection/>
    </xf>
    <xf numFmtId="0" fontId="33" fillId="0" borderId="32" xfId="63" applyFont="1" applyBorder="1" applyAlignment="1">
      <alignment horizontal="left" vertical="center" wrapText="1" indent="1"/>
      <protection/>
    </xf>
    <xf numFmtId="173" fontId="33" fillId="0" borderId="14" xfId="63" applyNumberFormat="1" applyFont="1" applyBorder="1" applyAlignment="1">
      <alignment horizontal="right" vertical="center" wrapText="1" indent="1"/>
      <protection/>
    </xf>
    <xf numFmtId="0" fontId="33" fillId="0" borderId="19" xfId="63" applyFont="1" applyBorder="1" applyAlignment="1">
      <alignment horizontal="left" vertical="center" wrapText="1" indent="1"/>
      <protection/>
    </xf>
    <xf numFmtId="0" fontId="33" fillId="0" borderId="33" xfId="63" applyFont="1" applyBorder="1" applyAlignment="1">
      <alignment horizontal="left" vertical="center" wrapText="1" indent="1"/>
      <protection/>
    </xf>
    <xf numFmtId="0" fontId="33" fillId="0" borderId="0" xfId="63" applyFont="1" applyAlignment="1">
      <alignment horizontal="left" vertical="center" wrapText="1" indent="1"/>
      <protection/>
    </xf>
    <xf numFmtId="0" fontId="33" fillId="0" borderId="19" xfId="63" applyFont="1" applyBorder="1" applyAlignment="1">
      <alignment horizontal="left" indent="6"/>
      <protection/>
    </xf>
    <xf numFmtId="0" fontId="33" fillId="0" borderId="19" xfId="63" applyFont="1" applyBorder="1" applyAlignment="1">
      <alignment horizontal="left" vertical="center" wrapText="1" indent="6"/>
      <protection/>
    </xf>
    <xf numFmtId="49" fontId="33" fillId="0" borderId="34" xfId="63" applyNumberFormat="1" applyFont="1" applyBorder="1" applyAlignment="1">
      <alignment horizontal="left" vertical="center" wrapText="1" indent="1"/>
      <protection/>
    </xf>
    <xf numFmtId="0" fontId="33" fillId="0" borderId="22" xfId="63" applyFont="1" applyBorder="1" applyAlignment="1">
      <alignment horizontal="left" vertical="center" wrapText="1" indent="6"/>
      <protection/>
    </xf>
    <xf numFmtId="49" fontId="33" fillId="0" borderId="35" xfId="63" applyNumberFormat="1" applyFont="1" applyBorder="1" applyAlignment="1">
      <alignment horizontal="left" vertical="center" wrapText="1" indent="1"/>
      <protection/>
    </xf>
    <xf numFmtId="0" fontId="33" fillId="0" borderId="11" xfId="63" applyFont="1" applyBorder="1" applyAlignment="1">
      <alignment horizontal="left" vertical="center" wrapText="1" indent="6"/>
      <protection/>
    </xf>
    <xf numFmtId="0" fontId="32" fillId="0" borderId="14" xfId="63" applyFont="1" applyBorder="1" applyAlignment="1">
      <alignment vertical="center" wrapText="1"/>
      <protection/>
    </xf>
    <xf numFmtId="0" fontId="33" fillId="0" borderId="22" xfId="63" applyFont="1" applyBorder="1" applyAlignment="1">
      <alignment horizontal="left" vertical="center" wrapText="1" indent="1"/>
      <protection/>
    </xf>
    <xf numFmtId="0" fontId="34" fillId="0" borderId="19" xfId="0" applyFont="1" applyBorder="1" applyAlignment="1">
      <alignment horizontal="left" vertical="center" wrapText="1" indent="1"/>
    </xf>
    <xf numFmtId="0" fontId="33" fillId="0" borderId="18" xfId="63" applyFont="1" applyBorder="1" applyAlignment="1">
      <alignment horizontal="left" vertical="center" wrapText="1" indent="6"/>
      <protection/>
    </xf>
    <xf numFmtId="0" fontId="17" fillId="0" borderId="0" xfId="63" applyAlignment="1">
      <alignment horizontal="left" vertical="center" indent="1"/>
      <protection/>
    </xf>
    <xf numFmtId="0" fontId="33" fillId="0" borderId="18" xfId="63" applyFont="1" applyBorder="1" applyAlignment="1">
      <alignment horizontal="left" vertical="center" wrapText="1" indent="1"/>
      <protection/>
    </xf>
    <xf numFmtId="0" fontId="33" fillId="0" borderId="23" xfId="63" applyFont="1" applyBorder="1" applyAlignment="1">
      <alignment horizontal="left" vertical="center" wrapText="1" indent="1"/>
      <protection/>
    </xf>
    <xf numFmtId="0" fontId="25" fillId="0" borderId="0" xfId="63" applyFont="1">
      <alignment/>
      <protection/>
    </xf>
    <xf numFmtId="0" fontId="35" fillId="0" borderId="28" xfId="0" applyFont="1" applyBorder="1" applyAlignment="1">
      <alignment horizontal="left" vertical="center" wrapText="1" indent="1"/>
    </xf>
    <xf numFmtId="0" fontId="36" fillId="0" borderId="27" xfId="0" applyFont="1" applyBorder="1" applyAlignment="1">
      <alignment horizontal="left" vertical="center" wrapText="1" indent="1"/>
    </xf>
    <xf numFmtId="173" fontId="17" fillId="0" borderId="0" xfId="63" applyNumberFormat="1">
      <alignment/>
      <protection/>
    </xf>
    <xf numFmtId="173" fontId="29" fillId="0" borderId="10" xfId="63" applyNumberFormat="1" applyFont="1" applyBorder="1" applyAlignment="1">
      <alignment horizontal="left" vertical="center"/>
      <protection/>
    </xf>
    <xf numFmtId="173" fontId="32" fillId="0" borderId="29" xfId="63" applyNumberFormat="1" applyFont="1" applyBorder="1" applyAlignment="1">
      <alignment horizontal="right" vertical="center" wrapText="1" indent="1"/>
      <protection/>
    </xf>
    <xf numFmtId="173" fontId="0" fillId="0" borderId="0" xfId="0" applyNumberFormat="1" applyAlignment="1">
      <alignment vertical="center" wrapText="1"/>
    </xf>
    <xf numFmtId="17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73" fontId="30" fillId="0" borderId="0" xfId="0" applyNumberFormat="1" applyFont="1" applyAlignment="1">
      <alignment horizontal="right" vertical="center"/>
    </xf>
    <xf numFmtId="173" fontId="31" fillId="0" borderId="13" xfId="0" applyNumberFormat="1" applyFont="1" applyBorder="1" applyAlignment="1">
      <alignment horizontal="center" vertical="center" wrapText="1"/>
    </xf>
    <xf numFmtId="173" fontId="31" fillId="0" borderId="14" xfId="0" applyNumberFormat="1" applyFont="1" applyBorder="1" applyAlignment="1">
      <alignment horizontal="center" vertical="center" wrapText="1"/>
    </xf>
    <xf numFmtId="173" fontId="31" fillId="0" borderId="36" xfId="0" applyNumberFormat="1" applyFont="1" applyBorder="1" applyAlignment="1">
      <alignment horizontal="center" vertical="center" wrapText="1"/>
    </xf>
    <xf numFmtId="173" fontId="31" fillId="0" borderId="29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173" fontId="38" fillId="0" borderId="0" xfId="0" applyNumberFormat="1" applyFont="1" applyAlignment="1">
      <alignment horizontal="center" vertical="center" wrapText="1"/>
    </xf>
    <xf numFmtId="173" fontId="32" fillId="0" borderId="37" xfId="0" applyNumberFormat="1" applyFont="1" applyBorder="1" applyAlignment="1">
      <alignment horizontal="center" vertical="center" wrapText="1"/>
    </xf>
    <xf numFmtId="173" fontId="32" fillId="0" borderId="13" xfId="0" applyNumberFormat="1" applyFont="1" applyBorder="1" applyAlignment="1">
      <alignment horizontal="center" vertical="center" wrapText="1"/>
    </xf>
    <xf numFmtId="173" fontId="32" fillId="0" borderId="14" xfId="0" applyNumberFormat="1" applyFont="1" applyBorder="1" applyAlignment="1">
      <alignment horizontal="center" vertical="center" wrapText="1"/>
    </xf>
    <xf numFmtId="173" fontId="32" fillId="0" borderId="29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 wrapText="1"/>
    </xf>
    <xf numFmtId="173" fontId="0" fillId="0" borderId="38" xfId="0" applyNumberFormat="1" applyBorder="1" applyAlignment="1">
      <alignment horizontal="left" vertical="center" wrapText="1" indent="1"/>
    </xf>
    <xf numFmtId="173" fontId="33" fillId="0" borderId="17" xfId="0" applyNumberFormat="1" applyFont="1" applyBorder="1" applyAlignment="1">
      <alignment horizontal="left" vertical="center" wrapText="1" indent="1"/>
    </xf>
    <xf numFmtId="173" fontId="33" fillId="0" borderId="18" xfId="0" applyNumberFormat="1" applyFont="1" applyBorder="1" applyAlignment="1" applyProtection="1">
      <alignment horizontal="right" vertical="center" wrapText="1" indent="1"/>
      <protection locked="0"/>
    </xf>
    <xf numFmtId="173" fontId="0" fillId="0" borderId="39" xfId="0" applyNumberFormat="1" applyBorder="1" applyAlignment="1">
      <alignment horizontal="left" vertical="center" wrapText="1" indent="1"/>
    </xf>
    <xf numFmtId="173" fontId="33" fillId="0" borderId="20" xfId="0" applyNumberFormat="1" applyFont="1" applyBorder="1" applyAlignment="1">
      <alignment horizontal="left" vertical="center" wrapText="1" indent="1"/>
    </xf>
    <xf numFmtId="173" fontId="33" fillId="0" borderId="19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40" xfId="0" applyNumberFormat="1" applyFont="1" applyBorder="1" applyAlignment="1">
      <alignment horizontal="left" vertical="center" wrapText="1" indent="1"/>
    </xf>
    <xf numFmtId="173" fontId="33" fillId="0" borderId="41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20" xfId="0" applyNumberFormat="1" applyFont="1" applyBorder="1" applyAlignment="1" applyProtection="1">
      <alignment horizontal="left" vertical="center" wrapText="1" indent="1"/>
      <protection locked="0"/>
    </xf>
    <xf numFmtId="173" fontId="33" fillId="0" borderId="42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0" xfId="0" applyNumberFormat="1" applyFont="1" applyAlignment="1" applyProtection="1">
      <alignment horizontal="left" vertical="center" wrapText="1" indent="1"/>
      <protection locked="0"/>
    </xf>
    <xf numFmtId="173" fontId="33" fillId="0" borderId="21" xfId="0" applyNumberFormat="1" applyFont="1" applyBorder="1" applyAlignment="1" applyProtection="1">
      <alignment horizontal="left" vertical="center" wrapText="1" indent="1"/>
      <protection locked="0"/>
    </xf>
    <xf numFmtId="173" fontId="33" fillId="0" borderId="22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43" xfId="0" applyNumberFormat="1" applyFont="1" applyBorder="1" applyAlignment="1" applyProtection="1">
      <alignment horizontal="right" vertical="center" wrapText="1" indent="1"/>
      <protection locked="0"/>
    </xf>
    <xf numFmtId="173" fontId="38" fillId="0" borderId="37" xfId="0" applyNumberFormat="1" applyFont="1" applyBorder="1" applyAlignment="1">
      <alignment horizontal="left" vertical="center" wrapText="1" indent="1"/>
    </xf>
    <xf numFmtId="173" fontId="32" fillId="0" borderId="13" xfId="0" applyNumberFormat="1" applyFont="1" applyBorder="1" applyAlignment="1">
      <alignment horizontal="left" vertical="center" wrapText="1" indent="1"/>
    </xf>
    <xf numFmtId="173" fontId="32" fillId="0" borderId="14" xfId="0" applyNumberFormat="1" applyFont="1" applyBorder="1" applyAlignment="1">
      <alignment horizontal="right" vertical="center" wrapText="1" indent="1"/>
    </xf>
    <xf numFmtId="173" fontId="0" fillId="0" borderId="44" xfId="0" applyNumberFormat="1" applyBorder="1" applyAlignment="1">
      <alignment horizontal="left" vertical="center" wrapText="1" indent="1"/>
    </xf>
    <xf numFmtId="173" fontId="33" fillId="0" borderId="34" xfId="0" applyNumberFormat="1" applyFont="1" applyBorder="1" applyAlignment="1">
      <alignment horizontal="left" vertical="center" wrapText="1" indent="1"/>
    </xf>
    <xf numFmtId="173" fontId="39" fillId="0" borderId="23" xfId="0" applyNumberFormat="1" applyFont="1" applyBorder="1" applyAlignment="1">
      <alignment horizontal="right" vertical="center" wrapText="1" indent="1"/>
    </xf>
    <xf numFmtId="173" fontId="33" fillId="0" borderId="23" xfId="0" applyNumberFormat="1" applyFont="1" applyBorder="1" applyAlignment="1" applyProtection="1">
      <alignment horizontal="right" vertical="center" wrapText="1" indent="1"/>
      <protection locked="0"/>
    </xf>
    <xf numFmtId="173" fontId="39" fillId="0" borderId="19" xfId="0" applyNumberFormat="1" applyFont="1" applyBorder="1" applyAlignment="1">
      <alignment horizontal="right" vertical="center" wrapText="1" indent="1"/>
    </xf>
    <xf numFmtId="173" fontId="38" fillId="0" borderId="13" xfId="0" applyNumberFormat="1" applyFont="1" applyBorder="1" applyAlignment="1">
      <alignment horizontal="left" vertical="center" wrapText="1" indent="1"/>
    </xf>
    <xf numFmtId="173" fontId="38" fillId="0" borderId="14" xfId="0" applyNumberFormat="1" applyFont="1" applyBorder="1" applyAlignment="1">
      <alignment horizontal="right" vertical="center" wrapText="1" indent="1"/>
    </xf>
    <xf numFmtId="173" fontId="38" fillId="0" borderId="15" xfId="0" applyNumberFormat="1" applyFont="1" applyBorder="1" applyAlignment="1">
      <alignment horizontal="right" vertical="center" wrapText="1" indent="1"/>
    </xf>
    <xf numFmtId="173" fontId="33" fillId="0" borderId="20" xfId="0" applyNumberFormat="1" applyFont="1" applyBorder="1" applyAlignment="1" applyProtection="1">
      <alignment horizontal="left" vertical="center" wrapText="1" indent="6"/>
      <protection locked="0"/>
    </xf>
    <xf numFmtId="173" fontId="33" fillId="0" borderId="20" xfId="0" applyNumberFormat="1" applyFont="1" applyBorder="1" applyAlignment="1" applyProtection="1">
      <alignment horizontal="left" vertical="center" wrapText="1" indent="3"/>
      <protection locked="0"/>
    </xf>
    <xf numFmtId="173" fontId="33" fillId="0" borderId="34" xfId="0" applyNumberFormat="1" applyFont="1" applyBorder="1" applyAlignment="1" applyProtection="1">
      <alignment horizontal="left" vertical="center" wrapText="1" indent="1"/>
      <protection locked="0"/>
    </xf>
    <xf numFmtId="173" fontId="33" fillId="0" borderId="45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11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25" xfId="0" applyNumberFormat="1" applyFont="1" applyBorder="1" applyAlignment="1" applyProtection="1">
      <alignment horizontal="right" vertical="center" wrapText="1" indent="1"/>
      <protection locked="0"/>
    </xf>
    <xf numFmtId="173" fontId="32" fillId="0" borderId="29" xfId="0" applyNumberFormat="1" applyFont="1" applyBorder="1" applyAlignment="1">
      <alignment horizontal="right" vertical="center" wrapText="1" indent="1"/>
    </xf>
    <xf numFmtId="173" fontId="39" fillId="0" borderId="34" xfId="0" applyNumberFormat="1" applyFont="1" applyBorder="1" applyAlignment="1">
      <alignment horizontal="left" vertical="center" wrapText="1" indent="1"/>
    </xf>
    <xf numFmtId="173" fontId="39" fillId="0" borderId="18" xfId="0" applyNumberFormat="1" applyFont="1" applyBorder="1" applyAlignment="1">
      <alignment horizontal="right" vertical="center" wrapText="1" indent="1"/>
    </xf>
    <xf numFmtId="173" fontId="33" fillId="0" borderId="46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20" xfId="0" applyNumberFormat="1" applyFont="1" applyBorder="1" applyAlignment="1">
      <alignment horizontal="left" vertical="center" wrapText="1" indent="2"/>
    </xf>
    <xf numFmtId="173" fontId="33" fillId="0" borderId="19" xfId="0" applyNumberFormat="1" applyFont="1" applyBorder="1" applyAlignment="1">
      <alignment horizontal="left" vertical="center" wrapText="1" indent="2"/>
    </xf>
    <xf numFmtId="173" fontId="39" fillId="0" borderId="19" xfId="0" applyNumberFormat="1" applyFont="1" applyBorder="1" applyAlignment="1">
      <alignment horizontal="left" vertical="center" wrapText="1" indent="1"/>
    </xf>
    <xf numFmtId="173" fontId="33" fillId="0" borderId="17" xfId="0" applyNumberFormat="1" applyFont="1" applyBorder="1" applyAlignment="1" applyProtection="1">
      <alignment horizontal="left" vertical="center" wrapText="1" indent="1"/>
      <protection locked="0"/>
    </xf>
    <xf numFmtId="173" fontId="33" fillId="0" borderId="17" xfId="0" applyNumberFormat="1" applyFont="1" applyBorder="1" applyAlignment="1">
      <alignment horizontal="left" vertical="center" wrapText="1" indent="2"/>
    </xf>
    <xf numFmtId="173" fontId="33" fillId="0" borderId="21" xfId="0" applyNumberFormat="1" applyFont="1" applyBorder="1" applyAlignment="1">
      <alignment horizontal="left" vertical="center" wrapText="1" indent="2"/>
    </xf>
    <xf numFmtId="173" fontId="38" fillId="0" borderId="29" xfId="0" applyNumberFormat="1" applyFont="1" applyBorder="1" applyAlignment="1">
      <alignment horizontal="right" vertical="center" wrapText="1" indent="1"/>
    </xf>
    <xf numFmtId="0" fontId="40" fillId="0" borderId="0" xfId="0" applyFont="1" applyAlignment="1">
      <alignment horizontal="center"/>
    </xf>
    <xf numFmtId="3" fontId="24" fillId="0" borderId="0" xfId="0" applyNumberFormat="1" applyFont="1" applyAlignment="1">
      <alignment horizontal="right" indent="1"/>
    </xf>
    <xf numFmtId="0" fontId="24" fillId="0" borderId="0" xfId="0" applyFont="1" applyAlignment="1">
      <alignment horizontal="right" indent="1"/>
    </xf>
    <xf numFmtId="3" fontId="31" fillId="0" borderId="0" xfId="0" applyNumberFormat="1" applyFont="1" applyAlignment="1">
      <alignment horizontal="right" indent="1"/>
    </xf>
    <xf numFmtId="0" fontId="31" fillId="0" borderId="14" xfId="0" applyFont="1" applyBorder="1" applyAlignment="1">
      <alignment horizontal="center" vertical="center" wrapText="1"/>
    </xf>
    <xf numFmtId="173" fontId="31" fillId="0" borderId="15" xfId="0" applyNumberFormat="1" applyFont="1" applyBorder="1" applyAlignment="1">
      <alignment horizontal="center" vertical="center" wrapText="1"/>
    </xf>
    <xf numFmtId="173" fontId="32" fillId="0" borderId="28" xfId="0" applyNumberFormat="1" applyFont="1" applyBorder="1" applyAlignment="1">
      <alignment horizontal="center" vertical="center" wrapText="1"/>
    </xf>
    <xf numFmtId="173" fontId="32" fillId="0" borderId="27" xfId="0" applyNumberFormat="1" applyFont="1" applyBorder="1" applyAlignment="1">
      <alignment horizontal="center" vertical="center" wrapText="1"/>
    </xf>
    <xf numFmtId="173" fontId="32" fillId="0" borderId="47" xfId="0" applyNumberFormat="1" applyFont="1" applyBorder="1" applyAlignment="1">
      <alignment horizontal="center" vertical="center" wrapText="1"/>
    </xf>
    <xf numFmtId="173" fontId="32" fillId="0" borderId="48" xfId="0" applyNumberFormat="1" applyFont="1" applyBorder="1" applyAlignment="1">
      <alignment horizontal="center" vertical="center" wrapText="1"/>
    </xf>
    <xf numFmtId="173" fontId="33" fillId="0" borderId="19" xfId="0" applyNumberFormat="1" applyFont="1" applyBorder="1" applyAlignment="1" applyProtection="1">
      <alignment vertical="center" wrapText="1"/>
      <protection locked="0"/>
    </xf>
    <xf numFmtId="1" fontId="33" fillId="0" borderId="19" xfId="0" applyNumberFormat="1" applyFont="1" applyBorder="1" applyAlignment="1" applyProtection="1">
      <alignment vertical="center" wrapText="1"/>
      <protection locked="0"/>
    </xf>
    <xf numFmtId="173" fontId="33" fillId="0" borderId="41" xfId="0" applyNumberFormat="1" applyFont="1" applyBorder="1" applyAlignment="1" applyProtection="1">
      <alignment vertical="center" wrapText="1"/>
      <protection locked="0"/>
    </xf>
    <xf numFmtId="173" fontId="32" fillId="0" borderId="42" xfId="0" applyNumberFormat="1" applyFont="1" applyBorder="1" applyAlignment="1">
      <alignment vertical="center" wrapText="1"/>
    </xf>
    <xf numFmtId="173" fontId="33" fillId="0" borderId="22" xfId="0" applyNumberFormat="1" applyFont="1" applyBorder="1" applyAlignment="1" applyProtection="1">
      <alignment vertical="center" wrapText="1"/>
      <protection locked="0"/>
    </xf>
    <xf numFmtId="173" fontId="31" fillId="0" borderId="13" xfId="0" applyNumberFormat="1" applyFont="1" applyBorder="1" applyAlignment="1">
      <alignment horizontal="left" vertical="center" wrapText="1"/>
    </xf>
    <xf numFmtId="173" fontId="32" fillId="0" borderId="14" xfId="0" applyNumberFormat="1" applyFont="1" applyBorder="1" applyAlignment="1">
      <alignment vertical="center" wrapText="1"/>
    </xf>
    <xf numFmtId="173" fontId="32" fillId="18" borderId="14" xfId="0" applyNumberFormat="1" applyFont="1" applyFill="1" applyBorder="1" applyAlignment="1">
      <alignment vertical="center" wrapText="1"/>
    </xf>
    <xf numFmtId="173" fontId="32" fillId="0" borderId="29" xfId="0" applyNumberFormat="1" applyFont="1" applyBorder="1" applyAlignment="1">
      <alignment vertical="center" wrapText="1"/>
    </xf>
    <xf numFmtId="173" fontId="38" fillId="0" borderId="0" xfId="0" applyNumberFormat="1" applyFont="1" applyAlignment="1">
      <alignment vertical="center" wrapText="1"/>
    </xf>
    <xf numFmtId="0" fontId="37" fillId="0" borderId="0" xfId="0" applyFont="1" applyAlignment="1" applyProtection="1">
      <alignment textRotation="180" wrapText="1"/>
      <protection locked="0"/>
    </xf>
    <xf numFmtId="173" fontId="41" fillId="0" borderId="0" xfId="0" applyNumberFormat="1" applyFont="1" applyAlignment="1">
      <alignment vertical="center" wrapText="1"/>
    </xf>
    <xf numFmtId="173" fontId="32" fillId="0" borderId="37" xfId="0" applyNumberFormat="1" applyFont="1" applyBorder="1" applyAlignment="1">
      <alignment horizontal="center" vertical="center"/>
    </xf>
    <xf numFmtId="173" fontId="32" fillId="0" borderId="49" xfId="0" applyNumberFormat="1" applyFont="1" applyBorder="1" applyAlignment="1">
      <alignment horizontal="center" vertical="center"/>
    </xf>
    <xf numFmtId="173" fontId="32" fillId="0" borderId="50" xfId="0" applyNumberFormat="1" applyFont="1" applyBorder="1" applyAlignment="1">
      <alignment horizontal="center" vertical="center"/>
    </xf>
    <xf numFmtId="173" fontId="32" fillId="0" borderId="50" xfId="0" applyNumberFormat="1" applyFont="1" applyBorder="1" applyAlignment="1">
      <alignment horizontal="center" vertical="center" wrapText="1"/>
    </xf>
    <xf numFmtId="49" fontId="33" fillId="0" borderId="51" xfId="0" applyNumberFormat="1" applyFont="1" applyBorder="1" applyAlignment="1">
      <alignment horizontal="left" vertical="center"/>
    </xf>
    <xf numFmtId="3" fontId="33" fillId="0" borderId="52" xfId="0" applyNumberFormat="1" applyFont="1" applyBorder="1" applyAlignment="1" applyProtection="1">
      <alignment horizontal="right" vertical="center"/>
      <protection locked="0"/>
    </xf>
    <xf numFmtId="3" fontId="33" fillId="0" borderId="52" xfId="0" applyNumberFormat="1" applyFont="1" applyBorder="1" applyAlignment="1" applyProtection="1">
      <alignment horizontal="right" vertical="center" wrapText="1"/>
      <protection locked="0"/>
    </xf>
    <xf numFmtId="3" fontId="33" fillId="0" borderId="53" xfId="0" applyNumberFormat="1" applyFont="1" applyBorder="1" applyAlignment="1" applyProtection="1">
      <alignment horizontal="right" vertical="center" wrapText="1"/>
      <protection locked="0"/>
    </xf>
    <xf numFmtId="173" fontId="32" fillId="0" borderId="53" xfId="0" applyNumberFormat="1" applyFont="1" applyBorder="1" applyAlignment="1">
      <alignment horizontal="right" vertical="center" wrapText="1"/>
    </xf>
    <xf numFmtId="4" fontId="32" fillId="0" borderId="53" xfId="0" applyNumberFormat="1" applyFont="1" applyBorder="1" applyAlignment="1">
      <alignment horizontal="right" vertical="center" wrapText="1"/>
    </xf>
    <xf numFmtId="49" fontId="39" fillId="0" borderId="54" xfId="0" applyNumberFormat="1" applyFont="1" applyBorder="1" applyAlignment="1">
      <alignment horizontal="left" vertical="center" indent="1"/>
    </xf>
    <xf numFmtId="3" fontId="39" fillId="0" borderId="39" xfId="0" applyNumberFormat="1" applyFont="1" applyBorder="1" applyAlignment="1" applyProtection="1">
      <alignment horizontal="right" vertical="center"/>
      <protection locked="0"/>
    </xf>
    <xf numFmtId="3" fontId="39" fillId="0" borderId="39" xfId="0" applyNumberFormat="1" applyFont="1" applyBorder="1" applyAlignment="1" applyProtection="1">
      <alignment horizontal="right" vertical="center" wrapText="1"/>
      <protection locked="0"/>
    </xf>
    <xf numFmtId="173" fontId="32" fillId="0" borderId="39" xfId="0" applyNumberFormat="1" applyFont="1" applyBorder="1" applyAlignment="1">
      <alignment horizontal="right" vertical="center" wrapText="1"/>
    </xf>
    <xf numFmtId="4" fontId="32" fillId="0" borderId="39" xfId="0" applyNumberFormat="1" applyFont="1" applyBorder="1" applyAlignment="1">
      <alignment horizontal="right" vertical="center" wrapText="1"/>
    </xf>
    <xf numFmtId="49" fontId="33" fillId="0" borderId="54" xfId="0" applyNumberFormat="1" applyFont="1" applyBorder="1" applyAlignment="1">
      <alignment horizontal="left" vertical="center"/>
    </xf>
    <xf numFmtId="3" fontId="33" fillId="0" borderId="39" xfId="0" applyNumberFormat="1" applyFont="1" applyBorder="1" applyAlignment="1" applyProtection="1">
      <alignment horizontal="right" vertical="center"/>
      <protection locked="0"/>
    </xf>
    <xf numFmtId="3" fontId="33" fillId="0" borderId="39" xfId="0" applyNumberFormat="1" applyFont="1" applyBorder="1" applyAlignment="1" applyProtection="1">
      <alignment horizontal="right" vertical="center" wrapText="1"/>
      <protection locked="0"/>
    </xf>
    <xf numFmtId="49" fontId="33" fillId="0" borderId="55" xfId="0" applyNumberFormat="1" applyFont="1" applyBorder="1" applyAlignment="1" applyProtection="1">
      <alignment horizontal="left" vertical="center"/>
      <protection locked="0"/>
    </xf>
    <xf numFmtId="3" fontId="33" fillId="0" borderId="56" xfId="0" applyNumberFormat="1" applyFont="1" applyBorder="1" applyAlignment="1" applyProtection="1">
      <alignment horizontal="right" vertical="center"/>
      <protection locked="0"/>
    </xf>
    <xf numFmtId="3" fontId="33" fillId="0" borderId="56" xfId="0" applyNumberFormat="1" applyFont="1" applyBorder="1" applyAlignment="1" applyProtection="1">
      <alignment horizontal="right" vertical="center" wrapText="1"/>
      <protection locked="0"/>
    </xf>
    <xf numFmtId="4" fontId="32" fillId="0" borderId="57" xfId="0" applyNumberFormat="1" applyFont="1" applyBorder="1" applyAlignment="1">
      <alignment horizontal="right" vertical="center" wrapText="1"/>
    </xf>
    <xf numFmtId="49" fontId="32" fillId="0" borderId="58" xfId="0" applyNumberFormat="1" applyFont="1" applyBorder="1" applyAlignment="1" applyProtection="1">
      <alignment horizontal="left" vertical="center" indent="1"/>
      <protection locked="0"/>
    </xf>
    <xf numFmtId="173" fontId="32" fillId="0" borderId="37" xfId="0" applyNumberFormat="1" applyFont="1" applyBorder="1" applyAlignment="1">
      <alignment vertical="center"/>
    </xf>
    <xf numFmtId="4" fontId="33" fillId="0" borderId="37" xfId="0" applyNumberFormat="1" applyFont="1" applyBorder="1" applyAlignment="1" applyProtection="1">
      <alignment vertical="center" wrapText="1"/>
      <protection locked="0"/>
    </xf>
    <xf numFmtId="49" fontId="32" fillId="0" borderId="59" xfId="0" applyNumberFormat="1" applyFont="1" applyBorder="1" applyAlignment="1" applyProtection="1">
      <alignment vertical="center"/>
      <protection locked="0"/>
    </xf>
    <xf numFmtId="49" fontId="32" fillId="0" borderId="59" xfId="0" applyNumberFormat="1" applyFont="1" applyBorder="1" applyAlignment="1" applyProtection="1">
      <alignment horizontal="right" vertical="center"/>
      <protection locked="0"/>
    </xf>
    <xf numFmtId="3" fontId="33" fillId="0" borderId="59" xfId="0" applyNumberFormat="1" applyFont="1" applyBorder="1" applyAlignment="1" applyProtection="1">
      <alignment horizontal="right" vertical="center" wrapText="1"/>
      <protection locked="0"/>
    </xf>
    <xf numFmtId="49" fontId="32" fillId="0" borderId="10" xfId="0" applyNumberFormat="1" applyFont="1" applyBorder="1" applyAlignment="1" applyProtection="1">
      <alignment vertical="center"/>
      <protection locked="0"/>
    </xf>
    <xf numFmtId="49" fontId="32" fillId="0" borderId="10" xfId="0" applyNumberFormat="1" applyFont="1" applyBorder="1" applyAlignment="1" applyProtection="1">
      <alignment horizontal="right" vertical="center"/>
      <protection locked="0"/>
    </xf>
    <xf numFmtId="3" fontId="33" fillId="0" borderId="10" xfId="0" applyNumberFormat="1" applyFont="1" applyBorder="1" applyAlignment="1" applyProtection="1">
      <alignment horizontal="right" vertical="center" wrapText="1"/>
      <protection locked="0"/>
    </xf>
    <xf numFmtId="49" fontId="33" fillId="0" borderId="17" xfId="0" applyNumberFormat="1" applyFont="1" applyBorder="1" applyAlignment="1">
      <alignment horizontal="left" vertical="center"/>
    </xf>
    <xf numFmtId="173" fontId="32" fillId="0" borderId="52" xfId="0" applyNumberFormat="1" applyFont="1" applyBorder="1" applyAlignment="1">
      <alignment horizontal="right" vertical="center" wrapText="1"/>
    </xf>
    <xf numFmtId="49" fontId="33" fillId="0" borderId="20" xfId="0" applyNumberFormat="1" applyFont="1" applyBorder="1" applyAlignment="1">
      <alignment horizontal="left" vertical="center"/>
    </xf>
    <xf numFmtId="49" fontId="33" fillId="0" borderId="20" xfId="0" applyNumberFormat="1" applyFont="1" applyBorder="1" applyAlignment="1" applyProtection="1">
      <alignment horizontal="left" vertical="center"/>
      <protection locked="0"/>
    </xf>
    <xf numFmtId="49" fontId="33" fillId="0" borderId="21" xfId="0" applyNumberFormat="1" applyFont="1" applyBorder="1" applyAlignment="1" applyProtection="1">
      <alignment horizontal="left" vertical="center"/>
      <protection locked="0"/>
    </xf>
    <xf numFmtId="174" fontId="32" fillId="0" borderId="37" xfId="0" applyNumberFormat="1" applyFont="1" applyBorder="1" applyAlignment="1">
      <alignment horizontal="left" vertical="center" wrapText="1" indent="1"/>
    </xf>
    <xf numFmtId="174" fontId="42" fillId="0" borderId="0" xfId="0" applyNumberFormat="1" applyFont="1" applyAlignment="1">
      <alignment horizontal="left" vertical="center" wrapText="1"/>
    </xf>
    <xf numFmtId="3" fontId="33" fillId="0" borderId="38" xfId="0" applyNumberFormat="1" applyFont="1" applyBorder="1" applyAlignment="1" applyProtection="1">
      <alignment horizontal="right" vertical="center" wrapText="1"/>
      <protection locked="0"/>
    </xf>
    <xf numFmtId="3" fontId="33" fillId="0" borderId="57" xfId="0" applyNumberFormat="1" applyFont="1" applyBorder="1" applyAlignment="1" applyProtection="1">
      <alignment horizontal="right" vertical="center" wrapText="1"/>
      <protection locked="0"/>
    </xf>
    <xf numFmtId="173" fontId="32" fillId="0" borderId="3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73" fontId="17" fillId="0" borderId="0" xfId="0" applyNumberFormat="1" applyFont="1" applyAlignment="1">
      <alignment horizontal="left" vertical="center" wrapText="1"/>
    </xf>
    <xf numFmtId="173" fontId="24" fillId="0" borderId="0" xfId="0" applyNumberFormat="1" applyFont="1" applyAlignment="1">
      <alignment vertical="center" wrapText="1"/>
    </xf>
    <xf numFmtId="0" fontId="43" fillId="0" borderId="0" xfId="0" applyFont="1" applyAlignment="1">
      <alignment horizontal="right" vertical="top"/>
    </xf>
    <xf numFmtId="0" fontId="43" fillId="0" borderId="0" xfId="0" applyFont="1" applyAlignment="1" applyProtection="1">
      <alignment horizontal="right" vertical="top"/>
      <protection locked="0"/>
    </xf>
    <xf numFmtId="49" fontId="17" fillId="0" borderId="0" xfId="0" applyNumberFormat="1" applyFont="1" applyAlignment="1">
      <alignment vertical="center" wrapText="1"/>
    </xf>
    <xf numFmtId="173" fontId="17" fillId="0" borderId="0" xfId="0" applyNumberFormat="1" applyFont="1" applyAlignment="1">
      <alignment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right" vertical="center" indent="1"/>
    </xf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31" fillId="0" borderId="61" xfId="0" applyFont="1" applyBorder="1" applyAlignment="1">
      <alignment horizontal="center" vertical="center" wrapText="1"/>
    </xf>
    <xf numFmtId="49" fontId="31" fillId="0" borderId="62" xfId="0" applyNumberFormat="1" applyFont="1" applyBorder="1" applyAlignment="1">
      <alignment horizontal="right" vertical="center" inden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33" fillId="0" borderId="17" xfId="63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 vertical="center" wrapText="1"/>
    </xf>
    <xf numFmtId="49" fontId="33" fillId="0" borderId="20" xfId="63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 wrapText="1"/>
    </xf>
    <xf numFmtId="49" fontId="33" fillId="0" borderId="21" xfId="63" applyNumberFormat="1" applyFont="1" applyBorder="1" applyAlignment="1">
      <alignment horizontal="center" vertical="center" wrapText="1"/>
      <protection/>
    </xf>
    <xf numFmtId="173" fontId="33" fillId="0" borderId="18" xfId="63" applyNumberFormat="1" applyFont="1" applyBorder="1" applyAlignment="1">
      <alignment horizontal="right" vertical="center" wrapText="1" indent="1"/>
      <protection/>
    </xf>
    <xf numFmtId="0" fontId="35" fillId="0" borderId="13" xfId="0" applyFont="1" applyBorder="1" applyAlignment="1">
      <alignment horizontal="center" wrapText="1"/>
    </xf>
    <xf numFmtId="173" fontId="32" fillId="0" borderId="15" xfId="63" applyNumberFormat="1" applyFont="1" applyBorder="1" applyAlignment="1">
      <alignment horizontal="right" vertical="center" wrapText="1" indent="1"/>
      <protection/>
    </xf>
    <xf numFmtId="0" fontId="34" fillId="0" borderId="22" xfId="0" applyFont="1" applyBorder="1" applyAlignment="1">
      <alignment wrapText="1"/>
    </xf>
    <xf numFmtId="0" fontId="34" fillId="0" borderId="17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173" fontId="32" fillId="0" borderId="14" xfId="63" applyNumberFormat="1" applyFont="1" applyBorder="1" applyAlignment="1" applyProtection="1">
      <alignment horizontal="right" vertical="center" wrapText="1" indent="1"/>
      <protection locked="0"/>
    </xf>
    <xf numFmtId="173" fontId="32" fillId="0" borderId="15" xfId="63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wrapText="1"/>
    </xf>
    <xf numFmtId="0" fontId="35" fillId="0" borderId="28" xfId="0" applyFont="1" applyBorder="1" applyAlignment="1">
      <alignment horizontal="center" wrapText="1"/>
    </xf>
    <xf numFmtId="0" fontId="35" fillId="0" borderId="27" xfId="0" applyFont="1" applyBorder="1" applyAlignment="1">
      <alignment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 indent="1"/>
    </xf>
    <xf numFmtId="173" fontId="32" fillId="0" borderId="0" xfId="0" applyNumberFormat="1" applyFont="1" applyAlignment="1">
      <alignment horizontal="right" vertical="center" wrapText="1" indent="1"/>
    </xf>
    <xf numFmtId="49" fontId="44" fillId="0" borderId="0" xfId="0" applyNumberFormat="1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 wrapText="1" indent="1"/>
    </xf>
    <xf numFmtId="0" fontId="32" fillId="0" borderId="30" xfId="63" applyFont="1" applyBorder="1" applyAlignment="1">
      <alignment horizontal="center" vertical="center" wrapText="1"/>
      <protection/>
    </xf>
    <xf numFmtId="173" fontId="32" fillId="0" borderId="64" xfId="63" applyNumberFormat="1" applyFont="1" applyBorder="1" applyAlignment="1">
      <alignment horizontal="right" vertical="center" wrapText="1" indent="1"/>
      <protection/>
    </xf>
    <xf numFmtId="49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vertical="center" wrapText="1"/>
    </xf>
    <xf numFmtId="49" fontId="33" fillId="0" borderId="31" xfId="63" applyNumberFormat="1" applyFont="1" applyBorder="1" applyAlignment="1">
      <alignment horizontal="center" vertical="center" wrapText="1"/>
      <protection/>
    </xf>
    <xf numFmtId="173" fontId="33" fillId="0" borderId="60" xfId="63" applyNumberFormat="1" applyFont="1" applyBorder="1" applyAlignment="1" applyProtection="1">
      <alignment horizontal="right" vertical="center" wrapText="1" indent="1"/>
      <protection locked="0"/>
    </xf>
    <xf numFmtId="173" fontId="33" fillId="0" borderId="42" xfId="63" applyNumberFormat="1" applyFont="1" applyBorder="1" applyAlignment="1" applyProtection="1">
      <alignment horizontal="right" vertical="center" wrapText="1" indent="1"/>
      <protection locked="0"/>
    </xf>
    <xf numFmtId="173" fontId="33" fillId="0" borderId="43" xfId="63" applyNumberFormat="1" applyFont="1" applyBorder="1" applyAlignment="1" applyProtection="1">
      <alignment horizontal="right" vertical="center" wrapText="1" indent="1"/>
      <protection locked="0"/>
    </xf>
    <xf numFmtId="49" fontId="33" fillId="0" borderId="34" xfId="63" applyNumberFormat="1" applyFont="1" applyBorder="1" applyAlignment="1">
      <alignment horizontal="center" vertical="center" wrapText="1"/>
      <protection/>
    </xf>
    <xf numFmtId="49" fontId="33" fillId="0" borderId="35" xfId="63" applyNumberFormat="1" applyFont="1" applyBorder="1" applyAlignment="1">
      <alignment horizontal="center" vertical="center" wrapText="1"/>
      <protection/>
    </xf>
    <xf numFmtId="173" fontId="33" fillId="0" borderId="12" xfId="63" applyNumberFormat="1" applyFont="1" applyBorder="1" applyAlignment="1" applyProtection="1">
      <alignment horizontal="right" vertical="center" wrapText="1" indent="1"/>
      <protection locked="0"/>
    </xf>
    <xf numFmtId="173" fontId="33" fillId="0" borderId="46" xfId="63" applyNumberFormat="1" applyFont="1" applyBorder="1" applyAlignment="1" applyProtection="1">
      <alignment horizontal="right" vertical="center" wrapText="1" indent="1"/>
      <protection locked="0"/>
    </xf>
    <xf numFmtId="175" fontId="0" fillId="0" borderId="0" xfId="0" applyNumberFormat="1" applyAlignment="1">
      <alignment vertical="center" wrapText="1"/>
    </xf>
    <xf numFmtId="173" fontId="35" fillId="0" borderId="29" xfId="0" applyNumberFormat="1" applyFont="1" applyBorder="1" applyAlignment="1">
      <alignment horizontal="right" vertical="center" wrapText="1" indent="1"/>
    </xf>
    <xf numFmtId="173" fontId="36" fillId="0" borderId="29" xfId="0" applyNumberFormat="1" applyFont="1" applyBorder="1" applyAlignment="1">
      <alignment horizontal="right" vertical="center" wrapText="1" indent="1"/>
    </xf>
    <xf numFmtId="0" fontId="35" fillId="0" borderId="28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/>
    </xf>
    <xf numFmtId="0" fontId="38" fillId="0" borderId="36" xfId="0" applyFont="1" applyBorder="1" applyAlignment="1">
      <alignment vertical="center" wrapText="1"/>
    </xf>
    <xf numFmtId="3" fontId="38" fillId="0" borderId="14" xfId="0" applyNumberFormat="1" applyFont="1" applyBorder="1" applyAlignment="1" applyProtection="1">
      <alignment horizontal="right" vertical="center" wrapText="1" indent="1"/>
      <protection locked="0"/>
    </xf>
    <xf numFmtId="3" fontId="38" fillId="0" borderId="36" xfId="0" applyNumberFormat="1" applyFont="1" applyBorder="1" applyAlignment="1" applyProtection="1">
      <alignment horizontal="right" vertical="center" wrapText="1" indent="1"/>
      <protection locked="0"/>
    </xf>
    <xf numFmtId="3" fontId="38" fillId="0" borderId="15" xfId="0" applyNumberFormat="1" applyFont="1" applyBorder="1" applyAlignment="1" applyProtection="1">
      <alignment horizontal="right" vertical="center" wrapText="1" indent="1"/>
      <protection locked="0"/>
    </xf>
    <xf numFmtId="0" fontId="45" fillId="0" borderId="0" xfId="0" applyFont="1" applyAlignment="1">
      <alignment horizontal="right" vertical="top"/>
    </xf>
    <xf numFmtId="173" fontId="33" fillId="0" borderId="24" xfId="63" applyNumberFormat="1" applyFont="1" applyBorder="1" applyAlignment="1">
      <alignment horizontal="right" vertical="center" wrapText="1" indent="1"/>
      <protection/>
    </xf>
    <xf numFmtId="173" fontId="32" fillId="0" borderId="65" xfId="63" applyNumberFormat="1" applyFont="1" applyBorder="1" applyAlignment="1">
      <alignment horizontal="right" vertical="center" wrapText="1" indent="1"/>
      <protection/>
    </xf>
    <xf numFmtId="173" fontId="33" fillId="0" borderId="32" xfId="63" applyNumberFormat="1" applyFont="1" applyBorder="1" applyAlignment="1" applyProtection="1">
      <alignment horizontal="right" vertical="center" wrapText="1" indent="1"/>
      <protection locked="0"/>
    </xf>
    <xf numFmtId="173" fontId="33" fillId="0" borderId="66" xfId="63" applyNumberFormat="1" applyFont="1" applyBorder="1" applyAlignment="1" applyProtection="1">
      <alignment horizontal="right" vertical="center" wrapText="1" indent="1"/>
      <protection locked="0"/>
    </xf>
    <xf numFmtId="173" fontId="33" fillId="0" borderId="11" xfId="63" applyNumberFormat="1" applyFont="1" applyBorder="1" applyAlignment="1" applyProtection="1">
      <alignment horizontal="right" vertical="center" wrapText="1" indent="1"/>
      <protection locked="0"/>
    </xf>
    <xf numFmtId="173" fontId="33" fillId="0" borderId="67" xfId="63" applyNumberFormat="1" applyFont="1" applyBorder="1" applyAlignment="1" applyProtection="1">
      <alignment horizontal="right" vertical="center" wrapText="1" indent="1"/>
      <protection locked="0"/>
    </xf>
    <xf numFmtId="173" fontId="35" fillId="0" borderId="14" xfId="0" applyNumberFormat="1" applyFont="1" applyBorder="1" applyAlignment="1">
      <alignment horizontal="right" vertical="center" wrapText="1" indent="1"/>
    </xf>
    <xf numFmtId="173" fontId="35" fillId="0" borderId="15" xfId="0" applyNumberFormat="1" applyFont="1" applyBorder="1" applyAlignment="1">
      <alignment horizontal="right" vertical="center" wrapText="1" indent="1"/>
    </xf>
    <xf numFmtId="173" fontId="36" fillId="0" borderId="14" xfId="0" applyNumberFormat="1" applyFont="1" applyBorder="1" applyAlignment="1">
      <alignment horizontal="right" vertical="center" wrapText="1" indent="1"/>
    </xf>
    <xf numFmtId="173" fontId="36" fillId="0" borderId="15" xfId="0" applyNumberFormat="1" applyFont="1" applyBorder="1" applyAlignment="1">
      <alignment horizontal="right" vertical="center" wrapText="1" indent="1"/>
    </xf>
    <xf numFmtId="0" fontId="45" fillId="0" borderId="0" xfId="0" applyFont="1" applyAlignment="1" applyProtection="1">
      <alignment horizontal="right" vertical="top"/>
      <protection locked="0"/>
    </xf>
    <xf numFmtId="49" fontId="31" fillId="0" borderId="60" xfId="0" applyNumberFormat="1" applyFont="1" applyBorder="1" applyAlignment="1">
      <alignment horizontal="right" vertical="center"/>
    </xf>
    <xf numFmtId="49" fontId="31" fillId="0" borderId="62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left" vertical="center" wrapText="1" indent="1"/>
    </xf>
    <xf numFmtId="173" fontId="32" fillId="0" borderId="36" xfId="0" applyNumberFormat="1" applyFont="1" applyBorder="1" applyAlignment="1">
      <alignment horizontal="right" vertical="center" wrapText="1" indent="1"/>
    </xf>
    <xf numFmtId="173" fontId="32" fillId="0" borderId="15" xfId="0" applyNumberFormat="1" applyFont="1" applyBorder="1" applyAlignment="1">
      <alignment horizontal="right" vertical="center" wrapText="1" indent="1"/>
    </xf>
    <xf numFmtId="49" fontId="33" fillId="0" borderId="31" xfId="0" applyNumberFormat="1" applyFont="1" applyBorder="1" applyAlignment="1">
      <alignment horizontal="center" vertical="center" wrapText="1"/>
    </xf>
    <xf numFmtId="173" fontId="33" fillId="0" borderId="32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68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66" xfId="0" applyNumberFormat="1" applyFont="1" applyBorder="1" applyAlignment="1" applyProtection="1">
      <alignment horizontal="right" vertical="center" wrapText="1" indent="1"/>
      <protection locked="0"/>
    </xf>
    <xf numFmtId="49" fontId="33" fillId="0" borderId="20" xfId="0" applyNumberFormat="1" applyFont="1" applyBorder="1" applyAlignment="1">
      <alignment horizontal="center" vertical="center" wrapText="1"/>
    </xf>
    <xf numFmtId="173" fontId="33" fillId="0" borderId="33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69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70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71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26" xfId="0" applyNumberFormat="1" applyFont="1" applyBorder="1" applyAlignment="1" applyProtection="1">
      <alignment horizontal="right" vertical="center" wrapText="1" indent="1"/>
      <protection locked="0"/>
    </xf>
    <xf numFmtId="173" fontId="32" fillId="0" borderId="14" xfId="0" applyNumberFormat="1" applyFont="1" applyBorder="1" applyAlignment="1" applyProtection="1">
      <alignment horizontal="right" vertical="center" wrapText="1" indent="1"/>
      <protection locked="0"/>
    </xf>
    <xf numFmtId="173" fontId="32" fillId="0" borderId="36" xfId="0" applyNumberFormat="1" applyFont="1" applyBorder="1" applyAlignment="1" applyProtection="1">
      <alignment horizontal="right" vertical="center" wrapText="1" indent="1"/>
      <protection locked="0"/>
    </xf>
    <xf numFmtId="173" fontId="32" fillId="0" borderId="15" xfId="0" applyNumberFormat="1" applyFont="1" applyBorder="1" applyAlignment="1" applyProtection="1">
      <alignment horizontal="right" vertical="center" wrapText="1" indent="1"/>
      <protection locked="0"/>
    </xf>
    <xf numFmtId="49" fontId="33" fillId="0" borderId="17" xfId="0" applyNumberFormat="1" applyFont="1" applyBorder="1" applyAlignment="1">
      <alignment horizontal="center" vertical="center" wrapText="1"/>
    </xf>
    <xf numFmtId="173" fontId="33" fillId="0" borderId="72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24" xfId="0" applyNumberFormat="1" applyFont="1" applyBorder="1" applyAlignment="1" applyProtection="1">
      <alignment horizontal="right" vertical="center" wrapText="1" indent="1"/>
      <protection locked="0"/>
    </xf>
    <xf numFmtId="0" fontId="33" fillId="0" borderId="27" xfId="63" applyFont="1" applyBorder="1" applyAlignment="1">
      <alignment horizontal="left" vertical="center" wrapText="1" indent="1"/>
      <protection/>
    </xf>
    <xf numFmtId="173" fontId="33" fillId="0" borderId="73" xfId="0" applyNumberFormat="1" applyFont="1" applyBorder="1" applyAlignment="1" applyProtection="1">
      <alignment horizontal="right" vertical="center" wrapText="1" indent="1"/>
      <protection locked="0"/>
    </xf>
    <xf numFmtId="173" fontId="33" fillId="0" borderId="67" xfId="0" applyNumberFormat="1" applyFont="1" applyBorder="1" applyAlignment="1" applyProtection="1">
      <alignment horizontal="right" vertical="center" wrapText="1" indent="1"/>
      <protection locked="0"/>
    </xf>
    <xf numFmtId="0" fontId="35" fillId="0" borderId="13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left" wrapText="1" indent="1"/>
    </xf>
    <xf numFmtId="0" fontId="31" fillId="0" borderId="14" xfId="0" applyFont="1" applyBorder="1" applyAlignment="1">
      <alignment horizontal="left" vertical="center" wrapText="1" indent="1"/>
    </xf>
    <xf numFmtId="3" fontId="38" fillId="0" borderId="29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right" vertical="center" wrapText="1" indent="1"/>
    </xf>
    <xf numFmtId="173" fontId="33" fillId="0" borderId="18" xfId="0" applyNumberFormat="1" applyFont="1" applyBorder="1" applyAlignment="1">
      <alignment vertical="center" wrapText="1"/>
    </xf>
    <xf numFmtId="173" fontId="33" fillId="0" borderId="46" xfId="0" applyNumberFormat="1" applyFont="1" applyBorder="1" applyAlignment="1" applyProtection="1">
      <alignment vertical="center" wrapText="1"/>
      <protection locked="0"/>
    </xf>
    <xf numFmtId="0" fontId="33" fillId="0" borderId="20" xfId="0" applyFont="1" applyBorder="1" applyAlignment="1">
      <alignment horizontal="right" vertical="center" wrapText="1" indent="1"/>
    </xf>
    <xf numFmtId="0" fontId="33" fillId="0" borderId="19" xfId="0" applyFont="1" applyBorder="1" applyAlignment="1" applyProtection="1">
      <alignment horizontal="left" vertical="center" wrapText="1"/>
      <protection locked="0"/>
    </xf>
    <xf numFmtId="173" fontId="33" fillId="0" borderId="42" xfId="0" applyNumberFormat="1" applyFont="1" applyBorder="1" applyAlignment="1" applyProtection="1">
      <alignment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173" fontId="33" fillId="0" borderId="43" xfId="0" applyNumberFormat="1" applyFont="1" applyBorder="1" applyAlignment="1" applyProtection="1">
      <alignment vertical="center" wrapText="1"/>
      <protection locked="0"/>
    </xf>
    <xf numFmtId="0" fontId="48" fillId="0" borderId="0" xfId="61" applyFont="1">
      <alignment/>
      <protection/>
    </xf>
    <xf numFmtId="0" fontId="49" fillId="0" borderId="0" xfId="61" applyFont="1" applyAlignment="1">
      <alignment wrapText="1"/>
      <protection/>
    </xf>
    <xf numFmtId="0" fontId="48" fillId="0" borderId="0" xfId="61" applyFont="1" applyAlignment="1">
      <alignment horizontal="right"/>
      <protection/>
    </xf>
    <xf numFmtId="0" fontId="49" fillId="0" borderId="10" xfId="61" applyFont="1" applyBorder="1" applyAlignment="1">
      <alignment horizontal="center" wrapText="1"/>
      <protection/>
    </xf>
    <xf numFmtId="0" fontId="48" fillId="0" borderId="31" xfId="61" applyFont="1" applyBorder="1">
      <alignment/>
      <protection/>
    </xf>
    <xf numFmtId="0" fontId="50" fillId="0" borderId="32" xfId="62" applyFont="1" applyBorder="1" applyAlignment="1">
      <alignment horizontal="center" wrapText="1"/>
      <protection/>
    </xf>
    <xf numFmtId="0" fontId="49" fillId="0" borderId="32" xfId="61" applyFont="1" applyBorder="1" applyAlignment="1">
      <alignment horizontal="center"/>
      <protection/>
    </xf>
    <xf numFmtId="0" fontId="49" fillId="0" borderId="60" xfId="61" applyFont="1" applyBorder="1" applyAlignment="1">
      <alignment horizontal="center"/>
      <protection/>
    </xf>
    <xf numFmtId="0" fontId="50" fillId="0" borderId="19" xfId="62" applyFont="1" applyBorder="1" applyAlignment="1">
      <alignment horizontal="center" wrapText="1"/>
      <protection/>
    </xf>
    <xf numFmtId="0" fontId="49" fillId="0" borderId="20" xfId="61" applyFont="1" applyBorder="1" applyAlignment="1">
      <alignment horizontal="center"/>
      <protection/>
    </xf>
    <xf numFmtId="0" fontId="50" fillId="19" borderId="19" xfId="61" applyFont="1" applyFill="1" applyBorder="1" applyAlignment="1">
      <alignment horizontal="center"/>
      <protection/>
    </xf>
    <xf numFmtId="49" fontId="50" fillId="19" borderId="19" xfId="61" applyNumberFormat="1" applyFont="1" applyFill="1" applyBorder="1" applyAlignment="1">
      <alignment horizontal="center"/>
      <protection/>
    </xf>
    <xf numFmtId="0" fontId="50" fillId="19" borderId="19" xfId="61" applyFont="1" applyFill="1" applyBorder="1">
      <alignment/>
      <protection/>
    </xf>
    <xf numFmtId="3" fontId="50" fillId="19" borderId="19" xfId="61" applyNumberFormat="1" applyFont="1" applyFill="1" applyBorder="1">
      <alignment/>
      <protection/>
    </xf>
    <xf numFmtId="3" fontId="50" fillId="19" borderId="42" xfId="61" applyNumberFormat="1" applyFont="1" applyFill="1" applyBorder="1">
      <alignment/>
      <protection/>
    </xf>
    <xf numFmtId="0" fontId="53" fillId="16" borderId="19" xfId="61" applyFont="1" applyFill="1" applyBorder="1" applyAlignment="1">
      <alignment horizontal="center"/>
      <protection/>
    </xf>
    <xf numFmtId="49" fontId="53" fillId="16" borderId="19" xfId="61" applyNumberFormat="1" applyFont="1" applyFill="1" applyBorder="1" applyAlignment="1">
      <alignment horizontal="center"/>
      <protection/>
    </xf>
    <xf numFmtId="0" fontId="53" fillId="16" borderId="19" xfId="61" applyFont="1" applyFill="1" applyBorder="1">
      <alignment/>
      <protection/>
    </xf>
    <xf numFmtId="3" fontId="53" fillId="16" borderId="19" xfId="61" applyNumberFormat="1" applyFont="1" applyFill="1" applyBorder="1">
      <alignment/>
      <protection/>
    </xf>
    <xf numFmtId="0" fontId="49" fillId="15" borderId="19" xfId="61" applyFont="1" applyFill="1" applyBorder="1">
      <alignment/>
      <protection/>
    </xf>
    <xf numFmtId="3" fontId="49" fillId="15" borderId="19" xfId="61" applyNumberFormat="1" applyFont="1" applyFill="1" applyBorder="1">
      <alignment/>
      <protection/>
    </xf>
    <xf numFmtId="3" fontId="49" fillId="15" borderId="42" xfId="61" applyNumberFormat="1" applyFont="1" applyFill="1" applyBorder="1">
      <alignment/>
      <protection/>
    </xf>
    <xf numFmtId="0" fontId="49" fillId="19" borderId="19" xfId="61" applyFont="1" applyFill="1" applyBorder="1">
      <alignment/>
      <protection/>
    </xf>
    <xf numFmtId="3" fontId="49" fillId="19" borderId="19" xfId="61" applyNumberFormat="1" applyFont="1" applyFill="1" applyBorder="1">
      <alignment/>
      <protection/>
    </xf>
    <xf numFmtId="3" fontId="49" fillId="19" borderId="42" xfId="61" applyNumberFormat="1" applyFont="1" applyFill="1" applyBorder="1">
      <alignment/>
      <protection/>
    </xf>
    <xf numFmtId="0" fontId="49" fillId="0" borderId="19" xfId="61" applyFont="1" applyBorder="1">
      <alignment/>
      <protection/>
    </xf>
    <xf numFmtId="0" fontId="48" fillId="0" borderId="19" xfId="61" applyFont="1" applyBorder="1" applyAlignment="1">
      <alignment horizontal="center"/>
      <protection/>
    </xf>
    <xf numFmtId="3" fontId="49" fillId="0" borderId="19" xfId="61" applyNumberFormat="1" applyFont="1" applyBorder="1">
      <alignment/>
      <protection/>
    </xf>
    <xf numFmtId="0" fontId="49" fillId="0" borderId="19" xfId="61" applyFont="1" applyBorder="1" applyAlignment="1">
      <alignment horizontal="center"/>
      <protection/>
    </xf>
    <xf numFmtId="0" fontId="48" fillId="0" borderId="19" xfId="61" applyFont="1" applyBorder="1">
      <alignment/>
      <protection/>
    </xf>
    <xf numFmtId="3" fontId="49" fillId="0" borderId="42" xfId="61" applyNumberFormat="1" applyFont="1" applyBorder="1">
      <alignment/>
      <protection/>
    </xf>
    <xf numFmtId="49" fontId="48" fillId="0" borderId="19" xfId="61" applyNumberFormat="1" applyFont="1" applyBorder="1" applyAlignment="1">
      <alignment horizontal="center"/>
      <protection/>
    </xf>
    <xf numFmtId="3" fontId="48" fillId="0" borderId="19" xfId="61" applyNumberFormat="1" applyFont="1" applyBorder="1">
      <alignment/>
      <protection/>
    </xf>
    <xf numFmtId="49" fontId="49" fillId="0" borderId="19" xfId="61" applyNumberFormat="1" applyFont="1" applyBorder="1" applyAlignment="1">
      <alignment horizontal="center"/>
      <protection/>
    </xf>
    <xf numFmtId="0" fontId="49" fillId="20" borderId="11" xfId="61" applyFont="1" applyFill="1" applyBorder="1">
      <alignment/>
      <protection/>
    </xf>
    <xf numFmtId="0" fontId="49" fillId="20" borderId="11" xfId="61" applyFont="1" applyFill="1" applyBorder="1" applyAlignment="1">
      <alignment horizontal="center"/>
      <protection/>
    </xf>
    <xf numFmtId="3" fontId="49" fillId="20" borderId="11" xfId="61" applyNumberFormat="1" applyFont="1" applyFill="1" applyBorder="1">
      <alignment/>
      <protection/>
    </xf>
    <xf numFmtId="3" fontId="49" fillId="20" borderId="12" xfId="61" applyNumberFormat="1" applyFont="1" applyFill="1" applyBorder="1">
      <alignment/>
      <protection/>
    </xf>
    <xf numFmtId="3" fontId="49" fillId="17" borderId="11" xfId="61" applyNumberFormat="1" applyFont="1" applyFill="1" applyBorder="1">
      <alignment/>
      <protection/>
    </xf>
    <xf numFmtId="3" fontId="49" fillId="17" borderId="12" xfId="61" applyNumberFormat="1" applyFont="1" applyFill="1" applyBorder="1">
      <alignment/>
      <protection/>
    </xf>
    <xf numFmtId="0" fontId="49" fillId="0" borderId="20" xfId="61" applyFont="1" applyBorder="1" applyAlignment="1">
      <alignment horizontal="right"/>
      <protection/>
    </xf>
    <xf numFmtId="0" fontId="50" fillId="19" borderId="19" xfId="62" applyFont="1" applyFill="1" applyBorder="1" applyAlignment="1">
      <alignment horizontal="center"/>
      <protection/>
    </xf>
    <xf numFmtId="0" fontId="50" fillId="19" borderId="19" xfId="62" applyFont="1" applyFill="1" applyBorder="1">
      <alignment/>
      <protection/>
    </xf>
    <xf numFmtId="3" fontId="50" fillId="19" borderId="19" xfId="62" applyNumberFormat="1" applyFont="1" applyFill="1" applyBorder="1">
      <alignment/>
      <protection/>
    </xf>
    <xf numFmtId="3" fontId="50" fillId="19" borderId="42" xfId="62" applyNumberFormat="1" applyFont="1" applyFill="1" applyBorder="1">
      <alignment/>
      <protection/>
    </xf>
    <xf numFmtId="0" fontId="49" fillId="0" borderId="20" xfId="61" applyFont="1" applyBorder="1" applyAlignment="1">
      <alignment horizontal="right" vertical="center"/>
      <protection/>
    </xf>
    <xf numFmtId="0" fontId="53" fillId="0" borderId="19" xfId="62" applyFont="1" applyBorder="1" applyAlignment="1">
      <alignment horizontal="center"/>
      <protection/>
    </xf>
    <xf numFmtId="0" fontId="53" fillId="0" borderId="19" xfId="62" applyFont="1" applyBorder="1">
      <alignment/>
      <protection/>
    </xf>
    <xf numFmtId="3" fontId="53" fillId="16" borderId="19" xfId="62" applyNumberFormat="1" applyFont="1" applyFill="1" applyBorder="1">
      <alignment/>
      <protection/>
    </xf>
    <xf numFmtId="49" fontId="53" fillId="0" borderId="19" xfId="62" applyNumberFormat="1" applyFont="1" applyBorder="1" applyAlignment="1">
      <alignment horizontal="center"/>
      <protection/>
    </xf>
    <xf numFmtId="49" fontId="50" fillId="19" borderId="19" xfId="62" applyNumberFormat="1" applyFont="1" applyFill="1" applyBorder="1" applyAlignment="1">
      <alignment horizontal="center"/>
      <protection/>
    </xf>
    <xf numFmtId="49" fontId="53" fillId="0" borderId="19" xfId="62" applyNumberFormat="1" applyFont="1" applyBorder="1">
      <alignment/>
      <protection/>
    </xf>
    <xf numFmtId="0" fontId="50" fillId="21" borderId="19" xfId="62" applyFont="1" applyFill="1" applyBorder="1" applyAlignment="1">
      <alignment horizontal="center"/>
      <protection/>
    </xf>
    <xf numFmtId="49" fontId="50" fillId="21" borderId="19" xfId="62" applyNumberFormat="1" applyFont="1" applyFill="1" applyBorder="1" applyAlignment="1">
      <alignment horizontal="center"/>
      <protection/>
    </xf>
    <xf numFmtId="0" fontId="50" fillId="21" borderId="19" xfId="62" applyFont="1" applyFill="1" applyBorder="1">
      <alignment/>
      <protection/>
    </xf>
    <xf numFmtId="3" fontId="50" fillId="21" borderId="19" xfId="62" applyNumberFormat="1" applyFont="1" applyFill="1" applyBorder="1">
      <alignment/>
      <protection/>
    </xf>
    <xf numFmtId="3" fontId="50" fillId="21" borderId="42" xfId="62" applyNumberFormat="1" applyFont="1" applyFill="1" applyBorder="1">
      <alignment/>
      <protection/>
    </xf>
    <xf numFmtId="0" fontId="50" fillId="22" borderId="19" xfId="62" applyFont="1" applyFill="1" applyBorder="1" applyAlignment="1">
      <alignment horizontal="center"/>
      <protection/>
    </xf>
    <xf numFmtId="49" fontId="50" fillId="22" borderId="19" xfId="62" applyNumberFormat="1" applyFont="1" applyFill="1" applyBorder="1" applyAlignment="1">
      <alignment horizontal="center"/>
      <protection/>
    </xf>
    <xf numFmtId="0" fontId="50" fillId="22" borderId="19" xfId="62" applyFont="1" applyFill="1" applyBorder="1" applyAlignment="1">
      <alignment horizontal="center" vertical="center" wrapText="1"/>
      <protection/>
    </xf>
    <xf numFmtId="3" fontId="50" fillId="22" borderId="19" xfId="62" applyNumberFormat="1" applyFont="1" applyFill="1" applyBorder="1">
      <alignment/>
      <protection/>
    </xf>
    <xf numFmtId="3" fontId="50" fillId="22" borderId="42" xfId="62" applyNumberFormat="1" applyFont="1" applyFill="1" applyBorder="1">
      <alignment/>
      <protection/>
    </xf>
    <xf numFmtId="0" fontId="50" fillId="0" borderId="19" xfId="62" applyFont="1" applyBorder="1" applyAlignment="1">
      <alignment horizontal="center"/>
      <protection/>
    </xf>
    <xf numFmtId="3" fontId="50" fillId="0" borderId="19" xfId="62" applyNumberFormat="1" applyFont="1" applyBorder="1">
      <alignment/>
      <protection/>
    </xf>
    <xf numFmtId="3" fontId="50" fillId="0" borderId="42" xfId="62" applyNumberFormat="1" applyFont="1" applyBorder="1">
      <alignment/>
      <protection/>
    </xf>
    <xf numFmtId="3" fontId="53" fillId="0" borderId="19" xfId="62" applyNumberFormat="1" applyFont="1" applyBorder="1">
      <alignment/>
      <protection/>
    </xf>
    <xf numFmtId="0" fontId="53" fillId="0" borderId="22" xfId="62" applyFont="1" applyBorder="1" applyAlignment="1">
      <alignment horizontal="center"/>
      <protection/>
    </xf>
    <xf numFmtId="49" fontId="53" fillId="0" borderId="22" xfId="62" applyNumberFormat="1" applyFont="1" applyBorder="1" applyAlignment="1">
      <alignment horizontal="center"/>
      <protection/>
    </xf>
    <xf numFmtId="0" fontId="53" fillId="0" borderId="22" xfId="62" applyFont="1" applyBorder="1" applyAlignment="1">
      <alignment wrapText="1"/>
      <protection/>
    </xf>
    <xf numFmtId="3" fontId="53" fillId="16" borderId="22" xfId="61" applyNumberFormat="1" applyFont="1" applyFill="1" applyBorder="1">
      <alignment/>
      <protection/>
    </xf>
    <xf numFmtId="3" fontId="53" fillId="0" borderId="22" xfId="62" applyNumberFormat="1" applyFont="1" applyBorder="1">
      <alignment/>
      <protection/>
    </xf>
    <xf numFmtId="3" fontId="0" fillId="0" borderId="0" xfId="0" applyNumberForma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top" wrapText="1"/>
    </xf>
    <xf numFmtId="0" fontId="58" fillId="0" borderId="18" xfId="0" applyFont="1" applyBorder="1" applyAlignment="1" applyProtection="1">
      <alignment horizontal="left" vertical="top" wrapText="1"/>
      <protection locked="0"/>
    </xf>
    <xf numFmtId="176" fontId="58" fillId="0" borderId="18" xfId="46" applyNumberFormat="1" applyFont="1" applyBorder="1" applyAlignment="1" applyProtection="1">
      <alignment horizontal="center" vertical="center" wrapText="1"/>
      <protection locked="0"/>
    </xf>
    <xf numFmtId="176" fontId="58" fillId="0" borderId="46" xfId="46" applyNumberFormat="1" applyFont="1" applyBorder="1" applyAlignment="1" applyProtection="1">
      <alignment horizontal="center" vertical="top" wrapText="1"/>
      <protection locked="0"/>
    </xf>
    <xf numFmtId="0" fontId="56" fillId="0" borderId="20" xfId="0" applyFont="1" applyBorder="1" applyAlignment="1">
      <alignment horizontal="center" vertical="top" wrapText="1"/>
    </xf>
    <xf numFmtId="0" fontId="58" fillId="0" borderId="19" xfId="0" applyFont="1" applyBorder="1" applyAlignment="1" applyProtection="1">
      <alignment horizontal="left" vertical="top" wrapText="1"/>
      <protection locked="0"/>
    </xf>
    <xf numFmtId="9" fontId="58" fillId="0" borderId="19" xfId="73" applyFont="1" applyBorder="1" applyAlignment="1" applyProtection="1">
      <alignment horizontal="center" vertical="center" wrapText="1"/>
      <protection locked="0"/>
    </xf>
    <xf numFmtId="176" fontId="58" fillId="0" borderId="19" xfId="46" applyNumberFormat="1" applyFont="1" applyBorder="1" applyAlignment="1" applyProtection="1">
      <alignment horizontal="center" vertical="center" wrapText="1"/>
      <protection locked="0"/>
    </xf>
    <xf numFmtId="176" fontId="58" fillId="0" borderId="42" xfId="46" applyNumberFormat="1" applyFont="1" applyBorder="1" applyAlignment="1" applyProtection="1">
      <alignment horizontal="center" vertical="top" wrapText="1"/>
      <protection locked="0"/>
    </xf>
    <xf numFmtId="0" fontId="56" fillId="0" borderId="21" xfId="0" applyFont="1" applyBorder="1" applyAlignment="1">
      <alignment horizontal="center" vertical="top" wrapText="1"/>
    </xf>
    <xf numFmtId="0" fontId="58" fillId="0" borderId="22" xfId="0" applyFont="1" applyBorder="1" applyAlignment="1" applyProtection="1">
      <alignment horizontal="left" vertical="top" wrapText="1"/>
      <protection locked="0"/>
    </xf>
    <xf numFmtId="9" fontId="58" fillId="0" borderId="22" xfId="73" applyFont="1" applyBorder="1" applyAlignment="1" applyProtection="1">
      <alignment horizontal="center" vertical="center" wrapText="1"/>
      <protection locked="0"/>
    </xf>
    <xf numFmtId="176" fontId="58" fillId="0" borderId="22" xfId="46" applyNumberFormat="1" applyFont="1" applyBorder="1" applyAlignment="1" applyProtection="1">
      <alignment horizontal="center" vertical="center" wrapText="1"/>
      <protection locked="0"/>
    </xf>
    <xf numFmtId="176" fontId="58" fillId="0" borderId="43" xfId="46" applyNumberFormat="1" applyFont="1" applyBorder="1" applyAlignment="1" applyProtection="1">
      <alignment horizontal="center" vertical="top" wrapText="1"/>
      <protection locked="0"/>
    </xf>
    <xf numFmtId="0" fontId="56" fillId="23" borderId="14" xfId="0" applyFont="1" applyFill="1" applyBorder="1" applyAlignment="1">
      <alignment horizontal="center" vertical="top" wrapText="1"/>
    </xf>
    <xf numFmtId="176" fontId="58" fillId="0" borderId="14" xfId="46" applyNumberFormat="1" applyFont="1" applyBorder="1" applyAlignment="1">
      <alignment horizontal="center" vertical="center" wrapText="1"/>
    </xf>
    <xf numFmtId="176" fontId="58" fillId="0" borderId="29" xfId="46" applyNumberFormat="1" applyFont="1" applyBorder="1" applyAlignment="1">
      <alignment horizontal="center" vertical="top" wrapText="1"/>
    </xf>
    <xf numFmtId="173" fontId="0" fillId="0" borderId="0" xfId="0" applyNumberFormat="1" applyAlignment="1" applyProtection="1">
      <alignment horizontal="center" vertical="center" wrapText="1"/>
      <protection locked="0"/>
    </xf>
    <xf numFmtId="173" fontId="0" fillId="0" borderId="0" xfId="0" applyNumberFormat="1" applyAlignment="1" applyProtection="1">
      <alignment vertical="center" wrapText="1"/>
      <protection locked="0"/>
    </xf>
    <xf numFmtId="173" fontId="30" fillId="0" borderId="0" xfId="0" applyNumberFormat="1" applyFont="1" applyAlignment="1" applyProtection="1">
      <alignment horizontal="right" vertical="center"/>
      <protection locked="0"/>
    </xf>
    <xf numFmtId="173" fontId="28" fillId="0" borderId="0" xfId="0" applyNumberFormat="1" applyFont="1" applyAlignment="1">
      <alignment vertical="center"/>
    </xf>
    <xf numFmtId="173" fontId="31" fillId="0" borderId="47" xfId="0" applyNumberFormat="1" applyFont="1" applyBorder="1" applyAlignment="1">
      <alignment horizontal="center" vertical="center"/>
    </xf>
    <xf numFmtId="173" fontId="31" fillId="0" borderId="74" xfId="0" applyNumberFormat="1" applyFont="1" applyBorder="1" applyAlignment="1">
      <alignment horizontal="center" vertical="center"/>
    </xf>
    <xf numFmtId="173" fontId="31" fillId="0" borderId="12" xfId="0" applyNumberFormat="1" applyFont="1" applyBorder="1" applyAlignment="1">
      <alignment horizontal="center" vertical="center" wrapText="1"/>
    </xf>
    <xf numFmtId="173" fontId="28" fillId="0" borderId="0" xfId="0" applyNumberFormat="1" applyFont="1" applyAlignment="1">
      <alignment horizontal="center" vertical="center"/>
    </xf>
    <xf numFmtId="173" fontId="32" fillId="0" borderId="58" xfId="0" applyNumberFormat="1" applyFont="1" applyBorder="1" applyAlignment="1">
      <alignment horizontal="center" vertical="center" wrapText="1"/>
    </xf>
    <xf numFmtId="173" fontId="32" fillId="0" borderId="75" xfId="0" applyNumberFormat="1" applyFont="1" applyBorder="1" applyAlignment="1">
      <alignment horizontal="center" vertical="center" wrapText="1"/>
    </xf>
    <xf numFmtId="173" fontId="32" fillId="0" borderId="44" xfId="0" applyNumberFormat="1" applyFont="1" applyBorder="1" applyAlignment="1">
      <alignment horizontal="center" vertical="center" wrapText="1"/>
    </xf>
    <xf numFmtId="173" fontId="32" fillId="0" borderId="31" xfId="0" applyNumberFormat="1" applyFont="1" applyBorder="1" applyAlignment="1">
      <alignment horizontal="right" vertical="center" wrapText="1" indent="1"/>
    </xf>
    <xf numFmtId="173" fontId="32" fillId="0" borderId="32" xfId="0" applyNumberFormat="1" applyFont="1" applyBorder="1" applyAlignment="1">
      <alignment horizontal="left" vertical="center" wrapText="1" indent="1"/>
    </xf>
    <xf numFmtId="1" fontId="38" fillId="18" borderId="32" xfId="0" applyNumberFormat="1" applyFont="1" applyFill="1" applyBorder="1" applyAlignment="1">
      <alignment horizontal="center" vertical="center" wrapText="1"/>
    </xf>
    <xf numFmtId="173" fontId="32" fillId="0" borderId="32" xfId="0" applyNumberFormat="1" applyFont="1" applyBorder="1" applyAlignment="1">
      <alignment vertical="center" wrapText="1"/>
    </xf>
    <xf numFmtId="173" fontId="32" fillId="0" borderId="76" xfId="0" applyNumberFormat="1" applyFont="1" applyBorder="1" applyAlignment="1">
      <alignment vertical="center" wrapText="1"/>
    </xf>
    <xf numFmtId="173" fontId="32" fillId="0" borderId="53" xfId="0" applyNumberFormat="1" applyFont="1" applyBorder="1" applyAlignment="1">
      <alignment vertical="center" wrapText="1"/>
    </xf>
    <xf numFmtId="173" fontId="32" fillId="0" borderId="20" xfId="0" applyNumberFormat="1" applyFont="1" applyBorder="1" applyAlignment="1">
      <alignment horizontal="right" vertical="center" wrapText="1" indent="1"/>
    </xf>
    <xf numFmtId="173" fontId="33" fillId="0" borderId="19" xfId="0" applyNumberFormat="1" applyFont="1" applyBorder="1" applyAlignment="1" applyProtection="1">
      <alignment horizontal="left" vertical="center" wrapText="1" inden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73" fontId="33" fillId="0" borderId="39" xfId="0" applyNumberFormat="1" applyFont="1" applyBorder="1" applyAlignment="1">
      <alignment vertical="center" wrapText="1"/>
    </xf>
    <xf numFmtId="173" fontId="32" fillId="0" borderId="19" xfId="0" applyNumberFormat="1" applyFont="1" applyBorder="1" applyAlignment="1">
      <alignment horizontal="left" vertical="center" wrapText="1" indent="1"/>
    </xf>
    <xf numFmtId="1" fontId="38" fillId="18" borderId="19" xfId="0" applyNumberFormat="1" applyFont="1" applyFill="1" applyBorder="1" applyAlignment="1">
      <alignment horizontal="center" vertical="center" wrapText="1"/>
    </xf>
    <xf numFmtId="173" fontId="32" fillId="0" borderId="19" xfId="0" applyNumberFormat="1" applyFont="1" applyBorder="1" applyAlignment="1">
      <alignment vertical="center" wrapText="1"/>
    </xf>
    <xf numFmtId="173" fontId="32" fillId="0" borderId="41" xfId="0" applyNumberFormat="1" applyFont="1" applyBorder="1" applyAlignment="1">
      <alignment vertical="center" wrapText="1"/>
    </xf>
    <xf numFmtId="173" fontId="32" fillId="0" borderId="39" xfId="0" applyNumberFormat="1" applyFont="1" applyBorder="1" applyAlignment="1">
      <alignment vertical="center" wrapText="1"/>
    </xf>
    <xf numFmtId="173" fontId="32" fillId="0" borderId="34" xfId="0" applyNumberFormat="1" applyFont="1" applyBorder="1" applyAlignment="1">
      <alignment horizontal="right" vertical="center" wrapText="1" indent="1"/>
    </xf>
    <xf numFmtId="173" fontId="32" fillId="0" borderId="23" xfId="0" applyNumberFormat="1" applyFont="1" applyBorder="1" applyAlignment="1">
      <alignment horizontal="left" vertical="center" wrapText="1" indent="1"/>
    </xf>
    <xf numFmtId="1" fontId="38" fillId="18" borderId="22" xfId="0" applyNumberFormat="1" applyFont="1" applyFill="1" applyBorder="1" applyAlignment="1">
      <alignment horizontal="center" vertical="center" wrapText="1"/>
    </xf>
    <xf numFmtId="173" fontId="32" fillId="0" borderId="23" xfId="0" applyNumberFormat="1" applyFont="1" applyBorder="1" applyAlignment="1">
      <alignment vertical="center" wrapText="1"/>
    </xf>
    <xf numFmtId="173" fontId="32" fillId="0" borderId="45" xfId="0" applyNumberFormat="1" applyFont="1" applyBorder="1" applyAlignment="1">
      <alignment vertical="center" wrapText="1"/>
    </xf>
    <xf numFmtId="1" fontId="0" fillId="0" borderId="45" xfId="0" applyNumberFormat="1" applyBorder="1" applyAlignment="1" applyProtection="1">
      <alignment horizontal="center" vertical="center" wrapText="1"/>
      <protection locked="0"/>
    </xf>
    <xf numFmtId="173" fontId="33" fillId="0" borderId="23" xfId="0" applyNumberFormat="1" applyFont="1" applyBorder="1" applyAlignment="1" applyProtection="1">
      <alignment vertical="center" wrapText="1"/>
      <protection locked="0"/>
    </xf>
    <xf numFmtId="173" fontId="33" fillId="0" borderId="45" xfId="0" applyNumberFormat="1" applyFont="1" applyBorder="1" applyAlignment="1" applyProtection="1">
      <alignment vertical="center" wrapText="1"/>
      <protection locked="0"/>
    </xf>
    <xf numFmtId="173" fontId="32" fillId="0" borderId="13" xfId="0" applyNumberFormat="1" applyFont="1" applyBorder="1" applyAlignment="1">
      <alignment horizontal="right" vertical="center" wrapText="1" indent="1"/>
    </xf>
    <xf numFmtId="173" fontId="32" fillId="0" borderId="14" xfId="0" applyNumberFormat="1" applyFont="1" applyBorder="1" applyAlignment="1">
      <alignment horizontal="left" vertical="center" wrapText="1" indent="1"/>
    </xf>
    <xf numFmtId="1" fontId="33" fillId="18" borderId="75" xfId="0" applyNumberFormat="1" applyFont="1" applyFill="1" applyBorder="1" applyAlignment="1">
      <alignment vertical="center" wrapText="1"/>
    </xf>
    <xf numFmtId="173" fontId="32" fillId="0" borderId="75" xfId="0" applyNumberFormat="1" applyFont="1" applyBorder="1" applyAlignment="1">
      <alignment vertical="center" wrapText="1"/>
    </xf>
    <xf numFmtId="173" fontId="32" fillId="0" borderId="37" xfId="0" applyNumberFormat="1" applyFont="1" applyBorder="1" applyAlignment="1">
      <alignment vertical="center" wrapText="1"/>
    </xf>
    <xf numFmtId="0" fontId="18" fillId="0" borderId="0" xfId="66">
      <alignment/>
      <protection/>
    </xf>
    <xf numFmtId="0" fontId="59" fillId="0" borderId="0" xfId="66" applyFont="1">
      <alignment/>
      <protection/>
    </xf>
    <xf numFmtId="0" fontId="18" fillId="0" borderId="0" xfId="66" applyAlignment="1">
      <alignment horizontal="center"/>
      <protection/>
    </xf>
    <xf numFmtId="0" fontId="42" fillId="0" borderId="35" xfId="66" applyFont="1" applyBorder="1" applyAlignment="1">
      <alignment horizontal="center" vertical="center" wrapText="1"/>
      <protection/>
    </xf>
    <xf numFmtId="0" fontId="42" fillId="0" borderId="11" xfId="66" applyFont="1" applyBorder="1" applyAlignment="1">
      <alignment horizontal="center" vertical="center" wrapText="1"/>
      <protection/>
    </xf>
    <xf numFmtId="0" fontId="42" fillId="0" borderId="12" xfId="66" applyFont="1" applyBorder="1" applyAlignment="1">
      <alignment horizontal="center" vertical="center" wrapText="1"/>
      <protection/>
    </xf>
    <xf numFmtId="0" fontId="42" fillId="0" borderId="74" xfId="66" applyFont="1" applyBorder="1" applyAlignment="1">
      <alignment horizontal="center" vertical="center" wrapText="1"/>
      <protection/>
    </xf>
    <xf numFmtId="0" fontId="42" fillId="0" borderId="19" xfId="66" applyFont="1" applyBorder="1" applyAlignment="1">
      <alignment horizontal="center" vertical="center" wrapText="1"/>
      <protection/>
    </xf>
    <xf numFmtId="0" fontId="18" fillId="0" borderId="0" xfId="66" applyAlignment="1">
      <alignment horizontal="center" vertical="center"/>
      <protection/>
    </xf>
    <xf numFmtId="0" fontId="35" fillId="0" borderId="31" xfId="66" applyFont="1" applyBorder="1" applyAlignment="1">
      <alignment vertical="center" wrapText="1"/>
      <protection/>
    </xf>
    <xf numFmtId="177" fontId="33" fillId="0" borderId="32" xfId="65" applyNumberFormat="1" applyFont="1" applyBorder="1" applyAlignment="1">
      <alignment horizontal="center" vertical="center"/>
      <protection/>
    </xf>
    <xf numFmtId="178" fontId="35" fillId="0" borderId="32" xfId="66" applyNumberFormat="1" applyFont="1" applyBorder="1" applyAlignment="1" applyProtection="1">
      <alignment horizontal="right" vertical="center" wrapText="1"/>
      <protection locked="0"/>
    </xf>
    <xf numFmtId="178" fontId="35" fillId="0" borderId="60" xfId="66" applyNumberFormat="1" applyFont="1" applyBorder="1" applyAlignment="1" applyProtection="1">
      <alignment horizontal="right" vertical="center" wrapText="1"/>
      <protection locked="0"/>
    </xf>
    <xf numFmtId="178" fontId="35" fillId="0" borderId="76" xfId="66" applyNumberFormat="1" applyFont="1" applyBorder="1" applyAlignment="1" applyProtection="1">
      <alignment horizontal="right" vertical="center" wrapText="1"/>
      <protection locked="0"/>
    </xf>
    <xf numFmtId="178" fontId="35" fillId="0" borderId="19" xfId="66" applyNumberFormat="1" applyFont="1" applyBorder="1" applyAlignment="1" applyProtection="1">
      <alignment horizontal="right" vertical="center" wrapText="1"/>
      <protection locked="0"/>
    </xf>
    <xf numFmtId="0" fontId="18" fillId="0" borderId="0" xfId="66" applyAlignment="1">
      <alignment vertical="center"/>
      <protection/>
    </xf>
    <xf numFmtId="0" fontId="35" fillId="0" borderId="20" xfId="66" applyFont="1" applyBorder="1" applyAlignment="1">
      <alignment vertical="center" wrapText="1"/>
      <protection/>
    </xf>
    <xf numFmtId="177" fontId="33" fillId="0" borderId="19" xfId="65" applyNumberFormat="1" applyFont="1" applyBorder="1" applyAlignment="1">
      <alignment horizontal="center" vertical="center"/>
      <protection/>
    </xf>
    <xf numFmtId="178" fontId="35" fillId="0" borderId="19" xfId="66" applyNumberFormat="1" applyFont="1" applyBorder="1" applyAlignment="1">
      <alignment horizontal="right" vertical="center" wrapText="1"/>
      <protection/>
    </xf>
    <xf numFmtId="178" fontId="35" fillId="0" borderId="42" xfId="66" applyNumberFormat="1" applyFont="1" applyBorder="1" applyAlignment="1">
      <alignment horizontal="right" vertical="center" wrapText="1"/>
      <protection/>
    </xf>
    <xf numFmtId="178" fontId="35" fillId="0" borderId="41" xfId="66" applyNumberFormat="1" applyFont="1" applyBorder="1" applyAlignment="1">
      <alignment horizontal="right" vertical="center" wrapText="1"/>
      <protection/>
    </xf>
    <xf numFmtId="0" fontId="63" fillId="0" borderId="20" xfId="66" applyFont="1" applyBorder="1" applyAlignment="1">
      <alignment horizontal="left" vertical="center" wrapText="1" indent="1"/>
      <protection/>
    </xf>
    <xf numFmtId="178" fontId="42" fillId="0" borderId="19" xfId="66" applyNumberFormat="1" applyFont="1" applyBorder="1" applyAlignment="1" applyProtection="1">
      <alignment horizontal="right" vertical="center" wrapText="1"/>
      <protection locked="0"/>
    </xf>
    <xf numFmtId="178" fontId="42" fillId="0" borderId="42" xfId="66" applyNumberFormat="1" applyFont="1" applyBorder="1" applyAlignment="1" applyProtection="1">
      <alignment horizontal="right" vertical="center" wrapText="1"/>
      <protection locked="0"/>
    </xf>
    <xf numFmtId="178" fontId="42" fillId="0" borderId="41" xfId="66" applyNumberFormat="1" applyFont="1" applyBorder="1" applyAlignment="1" applyProtection="1">
      <alignment horizontal="right" vertical="center" wrapText="1"/>
      <protection locked="0"/>
    </xf>
    <xf numFmtId="178" fontId="34" fillId="0" borderId="19" xfId="66" applyNumberFormat="1" applyFont="1" applyBorder="1" applyAlignment="1" applyProtection="1">
      <alignment horizontal="right" vertical="center" wrapText="1"/>
      <protection locked="0"/>
    </xf>
    <xf numFmtId="178" fontId="34" fillId="0" borderId="42" xfId="66" applyNumberFormat="1" applyFont="1" applyBorder="1" applyAlignment="1" applyProtection="1">
      <alignment horizontal="right" vertical="center" wrapText="1"/>
      <protection locked="0"/>
    </xf>
    <xf numFmtId="178" fontId="34" fillId="0" borderId="41" xfId="66" applyNumberFormat="1" applyFont="1" applyBorder="1" applyAlignment="1" applyProtection="1">
      <alignment horizontal="right" vertical="center" wrapText="1"/>
      <protection locked="0"/>
    </xf>
    <xf numFmtId="178" fontId="34" fillId="0" borderId="19" xfId="66" applyNumberFormat="1" applyFont="1" applyBorder="1" applyAlignment="1">
      <alignment horizontal="right" vertical="center" wrapText="1"/>
      <protection/>
    </xf>
    <xf numFmtId="178" fontId="34" fillId="0" borderId="42" xfId="66" applyNumberFormat="1" applyFont="1" applyBorder="1" applyAlignment="1">
      <alignment horizontal="right" vertical="center" wrapText="1"/>
      <protection/>
    </xf>
    <xf numFmtId="178" fontId="34" fillId="0" borderId="41" xfId="66" applyNumberFormat="1" applyFont="1" applyBorder="1" applyAlignment="1">
      <alignment horizontal="right" vertical="center" wrapText="1"/>
      <protection/>
    </xf>
    <xf numFmtId="0" fontId="35" fillId="0" borderId="35" xfId="66" applyFont="1" applyBorder="1" applyAlignment="1">
      <alignment vertical="center" wrapText="1"/>
      <protection/>
    </xf>
    <xf numFmtId="177" fontId="33" fillId="0" borderId="11" xfId="65" applyNumberFormat="1" applyFont="1" applyBorder="1" applyAlignment="1">
      <alignment horizontal="center" vertical="center"/>
      <protection/>
    </xf>
    <xf numFmtId="178" fontId="35" fillId="0" borderId="11" xfId="66" applyNumberFormat="1" applyFont="1" applyBorder="1" applyAlignment="1">
      <alignment horizontal="right" vertical="center" wrapText="1"/>
      <protection/>
    </xf>
    <xf numFmtId="178" fontId="35" fillId="0" borderId="12" xfId="66" applyNumberFormat="1" applyFont="1" applyBorder="1" applyAlignment="1">
      <alignment horizontal="right" vertical="center" wrapText="1"/>
      <protection/>
    </xf>
    <xf numFmtId="178" fontId="35" fillId="0" borderId="74" xfId="66" applyNumberFormat="1" applyFont="1" applyBorder="1" applyAlignment="1">
      <alignment horizontal="right" vertical="center" wrapText="1"/>
      <protection/>
    </xf>
    <xf numFmtId="0" fontId="34" fillId="0" borderId="0" xfId="66" applyFont="1">
      <alignment/>
      <protection/>
    </xf>
    <xf numFmtId="3" fontId="18" fillId="0" borderId="0" xfId="66" applyNumberFormat="1">
      <alignment/>
      <protection/>
    </xf>
    <xf numFmtId="3" fontId="18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24" fillId="0" borderId="0" xfId="65" applyFont="1" applyAlignment="1">
      <alignment horizontal="center" vertical="center"/>
      <protection/>
    </xf>
    <xf numFmtId="0" fontId="0" fillId="0" borderId="0" xfId="65" applyAlignment="1">
      <alignment vertical="center"/>
      <protection/>
    </xf>
    <xf numFmtId="0" fontId="0" fillId="0" borderId="0" xfId="65" applyFont="1" applyAlignment="1">
      <alignment horizontal="center" vertical="center" wrapText="1"/>
      <protection/>
    </xf>
    <xf numFmtId="0" fontId="0" fillId="0" borderId="0" xfId="65" applyAlignment="1">
      <alignment horizontal="center" vertical="center"/>
      <protection/>
    </xf>
    <xf numFmtId="49" fontId="32" fillId="0" borderId="35" xfId="65" applyNumberFormat="1" applyFont="1" applyBorder="1" applyAlignment="1">
      <alignment horizontal="center" vertical="center" wrapText="1"/>
      <protection/>
    </xf>
    <xf numFmtId="49" fontId="32" fillId="0" borderId="11" xfId="65" applyNumberFormat="1" applyFont="1" applyBorder="1" applyAlignment="1">
      <alignment horizontal="center" vertical="center"/>
      <protection/>
    </xf>
    <xf numFmtId="49" fontId="32" fillId="0" borderId="12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7" fontId="33" fillId="0" borderId="18" xfId="65" applyNumberFormat="1" applyFont="1" applyBorder="1" applyAlignment="1">
      <alignment horizontal="center" vertical="center"/>
      <protection/>
    </xf>
    <xf numFmtId="179" fontId="33" fillId="0" borderId="46" xfId="65" applyNumberFormat="1" applyFont="1" applyBorder="1" applyAlignment="1" applyProtection="1">
      <alignment vertical="center"/>
      <protection locked="0"/>
    </xf>
    <xf numFmtId="179" fontId="33" fillId="0" borderId="42" xfId="65" applyNumberFormat="1" applyFont="1" applyBorder="1" applyAlignment="1" applyProtection="1">
      <alignment vertical="center"/>
      <protection locked="0"/>
    </xf>
    <xf numFmtId="179" fontId="32" fillId="0" borderId="42" xfId="65" applyNumberFormat="1" applyFont="1" applyBorder="1" applyAlignment="1">
      <alignment vertical="center"/>
      <protection/>
    </xf>
    <xf numFmtId="179" fontId="32" fillId="0" borderId="42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32" fillId="0" borderId="35" xfId="65" applyFont="1" applyBorder="1" applyAlignment="1">
      <alignment horizontal="left" vertical="center" wrapText="1"/>
      <protection/>
    </xf>
    <xf numFmtId="179" fontId="32" fillId="0" borderId="12" xfId="65" applyNumberFormat="1" applyFont="1" applyBorder="1" applyAlignment="1">
      <alignment vertical="center"/>
      <protection/>
    </xf>
    <xf numFmtId="0" fontId="36" fillId="0" borderId="30" xfId="66" applyFont="1" applyBorder="1" applyAlignment="1">
      <alignment horizontal="center" vertical="center"/>
      <protection/>
    </xf>
    <xf numFmtId="0" fontId="29" fillId="0" borderId="16" xfId="65" applyFont="1" applyBorder="1" applyAlignment="1">
      <alignment horizontal="center" vertical="center" textRotation="90"/>
      <protection/>
    </xf>
    <xf numFmtId="0" fontId="36" fillId="0" borderId="16" xfId="66" applyFont="1" applyBorder="1" applyAlignment="1">
      <alignment horizontal="center" vertical="center" wrapText="1"/>
      <protection/>
    </xf>
    <xf numFmtId="0" fontId="36" fillId="0" borderId="64" xfId="66" applyFont="1" applyBorder="1" applyAlignment="1">
      <alignment horizontal="center" vertical="center" wrapText="1"/>
      <protection/>
    </xf>
    <xf numFmtId="0" fontId="36" fillId="0" borderId="13" xfId="66" applyFont="1" applyBorder="1" applyAlignment="1">
      <alignment horizontal="center" vertical="center"/>
      <protection/>
    </xf>
    <xf numFmtId="0" fontId="36" fillId="0" borderId="14" xfId="66" applyFont="1" applyBorder="1" applyAlignment="1">
      <alignment horizontal="center" vertical="center" wrapText="1"/>
      <protection/>
    </xf>
    <xf numFmtId="0" fontId="36" fillId="0" borderId="29" xfId="66" applyFont="1" applyBorder="1" applyAlignment="1">
      <alignment horizontal="center" vertical="center" wrapText="1"/>
      <protection/>
    </xf>
    <xf numFmtId="0" fontId="34" fillId="0" borderId="20" xfId="66" applyFont="1" applyBorder="1" applyProtection="1">
      <alignment/>
      <protection locked="0"/>
    </xf>
    <xf numFmtId="0" fontId="34" fillId="0" borderId="18" xfId="66" applyFont="1" applyBorder="1" applyAlignment="1">
      <alignment horizontal="right" indent="1"/>
      <protection/>
    </xf>
    <xf numFmtId="3" fontId="34" fillId="0" borderId="18" xfId="66" applyNumberFormat="1" applyFont="1" applyBorder="1" applyProtection="1">
      <alignment/>
      <protection locked="0"/>
    </xf>
    <xf numFmtId="3" fontId="34" fillId="0" borderId="46" xfId="66" applyNumberFormat="1" applyFont="1" applyBorder="1" applyProtection="1">
      <alignment/>
      <protection locked="0"/>
    </xf>
    <xf numFmtId="0" fontId="34" fillId="0" borderId="19" xfId="66" applyFont="1" applyBorder="1" applyAlignment="1">
      <alignment horizontal="right" indent="1"/>
      <protection/>
    </xf>
    <xf numFmtId="3" fontId="34" fillId="0" borderId="19" xfId="66" applyNumberFormat="1" applyFont="1" applyBorder="1" applyProtection="1">
      <alignment/>
      <protection locked="0"/>
    </xf>
    <xf numFmtId="3" fontId="34" fillId="0" borderId="42" xfId="66" applyNumberFormat="1" applyFont="1" applyBorder="1" applyProtection="1">
      <alignment/>
      <protection locked="0"/>
    </xf>
    <xf numFmtId="0" fontId="34" fillId="0" borderId="21" xfId="66" applyFont="1" applyBorder="1" applyProtection="1">
      <alignment/>
      <protection locked="0"/>
    </xf>
    <xf numFmtId="0" fontId="34" fillId="0" borderId="22" xfId="66" applyFont="1" applyBorder="1" applyAlignment="1">
      <alignment horizontal="right" indent="1"/>
      <protection/>
    </xf>
    <xf numFmtId="3" fontId="34" fillId="0" borderId="22" xfId="66" applyNumberFormat="1" applyFont="1" applyBorder="1" applyProtection="1">
      <alignment/>
      <protection locked="0"/>
    </xf>
    <xf numFmtId="3" fontId="34" fillId="0" borderId="43" xfId="66" applyNumberFormat="1" applyFont="1" applyBorder="1" applyProtection="1">
      <alignment/>
      <protection locked="0"/>
    </xf>
    <xf numFmtId="0" fontId="35" fillId="0" borderId="13" xfId="66" applyFont="1" applyBorder="1" applyProtection="1">
      <alignment/>
      <protection locked="0"/>
    </xf>
    <xf numFmtId="0" fontId="34" fillId="0" borderId="14" xfId="66" applyFont="1" applyBorder="1" applyAlignment="1">
      <alignment horizontal="right" indent="1"/>
      <protection/>
    </xf>
    <xf numFmtId="3" fontId="34" fillId="0" borderId="14" xfId="66" applyNumberFormat="1" applyFont="1" applyBorder="1" applyProtection="1">
      <alignment/>
      <protection locked="0"/>
    </xf>
    <xf numFmtId="179" fontId="32" fillId="0" borderId="29" xfId="65" applyNumberFormat="1" applyFont="1" applyBorder="1" applyAlignment="1">
      <alignment vertical="center"/>
      <protection/>
    </xf>
    <xf numFmtId="0" fontId="34" fillId="0" borderId="17" xfId="66" applyFont="1" applyBorder="1" applyProtection="1">
      <alignment/>
      <protection locked="0"/>
    </xf>
    <xf numFmtId="3" fontId="34" fillId="0" borderId="77" xfId="66" applyNumberFormat="1" applyFont="1" applyBorder="1">
      <alignment/>
      <protection/>
    </xf>
    <xf numFmtId="0" fontId="64" fillId="0" borderId="0" xfId="66" applyFont="1">
      <alignment/>
      <protection/>
    </xf>
    <xf numFmtId="0" fontId="45" fillId="0" borderId="0" xfId="66" applyFont="1">
      <alignment/>
      <protection/>
    </xf>
    <xf numFmtId="0" fontId="6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right"/>
    </xf>
    <xf numFmtId="0" fontId="3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horizontal="left" vertical="center" wrapText="1" indent="1"/>
      <protection locked="0"/>
    </xf>
    <xf numFmtId="180" fontId="31" fillId="0" borderId="46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67" fillId="0" borderId="19" xfId="0" applyFont="1" applyBorder="1" applyAlignment="1">
      <alignment horizontal="left" vertical="center" indent="5"/>
    </xf>
    <xf numFmtId="180" fontId="24" fillId="0" borderId="42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180" fontId="24" fillId="0" borderId="43" xfId="0" applyNumberFormat="1" applyFont="1" applyBorder="1" applyAlignment="1" applyProtection="1">
      <alignment horizontal="righ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180" fontId="24" fillId="0" borderId="78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applyProtection="1">
      <alignment horizontal="left" vertical="center" wrapText="1" indent="1"/>
      <protection locked="0"/>
    </xf>
    <xf numFmtId="180" fontId="31" fillId="0" borderId="60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67" fillId="0" borderId="11" xfId="0" applyFont="1" applyBorder="1" applyAlignment="1">
      <alignment horizontal="left" vertical="center" indent="5"/>
    </xf>
    <xf numFmtId="180" fontId="24" fillId="0" borderId="12" xfId="0" applyNumberFormat="1" applyFont="1" applyBorder="1" applyAlignment="1" applyProtection="1">
      <alignment horizontal="right" vertical="center"/>
      <protection locked="0"/>
    </xf>
    <xf numFmtId="0" fontId="0" fillId="0" borderId="32" xfId="0" applyBorder="1" applyAlignment="1">
      <alignment horizontal="left" vertical="center" indent="1"/>
    </xf>
    <xf numFmtId="180" fontId="24" fillId="0" borderId="60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68" fillId="0" borderId="0" xfId="66" applyFont="1" applyAlignment="1">
      <alignment horizontal="right"/>
      <protection/>
    </xf>
    <xf numFmtId="0" fontId="65" fillId="0" borderId="0" xfId="65" applyFont="1" applyAlignment="1">
      <alignment horizontal="right" vertical="center"/>
      <protection/>
    </xf>
    <xf numFmtId="0" fontId="65" fillId="0" borderId="0" xfId="66" applyFont="1" applyAlignment="1">
      <alignment horizontal="right"/>
      <protection/>
    </xf>
    <xf numFmtId="0" fontId="65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173" fontId="44" fillId="0" borderId="0" xfId="0" applyNumberFormat="1" applyFont="1" applyAlignment="1">
      <alignment vertical="center" wrapText="1"/>
    </xf>
    <xf numFmtId="173" fontId="0" fillId="0" borderId="0" xfId="0" applyNumberFormat="1" applyAlignment="1">
      <alignment horizontal="right" vertical="center" wrapText="1" indent="1"/>
    </xf>
    <xf numFmtId="49" fontId="48" fillId="0" borderId="79" xfId="61" applyNumberFormat="1" applyFont="1" applyBorder="1">
      <alignment/>
      <protection/>
    </xf>
    <xf numFmtId="0" fontId="48" fillId="0" borderId="79" xfId="61" applyFont="1" applyBorder="1">
      <alignment/>
      <protection/>
    </xf>
    <xf numFmtId="0" fontId="48" fillId="0" borderId="79" xfId="61" applyFont="1" applyBorder="1" applyAlignment="1">
      <alignment horizontal="center"/>
      <protection/>
    </xf>
    <xf numFmtId="49" fontId="48" fillId="0" borderId="79" xfId="61" applyNumberFormat="1" applyFont="1" applyBorder="1" applyAlignment="1">
      <alignment horizontal="center"/>
      <protection/>
    </xf>
    <xf numFmtId="0" fontId="48" fillId="0" borderId="79" xfId="61" applyFont="1" applyBorder="1" applyAlignment="1">
      <alignment wrapText="1"/>
      <protection/>
    </xf>
    <xf numFmtId="49" fontId="49" fillId="0" borderId="79" xfId="61" applyNumberFormat="1" applyFont="1" applyBorder="1" applyAlignment="1">
      <alignment horizontal="center"/>
      <protection/>
    </xf>
    <xf numFmtId="3" fontId="53" fillId="24" borderId="79" xfId="61" applyNumberFormat="1" applyFont="1" applyFill="1" applyBorder="1">
      <alignment/>
      <protection/>
    </xf>
    <xf numFmtId="0" fontId="53" fillId="0" borderId="79" xfId="62" applyFont="1" applyBorder="1" applyAlignment="1">
      <alignment horizontal="center"/>
      <protection/>
    </xf>
    <xf numFmtId="49" fontId="53" fillId="0" borderId="79" xfId="62" applyNumberFormat="1" applyFont="1" applyBorder="1" applyAlignment="1">
      <alignment horizontal="center"/>
      <protection/>
    </xf>
    <xf numFmtId="0" fontId="53" fillId="0" borderId="79" xfId="62" applyFont="1" applyBorder="1">
      <alignment/>
      <protection/>
    </xf>
    <xf numFmtId="3" fontId="50" fillId="0" borderId="79" xfId="62" applyNumberFormat="1" applyFont="1" applyBorder="1">
      <alignment/>
      <protection/>
    </xf>
    <xf numFmtId="0" fontId="50" fillId="0" borderId="79" xfId="62" applyFont="1" applyBorder="1" applyAlignment="1">
      <alignment horizontal="center"/>
      <protection/>
    </xf>
    <xf numFmtId="0" fontId="53" fillId="0" borderId="79" xfId="62" applyFont="1" applyBorder="1" applyAlignment="1">
      <alignment vertical="center" wrapText="1"/>
      <protection/>
    </xf>
    <xf numFmtId="0" fontId="53" fillId="0" borderId="79" xfId="62" applyFont="1" applyBorder="1" applyAlignment="1">
      <alignment wrapText="1"/>
      <protection/>
    </xf>
    <xf numFmtId="49" fontId="50" fillId="0" borderId="79" xfId="62" applyNumberFormat="1" applyFont="1" applyBorder="1" applyAlignment="1">
      <alignment horizontal="center"/>
      <protection/>
    </xf>
    <xf numFmtId="3" fontId="53" fillId="0" borderId="79" xfId="62" applyNumberFormat="1" applyFont="1" applyBorder="1">
      <alignment/>
      <protection/>
    </xf>
    <xf numFmtId="173" fontId="17" fillId="0" borderId="0" xfId="63" applyNumberFormat="1" applyAlignment="1">
      <alignment horizontal="right" vertical="center" indent="1"/>
      <protection/>
    </xf>
    <xf numFmtId="178" fontId="18" fillId="0" borderId="0" xfId="66" applyNumberFormat="1" applyAlignment="1">
      <alignment vertical="center"/>
      <protection/>
    </xf>
    <xf numFmtId="185" fontId="17" fillId="0" borderId="0" xfId="63" applyNumberFormat="1">
      <alignment/>
      <protection/>
    </xf>
    <xf numFmtId="10" fontId="58" fillId="0" borderId="18" xfId="73" applyNumberFormat="1" applyFont="1" applyBorder="1" applyAlignment="1" applyProtection="1">
      <alignment horizontal="center" vertical="center" wrapText="1"/>
      <protection locked="0"/>
    </xf>
    <xf numFmtId="10" fontId="58" fillId="0" borderId="19" xfId="73" applyNumberFormat="1" applyFont="1" applyBorder="1" applyAlignment="1" applyProtection="1">
      <alignment horizontal="center" vertical="center" wrapText="1"/>
      <protection locked="0"/>
    </xf>
    <xf numFmtId="10" fontId="0" fillId="0" borderId="0" xfId="73" applyNumberFormat="1" applyAlignment="1">
      <alignment/>
    </xf>
    <xf numFmtId="190" fontId="0" fillId="0" borderId="0" xfId="73" applyNumberFormat="1" applyAlignment="1">
      <alignment/>
    </xf>
    <xf numFmtId="0" fontId="18" fillId="0" borderId="0" xfId="0" applyFont="1" applyAlignment="1">
      <alignment/>
    </xf>
    <xf numFmtId="0" fontId="0" fillId="0" borderId="23" xfId="0" applyBorder="1" applyAlignment="1">
      <alignment/>
    </xf>
    <xf numFmtId="3" fontId="69" fillId="0" borderId="19" xfId="46" applyNumberFormat="1" applyFont="1" applyBorder="1" applyAlignment="1">
      <alignment/>
    </xf>
    <xf numFmtId="180" fontId="0" fillId="0" borderId="0" xfId="0" applyNumberFormat="1" applyAlignment="1">
      <alignment/>
    </xf>
    <xf numFmtId="0" fontId="0" fillId="0" borderId="37" xfId="0" applyBorder="1" applyAlignment="1">
      <alignment/>
    </xf>
    <xf numFmtId="184" fontId="17" fillId="0" borderId="0" xfId="63" applyNumberFormat="1">
      <alignment/>
      <protection/>
    </xf>
    <xf numFmtId="173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3" fontId="71" fillId="0" borderId="79" xfId="0" applyNumberFormat="1" applyFont="1" applyBorder="1" applyAlignment="1">
      <alignment/>
    </xf>
    <xf numFmtId="3" fontId="70" fillId="0" borderId="37" xfId="46" applyNumberFormat="1" applyFont="1" applyFill="1" applyBorder="1" applyAlignment="1" applyProtection="1">
      <alignment/>
      <protection/>
    </xf>
    <xf numFmtId="3" fontId="70" fillId="0" borderId="37" xfId="46" applyNumberFormat="1" applyFont="1" applyBorder="1" applyAlignment="1">
      <alignment/>
    </xf>
    <xf numFmtId="1" fontId="33" fillId="0" borderId="37" xfId="0" applyNumberFormat="1" applyFont="1" applyBorder="1" applyAlignment="1" applyProtection="1">
      <alignment vertical="center" wrapText="1"/>
      <protection locked="0"/>
    </xf>
    <xf numFmtId="173" fontId="33" fillId="0" borderId="37" xfId="0" applyNumberFormat="1" applyFont="1" applyBorder="1" applyAlignment="1" applyProtection="1">
      <alignment vertical="center" wrapText="1"/>
      <protection locked="0"/>
    </xf>
    <xf numFmtId="3" fontId="71" fillId="0" borderId="37" xfId="0" applyNumberFormat="1" applyFont="1" applyBorder="1" applyAlignment="1">
      <alignment/>
    </xf>
    <xf numFmtId="1" fontId="33" fillId="0" borderId="37" xfId="0" applyNumberFormat="1" applyFont="1" applyBorder="1" applyAlignment="1" applyProtection="1" quotePrefix="1">
      <alignment vertical="center" wrapText="1"/>
      <protection locked="0"/>
    </xf>
    <xf numFmtId="173" fontId="24" fillId="0" borderId="37" xfId="0" applyNumberFormat="1" applyFont="1" applyBorder="1" applyAlignment="1" applyProtection="1">
      <alignment horizontal="left" vertical="center" wrapText="1" indent="1"/>
      <protection locked="0"/>
    </xf>
    <xf numFmtId="1" fontId="33" fillId="0" borderId="37" xfId="0" applyNumberFormat="1" applyFont="1" applyBorder="1" applyAlignment="1" applyProtection="1">
      <alignment horizontal="center" vertical="center" wrapText="1"/>
      <protection locked="0"/>
    </xf>
    <xf numFmtId="173" fontId="31" fillId="0" borderId="37" xfId="0" applyNumberFormat="1" applyFont="1" applyBorder="1" applyAlignment="1">
      <alignment horizontal="left" vertical="center" wrapText="1"/>
    </xf>
    <xf numFmtId="173" fontId="32" fillId="18" borderId="37" xfId="0" applyNumberFormat="1" applyFont="1" applyFill="1" applyBorder="1" applyAlignment="1">
      <alignment vertical="center" wrapText="1"/>
    </xf>
    <xf numFmtId="0" fontId="0" fillId="0" borderId="0" xfId="6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25" fillId="0" borderId="0" xfId="63" applyFont="1" applyAlignment="1">
      <alignment horizontal="center"/>
      <protection/>
    </xf>
    <xf numFmtId="173" fontId="25" fillId="0" borderId="0" xfId="63" applyNumberFormat="1" applyFont="1" applyAlignment="1">
      <alignment horizontal="center" vertical="center"/>
      <protection/>
    </xf>
    <xf numFmtId="0" fontId="31" fillId="0" borderId="13" xfId="63" applyFont="1" applyBorder="1" applyAlignment="1">
      <alignment horizontal="center" vertical="center" wrapText="1"/>
      <protection/>
    </xf>
    <xf numFmtId="0" fontId="31" fillId="0" borderId="14" xfId="63" applyFont="1" applyBorder="1" applyAlignment="1">
      <alignment horizontal="center" vertical="center" wrapText="1"/>
      <protection/>
    </xf>
    <xf numFmtId="173" fontId="31" fillId="0" borderId="60" xfId="63" applyNumberFormat="1" applyFont="1" applyBorder="1" applyAlignment="1">
      <alignment horizontal="center" vertical="center"/>
      <protection/>
    </xf>
    <xf numFmtId="17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3" fontId="25" fillId="0" borderId="0" xfId="0" applyNumberFormat="1" applyFont="1" applyAlignment="1">
      <alignment horizontal="center" vertical="center" wrapText="1"/>
    </xf>
    <xf numFmtId="173" fontId="31" fillId="0" borderId="37" xfId="0" applyNumberFormat="1" applyFont="1" applyBorder="1" applyAlignment="1">
      <alignment horizontal="center" vertical="center" wrapText="1"/>
    </xf>
    <xf numFmtId="173" fontId="31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 applyProtection="1">
      <alignment horizontal="center" textRotation="180" wrapText="1"/>
      <protection locked="0"/>
    </xf>
    <xf numFmtId="173" fontId="30" fillId="0" borderId="10" xfId="0" applyNumberFormat="1" applyFont="1" applyBorder="1" applyAlignment="1">
      <alignment horizontal="right" wrapText="1"/>
    </xf>
    <xf numFmtId="173" fontId="37" fillId="0" borderId="0" xfId="0" applyNumberFormat="1" applyFont="1" applyAlignment="1">
      <alignment horizontal="center" textRotation="180" wrapText="1"/>
    </xf>
    <xf numFmtId="173" fontId="32" fillId="0" borderId="37" xfId="0" applyNumberFormat="1" applyFont="1" applyBorder="1" applyAlignment="1">
      <alignment horizontal="center" vertical="center"/>
    </xf>
    <xf numFmtId="173" fontId="32" fillId="0" borderId="37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textRotation="180"/>
    </xf>
    <xf numFmtId="173" fontId="30" fillId="0" borderId="10" xfId="0" applyNumberFormat="1" applyFont="1" applyBorder="1" applyAlignment="1">
      <alignment horizontal="right" vertical="center"/>
    </xf>
    <xf numFmtId="173" fontId="31" fillId="0" borderId="52" xfId="0" applyNumberFormat="1" applyFont="1" applyBorder="1" applyAlignment="1">
      <alignment horizontal="center" vertical="center" wrapText="1"/>
    </xf>
    <xf numFmtId="174" fontId="42" fillId="0" borderId="59" xfId="0" applyNumberFormat="1" applyFont="1" applyBorder="1" applyAlignment="1">
      <alignment horizontal="left" vertical="center" wrapText="1"/>
    </xf>
    <xf numFmtId="174" fontId="25" fillId="0" borderId="0" xfId="0" applyNumberFormat="1" applyFont="1" applyAlignment="1">
      <alignment horizontal="center" vertical="center" wrapText="1"/>
    </xf>
    <xf numFmtId="173" fontId="38" fillId="0" borderId="58" xfId="0" applyNumberFormat="1" applyFont="1" applyBorder="1" applyAlignment="1">
      <alignment horizontal="center" vertical="center" wrapText="1"/>
    </xf>
    <xf numFmtId="173" fontId="0" fillId="0" borderId="51" xfId="0" applyNumberFormat="1" applyBorder="1" applyAlignment="1" applyProtection="1">
      <alignment horizontal="left" vertical="center" wrapText="1"/>
      <protection locked="0"/>
    </xf>
    <xf numFmtId="173" fontId="0" fillId="0" borderId="61" xfId="0" applyNumberFormat="1" applyBorder="1" applyAlignment="1" applyProtection="1">
      <alignment horizontal="left" vertical="center" wrapText="1"/>
      <protection locked="0"/>
    </xf>
    <xf numFmtId="173" fontId="38" fillId="0" borderId="58" xfId="0" applyNumberFormat="1" applyFont="1" applyBorder="1" applyAlignment="1">
      <alignment horizontal="left" vertical="center" wrapText="1" indent="2"/>
    </xf>
    <xf numFmtId="173" fontId="32" fillId="0" borderId="0" xfId="0" applyNumberFormat="1" applyFont="1" applyAlignment="1">
      <alignment horizontal="left" vertical="center" wrapText="1"/>
    </xf>
    <xf numFmtId="173" fontId="0" fillId="0" borderId="0" xfId="0" applyNumberFormat="1" applyAlignment="1" applyProtection="1">
      <alignment horizontal="left" vertical="center" wrapText="1"/>
      <protection locked="0"/>
    </xf>
    <xf numFmtId="173" fontId="31" fillId="0" borderId="58" xfId="0" applyNumberFormat="1" applyFont="1" applyBorder="1" applyAlignment="1">
      <alignment horizontal="center" vertical="center"/>
    </xf>
    <xf numFmtId="0" fontId="31" fillId="0" borderId="60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65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 inden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49" fontId="50" fillId="20" borderId="19" xfId="61" applyNumberFormat="1" applyFont="1" applyFill="1" applyBorder="1" applyAlignment="1">
      <alignment horizontal="center" textRotation="90"/>
      <protection/>
    </xf>
    <xf numFmtId="0" fontId="49" fillId="0" borderId="20" xfId="61" applyFont="1" applyBorder="1" applyAlignment="1">
      <alignment horizontal="center" vertical="center"/>
      <protection/>
    </xf>
    <xf numFmtId="0" fontId="50" fillId="20" borderId="19" xfId="61" applyFont="1" applyFill="1" applyBorder="1" applyAlignment="1">
      <alignment horizontal="center" textRotation="90"/>
      <protection/>
    </xf>
    <xf numFmtId="0" fontId="49" fillId="20" borderId="19" xfId="61" applyFont="1" applyFill="1" applyBorder="1" applyAlignment="1">
      <alignment horizontal="center" vertical="center" textRotation="90" wrapText="1"/>
      <protection/>
    </xf>
    <xf numFmtId="0" fontId="49" fillId="20" borderId="19" xfId="61" applyFont="1" applyFill="1" applyBorder="1" applyAlignment="1">
      <alignment horizontal="center" textRotation="90" wrapText="1"/>
      <protection/>
    </xf>
    <xf numFmtId="0" fontId="49" fillId="0" borderId="0" xfId="61" applyFont="1" applyAlignment="1">
      <alignment horizontal="center" wrapText="1"/>
      <protection/>
    </xf>
    <xf numFmtId="0" fontId="49" fillId="0" borderId="10" xfId="61" applyFont="1" applyBorder="1" applyAlignment="1">
      <alignment horizontal="center" wrapText="1"/>
      <protection/>
    </xf>
    <xf numFmtId="0" fontId="50" fillId="20" borderId="19" xfId="60" applyFont="1" applyFill="1" applyBorder="1" applyAlignment="1">
      <alignment horizontal="left" vertical="center"/>
      <protection/>
    </xf>
    <xf numFmtId="0" fontId="50" fillId="20" borderId="41" xfId="60" applyFont="1" applyFill="1" applyBorder="1" applyAlignment="1">
      <alignment horizontal="center" vertical="center" wrapText="1"/>
      <protection/>
    </xf>
    <xf numFmtId="0" fontId="51" fillId="20" borderId="33" xfId="64" applyFont="1" applyFill="1" applyBorder="1" applyAlignment="1">
      <alignment horizontal="center" vertical="center" wrapText="1"/>
      <protection/>
    </xf>
    <xf numFmtId="0" fontId="51" fillId="20" borderId="19" xfId="64" applyFont="1" applyFill="1" applyBorder="1" applyAlignment="1">
      <alignment horizontal="center" vertical="center" wrapText="1"/>
      <protection/>
    </xf>
    <xf numFmtId="0" fontId="52" fillId="20" borderId="57" xfId="61" applyFont="1" applyFill="1" applyBorder="1" applyAlignment="1">
      <alignment horizontal="center" vertical="center" wrapText="1"/>
      <protection/>
    </xf>
    <xf numFmtId="0" fontId="51" fillId="20" borderId="42" xfId="64" applyFont="1" applyFill="1" applyBorder="1" applyAlignment="1">
      <alignment horizontal="center" vertical="center" wrapText="1"/>
      <protection/>
    </xf>
    <xf numFmtId="0" fontId="51" fillId="20" borderId="60" xfId="64" applyFont="1" applyFill="1" applyBorder="1" applyAlignment="1">
      <alignment horizontal="center" vertical="center" wrapText="1"/>
      <protection/>
    </xf>
    <xf numFmtId="0" fontId="49" fillId="0" borderId="31" xfId="61" applyFont="1" applyBorder="1" applyAlignment="1">
      <alignment horizontal="right" vertical="center"/>
      <protection/>
    </xf>
    <xf numFmtId="0" fontId="50" fillId="20" borderId="32" xfId="61" applyFont="1" applyFill="1" applyBorder="1" applyAlignment="1">
      <alignment horizontal="center" textRotation="90"/>
      <protection/>
    </xf>
    <xf numFmtId="0" fontId="49" fillId="20" borderId="32" xfId="61" applyFont="1" applyFill="1" applyBorder="1" applyAlignment="1">
      <alignment horizontal="center" textRotation="90" wrapText="1"/>
      <protection/>
    </xf>
    <xf numFmtId="49" fontId="50" fillId="20" borderId="32" xfId="61" applyNumberFormat="1" applyFont="1" applyFill="1" applyBorder="1" applyAlignment="1">
      <alignment horizontal="center" textRotation="90"/>
      <protection/>
    </xf>
    <xf numFmtId="0" fontId="50" fillId="20" borderId="32" xfId="60" applyFont="1" applyFill="1" applyBorder="1" applyAlignment="1">
      <alignment horizontal="center" vertical="center" wrapText="1"/>
      <protection/>
    </xf>
    <xf numFmtId="0" fontId="50" fillId="20" borderId="32" xfId="60" applyFont="1" applyFill="1" applyBorder="1" applyAlignment="1">
      <alignment horizontal="left" vertical="center"/>
      <protection/>
    </xf>
    <xf numFmtId="0" fontId="51" fillId="20" borderId="32" xfId="64" applyFont="1" applyFill="1" applyBorder="1" applyAlignment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 locked="0"/>
    </xf>
    <xf numFmtId="0" fontId="56" fillId="0" borderId="13" xfId="0" applyFont="1" applyBorder="1" applyAlignment="1">
      <alignment wrapText="1"/>
    </xf>
    <xf numFmtId="173" fontId="31" fillId="0" borderId="14" xfId="0" applyNumberFormat="1" applyFont="1" applyBorder="1" applyAlignment="1">
      <alignment horizontal="center" vertical="center" wrapText="1"/>
    </xf>
    <xf numFmtId="173" fontId="31" fillId="0" borderId="60" xfId="0" applyNumberFormat="1" applyFont="1" applyBorder="1" applyAlignment="1">
      <alignment horizontal="center" vertical="center"/>
    </xf>
    <xf numFmtId="0" fontId="60" fillId="0" borderId="0" xfId="66" applyFont="1" applyAlignment="1">
      <alignment horizontal="center" vertical="center" wrapText="1"/>
      <protection/>
    </xf>
    <xf numFmtId="0" fontId="61" fillId="0" borderId="10" xfId="66" applyFont="1" applyBorder="1" applyAlignment="1">
      <alignment horizontal="center"/>
      <protection/>
    </xf>
    <xf numFmtId="0" fontId="61" fillId="0" borderId="0" xfId="66" applyFont="1" applyAlignment="1">
      <alignment horizontal="center"/>
      <protection/>
    </xf>
    <xf numFmtId="0" fontId="61" fillId="0" borderId="19" xfId="66" applyFont="1" applyBorder="1" applyAlignment="1">
      <alignment horizontal="center" vertical="center" wrapText="1"/>
      <protection/>
    </xf>
    <xf numFmtId="0" fontId="61" fillId="0" borderId="42" xfId="66" applyFont="1" applyBorder="1" applyAlignment="1">
      <alignment horizontal="center" wrapText="1"/>
      <protection/>
    </xf>
    <xf numFmtId="0" fontId="61" fillId="0" borderId="41" xfId="66" applyFont="1" applyBorder="1" applyAlignment="1">
      <alignment horizontal="center" wrapText="1"/>
      <protection/>
    </xf>
    <xf numFmtId="0" fontId="61" fillId="0" borderId="19" xfId="66" applyFont="1" applyBorder="1" applyAlignment="1">
      <alignment horizontal="center" wrapText="1"/>
      <protection/>
    </xf>
    <xf numFmtId="0" fontId="61" fillId="0" borderId="32" xfId="66" applyFont="1" applyBorder="1" applyAlignment="1">
      <alignment horizontal="center" vertical="center" wrapText="1"/>
      <protection/>
    </xf>
    <xf numFmtId="0" fontId="61" fillId="0" borderId="60" xfId="66" applyFont="1" applyBorder="1" applyAlignment="1">
      <alignment horizontal="center" vertical="center" wrapText="1"/>
      <protection/>
    </xf>
    <xf numFmtId="0" fontId="18" fillId="0" borderId="0" xfId="66" applyAlignment="1">
      <alignment horizontal="left"/>
      <protection/>
    </xf>
    <xf numFmtId="0" fontId="61" fillId="0" borderId="76" xfId="66" applyFont="1" applyBorder="1" applyAlignment="1">
      <alignment horizontal="center" vertical="center" wrapText="1"/>
      <protection/>
    </xf>
    <xf numFmtId="0" fontId="62" fillId="0" borderId="31" xfId="66" applyFont="1" applyBorder="1" applyAlignment="1">
      <alignment horizontal="center" vertical="center" wrapText="1"/>
      <protection/>
    </xf>
    <xf numFmtId="0" fontId="29" fillId="0" borderId="32" xfId="65" applyFont="1" applyBorder="1" applyAlignment="1">
      <alignment horizontal="center" vertical="center" textRotation="90"/>
      <protection/>
    </xf>
    <xf numFmtId="0" fontId="29" fillId="0" borderId="0" xfId="65" applyFont="1" applyAlignment="1">
      <alignment horizontal="right" vertical="center"/>
      <protection/>
    </xf>
    <xf numFmtId="0" fontId="25" fillId="0" borderId="31" xfId="65" applyFont="1" applyBorder="1" applyAlignment="1">
      <alignment horizontal="center" vertical="center" wrapText="1"/>
      <protection/>
    </xf>
    <xf numFmtId="0" fontId="30" fillId="0" borderId="60" xfId="65" applyFont="1" applyBorder="1" applyAlignment="1">
      <alignment horizontal="center" vertical="center" wrapText="1"/>
      <protection/>
    </xf>
    <xf numFmtId="0" fontId="38" fillId="0" borderId="0" xfId="65" applyFont="1" applyAlignment="1">
      <alignment horizontal="center" vertical="center" wrapText="1"/>
      <protection/>
    </xf>
    <xf numFmtId="0" fontId="25" fillId="0" borderId="0" xfId="65" applyFont="1" applyAlignment="1">
      <alignment horizontal="center" vertical="center" wrapText="1"/>
      <protection/>
    </xf>
    <xf numFmtId="0" fontId="36" fillId="0" borderId="13" xfId="66" applyFont="1" applyBorder="1" applyAlignment="1">
      <alignment horizontal="left"/>
      <protection/>
    </xf>
    <xf numFmtId="3" fontId="18" fillId="0" borderId="0" xfId="66" applyNumberFormat="1" applyAlignment="1">
      <alignment horizontal="center"/>
      <protection/>
    </xf>
    <xf numFmtId="0" fontId="28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2 2" xfId="61"/>
    <cellStyle name="Normál 4 2" xfId="62"/>
    <cellStyle name="Normál_KVRENMUNKA" xfId="63"/>
    <cellStyle name="Normál_Részletes költségvetés táblák 2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C6C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zoomScale="130" zoomScaleNormal="130" zoomScaleSheetLayoutView="100" zoomScalePageLayoutView="0" workbookViewId="0" topLeftCell="A1">
      <selection activeCell="A2" sqref="A2"/>
    </sheetView>
  </sheetViews>
  <sheetFormatPr defaultColWidth="9.375" defaultRowHeight="12.75"/>
  <cols>
    <col min="1" max="1" width="9.50390625" style="7" customWidth="1"/>
    <col min="2" max="2" width="60.75390625" style="7" customWidth="1"/>
    <col min="3" max="5" width="15.75390625" style="8" customWidth="1"/>
    <col min="6" max="6" width="0" style="7" hidden="1" customWidth="1"/>
    <col min="7" max="7" width="9.375" style="7" customWidth="1"/>
    <col min="8" max="8" width="19.125" style="7" customWidth="1"/>
    <col min="9" max="9" width="11.125" style="7" bestFit="1" customWidth="1"/>
    <col min="10" max="10" width="13.375" style="7" customWidth="1"/>
    <col min="11" max="16384" width="9.375" style="7" customWidth="1"/>
  </cols>
  <sheetData>
    <row r="1" spans="1:5" ht="15">
      <c r="A1" s="626" t="str">
        <f>+CONCATENATE("1. melléklet a 6/",LEFT(ÖSSZEFÜGGÉSEK!A4,4)+1,". (VII.17.) önkormányzati rendelethez")</f>
        <v>1. melléklet a 6/2020. (VII.17.) önkormányzati rendelethez</v>
      </c>
      <c r="B1" s="627"/>
      <c r="C1" s="627"/>
      <c r="D1" s="627"/>
      <c r="E1" s="627"/>
    </row>
    <row r="3" spans="1:5" ht="15.75" customHeight="1">
      <c r="A3" s="629" t="s">
        <v>37</v>
      </c>
      <c r="B3" s="629"/>
      <c r="C3" s="629"/>
      <c r="D3" s="629"/>
      <c r="E3" s="629"/>
    </row>
    <row r="4" spans="1:5" ht="15.75" customHeight="1">
      <c r="A4" s="9" t="s">
        <v>38</v>
      </c>
      <c r="B4" s="9"/>
      <c r="C4" s="10"/>
      <c r="D4" s="10"/>
      <c r="E4" s="10" t="s">
        <v>39</v>
      </c>
    </row>
    <row r="5" spans="1:6" ht="15.75" customHeight="1">
      <c r="A5" s="630" t="s">
        <v>40</v>
      </c>
      <c r="B5" s="631" t="s">
        <v>41</v>
      </c>
      <c r="C5" s="632" t="str">
        <f>+CONCATENATE(LEFT(ÖSSZEFÜGGÉSEK!A4,4),". évi")</f>
        <v>2019. évi</v>
      </c>
      <c r="D5" s="632"/>
      <c r="E5" s="632"/>
      <c r="F5" s="11"/>
    </row>
    <row r="6" spans="1:6" ht="37.5" customHeight="1">
      <c r="A6" s="630"/>
      <c r="B6" s="631"/>
      <c r="C6" s="12" t="s">
        <v>42</v>
      </c>
      <c r="D6" s="12" t="s">
        <v>43</v>
      </c>
      <c r="E6" s="13" t="s">
        <v>44</v>
      </c>
      <c r="F6" s="11"/>
    </row>
    <row r="7" spans="1:6" s="18" customFormat="1" ht="12" customHeight="1">
      <c r="A7" s="14" t="s">
        <v>45</v>
      </c>
      <c r="B7" s="15" t="s">
        <v>46</v>
      </c>
      <c r="C7" s="15" t="s">
        <v>47</v>
      </c>
      <c r="D7" s="15" t="s">
        <v>48</v>
      </c>
      <c r="E7" s="16" t="s">
        <v>49</v>
      </c>
      <c r="F7" s="17"/>
    </row>
    <row r="8" spans="1:6" s="23" customFormat="1" ht="12" customHeight="1">
      <c r="A8" s="19" t="s">
        <v>50</v>
      </c>
      <c r="B8" s="20" t="s">
        <v>51</v>
      </c>
      <c r="C8" s="21">
        <f>SUM(C9:C14)</f>
        <v>63832031</v>
      </c>
      <c r="D8" s="21">
        <f>SUM(D9:D14)</f>
        <v>73656080</v>
      </c>
      <c r="E8" s="21">
        <f>SUM(E9:E14)</f>
        <v>73656080</v>
      </c>
      <c r="F8" s="22" t="s">
        <v>52</v>
      </c>
    </row>
    <row r="9" spans="1:6" s="23" customFormat="1" ht="12" customHeight="1">
      <c r="A9" s="24" t="s">
        <v>53</v>
      </c>
      <c r="B9" s="25" t="s">
        <v>54</v>
      </c>
      <c r="C9" s="26">
        <f>'6.1. sz. mell_k'!C9+'7.1. sz. mell_k'!C9+'8.1. sz. mell._k'!C9</f>
        <v>45483345</v>
      </c>
      <c r="D9" s="26">
        <f>'6.1. sz. mell_k'!D9+'7.1. sz. mell_k'!D9+'8.1. sz. mell._k'!D9</f>
        <v>47948212</v>
      </c>
      <c r="E9" s="26">
        <f>'6.1. sz. mell_k'!E9+'7.1. sz. mell_k'!E9+'8.1. sz. mell._k'!E9</f>
        <v>47948212</v>
      </c>
      <c r="F9" s="22" t="s">
        <v>55</v>
      </c>
    </row>
    <row r="10" spans="1:6" s="23" customFormat="1" ht="12" customHeight="1">
      <c r="A10" s="27" t="s">
        <v>56</v>
      </c>
      <c r="B10" s="28" t="s">
        <v>57</v>
      </c>
      <c r="C10" s="26">
        <f>'6.1. sz. mell_k'!C10</f>
        <v>0</v>
      </c>
      <c r="D10" s="26">
        <f>'6.1. sz. mell_k'!D10</f>
        <v>0</v>
      </c>
      <c r="E10" s="26">
        <f>'6.1. sz. mell_k'!E10</f>
        <v>0</v>
      </c>
      <c r="F10" s="22" t="s">
        <v>58</v>
      </c>
    </row>
    <row r="11" spans="1:6" s="23" customFormat="1" ht="12" customHeight="1">
      <c r="A11" s="27" t="s">
        <v>59</v>
      </c>
      <c r="B11" s="28" t="s">
        <v>60</v>
      </c>
      <c r="C11" s="26">
        <f>'6.1. sz. mell_k'!C11+'7.1. sz. mell_k'!C11+'8.1. sz. mell._k'!C11</f>
        <v>16098086</v>
      </c>
      <c r="D11" s="26">
        <f>'6.1. sz. mell_k'!D11+'7.1. sz. mell_k'!D11+'8.1. sz. mell._k'!D11</f>
        <v>17202637</v>
      </c>
      <c r="E11" s="26">
        <f>'6.1. sz. mell_k'!E11+'7.1. sz. mell_k'!E11+'8.1. sz. mell._k'!E11</f>
        <v>17202637</v>
      </c>
      <c r="F11" s="22" t="s">
        <v>61</v>
      </c>
    </row>
    <row r="12" spans="1:6" s="23" customFormat="1" ht="12" customHeight="1">
      <c r="A12" s="27" t="s">
        <v>62</v>
      </c>
      <c r="B12" s="28" t="s">
        <v>63</v>
      </c>
      <c r="C12" s="26">
        <f>'6.1. sz. mell_k'!C12+'7.1. sz. mell_k'!C12+'8.1. sz. mell._k'!C12</f>
        <v>2250600</v>
      </c>
      <c r="D12" s="26">
        <f>'6.1. sz. mell_k'!D12+'7.1. sz. mell_k'!D12+'8.1. sz. mell._k'!D12</f>
        <v>2580716</v>
      </c>
      <c r="E12" s="26">
        <f>'6.1. sz. mell_k'!E12+'7.1. sz. mell_k'!E12+'8.1. sz. mell._k'!E12</f>
        <v>2580716</v>
      </c>
      <c r="F12" s="22" t="s">
        <v>64</v>
      </c>
    </row>
    <row r="13" spans="1:6" s="23" customFormat="1" ht="12" customHeight="1">
      <c r="A13" s="27" t="s">
        <v>65</v>
      </c>
      <c r="B13" s="28" t="s">
        <v>66</v>
      </c>
      <c r="C13" s="26">
        <f>'6.1. sz. mell_k'!C13+'7.1. sz. mell_k'!C13+'8.1. sz. mell._k'!C13</f>
        <v>0</v>
      </c>
      <c r="D13" s="26">
        <f>'6.1. sz. mell_k'!D13+'7.1. sz. mell_k'!D13+'8.1. sz. mell._k'!D13</f>
        <v>0</v>
      </c>
      <c r="E13" s="26">
        <f>'6.1. sz. mell_k'!E13+'7.1. sz. mell_k'!E13+'8.1. sz. mell._k'!E13</f>
        <v>0</v>
      </c>
      <c r="F13" s="22" t="s">
        <v>67</v>
      </c>
    </row>
    <row r="14" spans="1:6" s="23" customFormat="1" ht="12" customHeight="1">
      <c r="A14" s="29" t="s">
        <v>68</v>
      </c>
      <c r="B14" s="30" t="s">
        <v>69</v>
      </c>
      <c r="C14" s="26">
        <f>'6.1. sz. mell_k'!C14+'7.1. sz. mell_k'!C14+'8.1. sz. mell._k'!C14</f>
        <v>0</v>
      </c>
      <c r="D14" s="26">
        <f>'6.1. sz. mell_k'!D14+'7.1. sz. mell_k'!D14+'8.1. sz. mell._k'!D14</f>
        <v>5924515</v>
      </c>
      <c r="E14" s="26">
        <f>'6.1. sz. mell_k'!E14+'7.1. sz. mell_k'!E14+'8.1. sz. mell._k'!E14</f>
        <v>5924515</v>
      </c>
      <c r="F14" s="22" t="s">
        <v>70</v>
      </c>
    </row>
    <row r="15" spans="1:8" s="23" customFormat="1" ht="12" customHeight="1">
      <c r="A15" s="19" t="s">
        <v>71</v>
      </c>
      <c r="B15" s="31" t="s">
        <v>72</v>
      </c>
      <c r="C15" s="32">
        <f>SUM(C16:C20)</f>
        <v>14400000</v>
      </c>
      <c r="D15" s="32">
        <f>SUM(D16:D20)</f>
        <v>44014722</v>
      </c>
      <c r="E15" s="32">
        <f>SUM(E16:E20)</f>
        <v>44014722</v>
      </c>
      <c r="F15" s="22" t="s">
        <v>73</v>
      </c>
      <c r="H15" s="33"/>
    </row>
    <row r="16" spans="1:6" s="23" customFormat="1" ht="12" customHeight="1">
      <c r="A16" s="24" t="s">
        <v>74</v>
      </c>
      <c r="B16" s="25" t="s">
        <v>75</v>
      </c>
      <c r="C16" s="26">
        <f>'6.1. sz. mell_k'!C16+'7.1. sz. mell_k'!C20+'8.1. sz. mell._k'!C20</f>
        <v>0</v>
      </c>
      <c r="D16" s="26">
        <f>'6.1. sz. mell_k'!D16+'7.1. sz. mell_k'!D20+'8.1. sz. mell._k'!D20</f>
        <v>0</v>
      </c>
      <c r="E16" s="26">
        <f>'6.1. sz. mell_k'!E16+'7.1. sz. mell_k'!E20+'8.1. sz. mell._k'!E20</f>
        <v>0</v>
      </c>
      <c r="F16" s="22" t="s">
        <v>76</v>
      </c>
    </row>
    <row r="17" spans="1:6" s="23" customFormat="1" ht="12" customHeight="1">
      <c r="A17" s="27" t="s">
        <v>77</v>
      </c>
      <c r="B17" s="28" t="s">
        <v>78</v>
      </c>
      <c r="C17" s="26">
        <f>'6.1. sz. mell_k'!C17+'7.1. sz. mell_k'!C21+'8.1. sz. mell._k'!C21</f>
        <v>0</v>
      </c>
      <c r="D17" s="26">
        <f>'6.1. sz. mell_k'!D17+'7.1. sz. mell_k'!D21+'8.1. sz. mell._k'!D21</f>
        <v>0</v>
      </c>
      <c r="E17" s="26">
        <f>'6.1. sz. mell_k'!E17+'7.1. sz. mell_k'!E21+'8.1. sz. mell._k'!E21</f>
        <v>0</v>
      </c>
      <c r="F17" s="22" t="s">
        <v>79</v>
      </c>
    </row>
    <row r="18" spans="1:6" s="23" customFormat="1" ht="12" customHeight="1">
      <c r="A18" s="27" t="s">
        <v>80</v>
      </c>
      <c r="B18" s="28" t="s">
        <v>81</v>
      </c>
      <c r="C18" s="26">
        <f>'6.1. sz. mell_k'!C18+'7.1. sz. mell_k'!C22+'8.1. sz. mell._k'!C22</f>
        <v>400000</v>
      </c>
      <c r="D18" s="26">
        <f>'6.1. sz. mell_k'!D18+'7.1. sz. mell_k'!D22+'8.1. sz. mell._k'!D22</f>
        <v>3720904</v>
      </c>
      <c r="E18" s="26">
        <f>'6.1. sz. mell_k'!E18+'7.1. sz. mell_k'!E22+'8.1. sz. mell._k'!E22</f>
        <v>3720904</v>
      </c>
      <c r="F18" s="22" t="s">
        <v>82</v>
      </c>
    </row>
    <row r="19" spans="1:6" s="23" customFormat="1" ht="12" customHeight="1">
      <c r="A19" s="27" t="s">
        <v>83</v>
      </c>
      <c r="B19" s="28" t="s">
        <v>84</v>
      </c>
      <c r="C19" s="26">
        <f>'6.1. sz. mell_k'!C19+'7.1. sz. mell_k'!C23+'8.1. sz. mell._k'!C23</f>
        <v>0</v>
      </c>
      <c r="D19" s="26">
        <f>'6.1. sz. mell_k'!D19+'7.1. sz. mell_k'!D23+'8.1. sz. mell._k'!D23</f>
        <v>0</v>
      </c>
      <c r="E19" s="26">
        <f>'6.1. sz. mell_k'!E19+'7.1. sz. mell_k'!E23+'8.1. sz. mell._k'!E23</f>
        <v>0</v>
      </c>
      <c r="F19" s="22" t="s">
        <v>85</v>
      </c>
    </row>
    <row r="20" spans="1:8" s="23" customFormat="1" ht="12" customHeight="1">
      <c r="A20" s="27" t="s">
        <v>86</v>
      </c>
      <c r="B20" s="28" t="s">
        <v>87</v>
      </c>
      <c r="C20" s="26">
        <f>'6.1. sz. mell_k'!C20+'7.1. sz. mell_k'!C24+'8.1. sz. mell._k'!C24</f>
        <v>14000000</v>
      </c>
      <c r="D20" s="26">
        <f>'6.1. sz. mell_k'!D20+'7.1. sz. mell_k'!D24+'8.1. sz. mell._k'!D24</f>
        <v>40293818</v>
      </c>
      <c r="E20" s="26">
        <f>'6.1. sz. mell_k'!E20+'7.1. sz. mell_k'!E24+'8.1. sz. mell._k'!E24</f>
        <v>40293818</v>
      </c>
      <c r="F20" s="22" t="s">
        <v>88</v>
      </c>
      <c r="H20" s="33"/>
    </row>
    <row r="21" spans="1:6" s="23" customFormat="1" ht="12" customHeight="1">
      <c r="A21" s="29" t="s">
        <v>89</v>
      </c>
      <c r="B21" s="30" t="s">
        <v>90</v>
      </c>
      <c r="C21" s="26">
        <f>'6.1. sz. mell_k'!C21+'7.1. sz. mell_k'!C25+'8.1. sz. mell._k'!C25</f>
        <v>0</v>
      </c>
      <c r="D21" s="26">
        <f>'6.1. sz. mell_k'!D21+'7.1. sz. mell_k'!D25+'8.1. sz. mell._k'!D25</f>
        <v>0</v>
      </c>
      <c r="E21" s="26">
        <f>'6.1. sz. mell_k'!E21+'7.1. sz. mell_k'!E25+'8.1. sz. mell._k'!E25</f>
        <v>0</v>
      </c>
      <c r="F21" s="22" t="s">
        <v>91</v>
      </c>
    </row>
    <row r="22" spans="1:6" s="23" customFormat="1" ht="12" customHeight="1">
      <c r="A22" s="19" t="s">
        <v>92</v>
      </c>
      <c r="B22" s="20" t="s">
        <v>93</v>
      </c>
      <c r="C22" s="32">
        <f>SUM(C23:C27)</f>
        <v>95000000</v>
      </c>
      <c r="D22" s="32">
        <f>SUM(D23:D27)</f>
        <v>151681249</v>
      </c>
      <c r="E22" s="32">
        <f>SUM(E23:E27)</f>
        <v>151681249</v>
      </c>
      <c r="F22" s="22" t="s">
        <v>94</v>
      </c>
    </row>
    <row r="23" spans="1:6" s="23" customFormat="1" ht="12" customHeight="1">
      <c r="A23" s="24" t="s">
        <v>95</v>
      </c>
      <c r="B23" s="25" t="s">
        <v>96</v>
      </c>
      <c r="C23" s="26">
        <f>'6.1. sz. mell_k'!C23</f>
        <v>0</v>
      </c>
      <c r="D23" s="26">
        <f>'6.1. sz. mell_k'!D23</f>
        <v>10068043</v>
      </c>
      <c r="E23" s="26">
        <f>'6.1. sz. mell_k'!E23</f>
        <v>10068043</v>
      </c>
      <c r="F23" s="22" t="s">
        <v>97</v>
      </c>
    </row>
    <row r="24" spans="1:6" s="23" customFormat="1" ht="12" customHeight="1">
      <c r="A24" s="27" t="s">
        <v>98</v>
      </c>
      <c r="B24" s="28" t="s">
        <v>99</v>
      </c>
      <c r="C24" s="26">
        <f>'6.1. sz. mell_k'!C24</f>
        <v>0</v>
      </c>
      <c r="D24" s="26">
        <f>'6.1. sz. mell_k'!D24</f>
        <v>0</v>
      </c>
      <c r="E24" s="26">
        <f>'6.1. sz. mell_k'!E24</f>
        <v>0</v>
      </c>
      <c r="F24" s="22" t="s">
        <v>100</v>
      </c>
    </row>
    <row r="25" spans="1:6" s="23" customFormat="1" ht="12" customHeight="1">
      <c r="A25" s="27" t="s">
        <v>101</v>
      </c>
      <c r="B25" s="28" t="s">
        <v>102</v>
      </c>
      <c r="C25" s="26">
        <f>'6.1. sz. mell_k'!C25</f>
        <v>0</v>
      </c>
      <c r="D25" s="26">
        <f>'6.1. sz. mell_k'!D25</f>
        <v>0</v>
      </c>
      <c r="E25" s="26">
        <f>'6.1. sz. mell_k'!E25</f>
        <v>0</v>
      </c>
      <c r="F25" s="22" t="s">
        <v>103</v>
      </c>
    </row>
    <row r="26" spans="1:6" s="23" customFormat="1" ht="12" customHeight="1">
      <c r="A26" s="27" t="s">
        <v>104</v>
      </c>
      <c r="B26" s="28" t="s">
        <v>105</v>
      </c>
      <c r="C26" s="26">
        <f>'6.1. sz. mell_k'!C26</f>
        <v>0</v>
      </c>
      <c r="D26" s="26">
        <f>'6.1. sz. mell_k'!D26</f>
        <v>0</v>
      </c>
      <c r="E26" s="26">
        <f>'6.1. sz. mell_k'!E26</f>
        <v>0</v>
      </c>
      <c r="F26" s="22" t="s">
        <v>106</v>
      </c>
    </row>
    <row r="27" spans="1:6" s="23" customFormat="1" ht="12" customHeight="1">
      <c r="A27" s="27" t="s">
        <v>107</v>
      </c>
      <c r="B27" s="28" t="s">
        <v>108</v>
      </c>
      <c r="C27" s="26">
        <f>'6.1. sz. mell_k'!C27</f>
        <v>95000000</v>
      </c>
      <c r="D27" s="26">
        <f>'6.1. sz. mell_k'!D27</f>
        <v>141613206</v>
      </c>
      <c r="E27" s="26">
        <f>'6.1. sz. mell_k'!E27</f>
        <v>141613206</v>
      </c>
      <c r="F27" s="22" t="s">
        <v>109</v>
      </c>
    </row>
    <row r="28" spans="1:6" s="23" customFormat="1" ht="12" customHeight="1">
      <c r="A28" s="29" t="s">
        <v>110</v>
      </c>
      <c r="B28" s="34" t="s">
        <v>111</v>
      </c>
      <c r="C28" s="26">
        <f>'6.1. sz. mell_k'!C28</f>
        <v>0</v>
      </c>
      <c r="D28" s="26">
        <f>'6.1. sz. mell_k'!D28</f>
        <v>0</v>
      </c>
      <c r="E28" s="26">
        <f>'6.1. sz. mell_k'!E28</f>
        <v>0</v>
      </c>
      <c r="F28" s="22" t="s">
        <v>112</v>
      </c>
    </row>
    <row r="29" spans="1:6" s="23" customFormat="1" ht="12" customHeight="1">
      <c r="A29" s="19" t="s">
        <v>113</v>
      </c>
      <c r="B29" s="20" t="s">
        <v>114</v>
      </c>
      <c r="C29" s="32">
        <f>+C32+C33+C34+C35+C31</f>
        <v>80000000</v>
      </c>
      <c r="D29" s="32">
        <f>+D32+D33+D34+D35+D31</f>
        <v>93332274</v>
      </c>
      <c r="E29" s="32">
        <f>+E32+E33+E34+E35+E31</f>
        <v>93332274</v>
      </c>
      <c r="F29" s="22" t="s">
        <v>115</v>
      </c>
    </row>
    <row r="30" spans="1:6" s="23" customFormat="1" ht="12" customHeight="1">
      <c r="A30" s="24" t="s">
        <v>116</v>
      </c>
      <c r="B30" s="25" t="s">
        <v>117</v>
      </c>
      <c r="C30" s="26">
        <f>'6.1. sz. mell_k'!C30</f>
        <v>74179000</v>
      </c>
      <c r="D30" s="26">
        <f>'6.1. sz. mell_k'!D30</f>
        <v>86631378</v>
      </c>
      <c r="E30" s="26">
        <f>'6.1. sz. mell_k'!E30</f>
        <v>86631378</v>
      </c>
      <c r="F30" s="22" t="s">
        <v>118</v>
      </c>
    </row>
    <row r="31" spans="1:6" s="23" customFormat="1" ht="12" customHeight="1">
      <c r="A31" s="27" t="s">
        <v>119</v>
      </c>
      <c r="B31" s="28" t="s">
        <v>120</v>
      </c>
      <c r="C31" s="26">
        <f>'6.1. sz. mell_k'!C31</f>
        <v>6000000</v>
      </c>
      <c r="D31" s="26">
        <f>'6.1. sz. mell_k'!D31</f>
        <v>6582209</v>
      </c>
      <c r="E31" s="26">
        <f>'6.1. sz. mell_k'!E31</f>
        <v>6582209</v>
      </c>
      <c r="F31" s="22" t="s">
        <v>121</v>
      </c>
    </row>
    <row r="32" spans="1:6" s="23" customFormat="1" ht="12" customHeight="1">
      <c r="A32" s="27" t="s">
        <v>122</v>
      </c>
      <c r="B32" s="28" t="s">
        <v>123</v>
      </c>
      <c r="C32" s="26">
        <f>'6.1. sz. mell_k'!C32</f>
        <v>68179000</v>
      </c>
      <c r="D32" s="26">
        <f>'6.1. sz. mell_k'!D32</f>
        <v>80049169</v>
      </c>
      <c r="E32" s="26">
        <f>'6.1. sz. mell_k'!E32</f>
        <v>80049169</v>
      </c>
      <c r="F32" s="22" t="s">
        <v>124</v>
      </c>
    </row>
    <row r="33" spans="1:6" s="23" customFormat="1" ht="12" customHeight="1">
      <c r="A33" s="27" t="s">
        <v>125</v>
      </c>
      <c r="B33" s="28" t="s">
        <v>126</v>
      </c>
      <c r="C33" s="26">
        <f>'6.1. sz. mell_k'!C33</f>
        <v>5000000</v>
      </c>
      <c r="D33" s="26">
        <f>'6.1. sz. mell_k'!D33</f>
        <v>6340602</v>
      </c>
      <c r="E33" s="26">
        <f>'6.1. sz. mell_k'!E33</f>
        <v>6340602</v>
      </c>
      <c r="F33" s="22" t="s">
        <v>127</v>
      </c>
    </row>
    <row r="34" spans="1:6" s="23" customFormat="1" ht="12" customHeight="1">
      <c r="A34" s="27" t="s">
        <v>128</v>
      </c>
      <c r="B34" s="28" t="s">
        <v>129</v>
      </c>
      <c r="C34" s="26">
        <f>'6.1. sz. mell_k'!C34</f>
        <v>0</v>
      </c>
      <c r="D34" s="26">
        <f>'6.1. sz. mell_k'!D34</f>
        <v>0</v>
      </c>
      <c r="E34" s="26">
        <f>'6.1. sz. mell_k'!E34</f>
        <v>0</v>
      </c>
      <c r="F34" s="22" t="s">
        <v>130</v>
      </c>
    </row>
    <row r="35" spans="1:6" s="23" customFormat="1" ht="12" customHeight="1">
      <c r="A35" s="29" t="s">
        <v>131</v>
      </c>
      <c r="B35" s="34" t="s">
        <v>132</v>
      </c>
      <c r="C35" s="26">
        <f>'6.1. sz. mell_k'!C35</f>
        <v>821000</v>
      </c>
      <c r="D35" s="26">
        <f>'6.1. sz. mell_k'!D35</f>
        <v>360294</v>
      </c>
      <c r="E35" s="26">
        <f>'6.1. sz. mell_k'!E35</f>
        <v>360294</v>
      </c>
      <c r="F35" s="22" t="s">
        <v>133</v>
      </c>
    </row>
    <row r="36" spans="1:8" s="23" customFormat="1" ht="12" customHeight="1">
      <c r="A36" s="19" t="s">
        <v>134</v>
      </c>
      <c r="B36" s="20" t="s">
        <v>135</v>
      </c>
      <c r="C36" s="32">
        <f>SUM(C37:C46)</f>
        <v>15200000</v>
      </c>
      <c r="D36" s="32">
        <f>SUM(D37:D46)</f>
        <v>14912608</v>
      </c>
      <c r="E36" s="32">
        <f>SUM(E37:E46)</f>
        <v>14912608</v>
      </c>
      <c r="F36" s="22" t="s">
        <v>136</v>
      </c>
      <c r="H36" s="33"/>
    </row>
    <row r="37" spans="1:8" s="23" customFormat="1" ht="12" customHeight="1">
      <c r="A37" s="24" t="s">
        <v>137</v>
      </c>
      <c r="B37" s="25" t="s">
        <v>138</v>
      </c>
      <c r="C37" s="35">
        <f>'6.1. sz. mell_k'!C37+'7.1. sz. mell_k'!C9+'8.1. sz. mell._k'!C9</f>
        <v>0</v>
      </c>
      <c r="D37" s="35">
        <f>'6.1. sz. mell_k'!D37+'7.1. sz. mell_k'!D9+'8.1. sz. mell._k'!D9</f>
        <v>0</v>
      </c>
      <c r="E37" s="35">
        <f>'6.1. sz. mell_k'!E37+'7.1. sz. mell_k'!E9+'8.1. sz. mell._k'!E9</f>
        <v>0</v>
      </c>
      <c r="F37" s="35">
        <f>'6.1. sz. mell_k'!F37+'7.1. sz. mell_k'!F9+'8.1. sz. mell._k'!F9</f>
        <v>34</v>
      </c>
      <c r="H37" s="33"/>
    </row>
    <row r="38" spans="1:6" s="23" customFormat="1" ht="12" customHeight="1">
      <c r="A38" s="27" t="s">
        <v>140</v>
      </c>
      <c r="B38" s="28" t="s">
        <v>141</v>
      </c>
      <c r="C38" s="35">
        <f>'6.1. sz. mell_k'!C38+'7.1. sz. mell_k'!C10+'8.1. sz. mell._k'!C10</f>
        <v>7900000</v>
      </c>
      <c r="D38" s="35">
        <f>'6.1. sz. mell_k'!D38+'7.1. sz. mell_k'!D10+'8.1. sz. mell._k'!D10</f>
        <v>7276370</v>
      </c>
      <c r="E38" s="35">
        <f>'6.1. sz. mell_k'!E38+'7.1. sz. mell_k'!E10+'8.1. sz. mell._k'!E10</f>
        <v>7276370</v>
      </c>
      <c r="F38" s="22" t="s">
        <v>142</v>
      </c>
    </row>
    <row r="39" spans="1:6" s="23" customFormat="1" ht="12" customHeight="1">
      <c r="A39" s="27" t="s">
        <v>143</v>
      </c>
      <c r="B39" s="28" t="s">
        <v>144</v>
      </c>
      <c r="C39" s="35">
        <f>'6.1. sz. mell_k'!C39+'7.1. sz. mell_k'!C11+'8.1. sz. mell._k'!C11</f>
        <v>100000</v>
      </c>
      <c r="D39" s="35">
        <f>'6.1. sz. mell_k'!D39+'7.1. sz. mell_k'!D11+'8.1. sz. mell._k'!D11</f>
        <v>0</v>
      </c>
      <c r="E39" s="35">
        <f>'6.1. sz. mell_k'!E39+'7.1. sz. mell_k'!E11+'8.1. sz. mell._k'!E11</f>
        <v>0</v>
      </c>
      <c r="F39" s="22" t="s">
        <v>145</v>
      </c>
    </row>
    <row r="40" spans="1:6" s="23" customFormat="1" ht="12" customHeight="1">
      <c r="A40" s="27" t="s">
        <v>146</v>
      </c>
      <c r="B40" s="28" t="s">
        <v>147</v>
      </c>
      <c r="C40" s="35">
        <f>'6.1. sz. mell_k'!C40+'7.1. sz. mell_k'!C12+'8.1. sz. mell._k'!C12</f>
        <v>5100000</v>
      </c>
      <c r="D40" s="35">
        <f>'6.1. sz. mell_k'!D40+'7.1. sz. mell_k'!D12+'8.1. sz. mell._k'!D12</f>
        <v>3701729</v>
      </c>
      <c r="E40" s="35">
        <f>'6.1. sz. mell_k'!E40+'7.1. sz. mell_k'!E12+'8.1. sz. mell._k'!E12</f>
        <v>3701729</v>
      </c>
      <c r="F40" s="22" t="s">
        <v>148</v>
      </c>
    </row>
    <row r="41" spans="1:6" s="23" customFormat="1" ht="12" customHeight="1">
      <c r="A41" s="27" t="s">
        <v>149</v>
      </c>
      <c r="B41" s="28" t="s">
        <v>150</v>
      </c>
      <c r="C41" s="35">
        <f>'6.1. sz. mell_k'!C41+'7.1. sz. mell_k'!C13+'8.1. sz. mell._k'!C13</f>
        <v>1000000</v>
      </c>
      <c r="D41" s="35">
        <f>'6.1. sz. mell_k'!D41+'7.1. sz. mell_k'!D13+'8.1. sz. mell._k'!D13</f>
        <v>1264767</v>
      </c>
      <c r="E41" s="35">
        <f>'6.1. sz. mell_k'!E41+'7.1. sz. mell_k'!E13+'8.1. sz. mell._k'!E13</f>
        <v>1264767</v>
      </c>
      <c r="F41" s="22" t="s">
        <v>151</v>
      </c>
    </row>
    <row r="42" spans="1:6" s="23" customFormat="1" ht="12" customHeight="1">
      <c r="A42" s="27" t="s">
        <v>152</v>
      </c>
      <c r="B42" s="28" t="s">
        <v>153</v>
      </c>
      <c r="C42" s="35">
        <f>'6.1. sz. mell_k'!C42+'7.1. sz. mell_k'!C14+'8.1. sz. mell._k'!C14</f>
        <v>1000000</v>
      </c>
      <c r="D42" s="35">
        <f>'6.1. sz. mell_k'!D42+'7.1. sz. mell_k'!D14+'8.1. sz. mell._k'!D14</f>
        <v>1138582</v>
      </c>
      <c r="E42" s="35">
        <f>'6.1. sz. mell_k'!E42+'7.1. sz. mell_k'!E14+'8.1. sz. mell._k'!E14</f>
        <v>1138582</v>
      </c>
      <c r="F42" s="22" t="s">
        <v>154</v>
      </c>
    </row>
    <row r="43" spans="1:6" s="23" customFormat="1" ht="12" customHeight="1">
      <c r="A43" s="27" t="s">
        <v>155</v>
      </c>
      <c r="B43" s="28" t="s">
        <v>156</v>
      </c>
      <c r="C43" s="35">
        <f>'6.1. sz. mell_k'!C43+'7.1. sz. mell_k'!C15+'8.1. sz. mell._k'!C15</f>
        <v>0</v>
      </c>
      <c r="D43" s="35">
        <f>'6.1. sz. mell_k'!D43+'7.1. sz. mell_k'!D15+'8.1. sz. mell._k'!D15</f>
        <v>0</v>
      </c>
      <c r="E43" s="35">
        <f>'6.1. sz. mell_k'!E43+'7.1. sz. mell_k'!E15+'8.1. sz. mell._k'!E15</f>
        <v>0</v>
      </c>
      <c r="F43" s="22" t="s">
        <v>157</v>
      </c>
    </row>
    <row r="44" spans="1:6" s="23" customFormat="1" ht="12" customHeight="1">
      <c r="A44" s="27" t="s">
        <v>158</v>
      </c>
      <c r="B44" s="28" t="s">
        <v>159</v>
      </c>
      <c r="C44" s="35">
        <f>'6.1. sz. mell_k'!C44+'7.1. sz. mell_k'!C16+'8.1. sz. mell._k'!C16</f>
        <v>100000</v>
      </c>
      <c r="D44" s="35">
        <f>'6.1. sz. mell_k'!D44+'7.1. sz. mell_k'!D16+'8.1. sz. mell._k'!D16</f>
        <v>458481</v>
      </c>
      <c r="E44" s="35">
        <f>'6.1. sz. mell_k'!E44+'7.1. sz. mell_k'!E16+'8.1. sz. mell._k'!E16</f>
        <v>458481</v>
      </c>
      <c r="F44" s="22" t="s">
        <v>160</v>
      </c>
    </row>
    <row r="45" spans="1:6" s="23" customFormat="1" ht="12" customHeight="1">
      <c r="A45" s="27" t="s">
        <v>161</v>
      </c>
      <c r="B45" s="28" t="s">
        <v>162</v>
      </c>
      <c r="C45" s="35">
        <f>'6.1. sz. mell_k'!C45+'7.1. sz. mell_k'!C17+'8.1. sz. mell._k'!C17</f>
        <v>0</v>
      </c>
      <c r="D45" s="35">
        <f>'6.1. sz. mell_k'!D45+'7.1. sz. mell_k'!D17+'8.1. sz. mell._k'!D17</f>
        <v>0</v>
      </c>
      <c r="E45" s="35">
        <f>'6.1. sz. mell_k'!E45+'7.1. sz. mell_k'!E17+'8.1. sz. mell._k'!E17</f>
        <v>0</v>
      </c>
      <c r="F45" s="22" t="s">
        <v>163</v>
      </c>
    </row>
    <row r="46" spans="1:6" s="23" customFormat="1" ht="12" customHeight="1">
      <c r="A46" s="29" t="s">
        <v>164</v>
      </c>
      <c r="B46" s="30" t="s">
        <v>165</v>
      </c>
      <c r="C46" s="35">
        <f>'6.1. sz. mell_k'!C46+'7.1. sz. mell_k'!C18+'8.1. sz. mell._k'!C18</f>
        <v>0</v>
      </c>
      <c r="D46" s="35">
        <f>'6.1. sz. mell_k'!D46+'7.1. sz. mell_k'!D18+'8.1. sz. mell._k'!D18</f>
        <v>1072679</v>
      </c>
      <c r="E46" s="35">
        <f>'6.1. sz. mell_k'!E46+'7.1. sz. mell_k'!E18+'8.1. sz. mell._k'!E18</f>
        <v>1072679</v>
      </c>
      <c r="F46" s="22" t="s">
        <v>166</v>
      </c>
    </row>
    <row r="47" spans="1:6" s="23" customFormat="1" ht="12" customHeight="1">
      <c r="A47" s="19" t="s">
        <v>167</v>
      </c>
      <c r="B47" s="20" t="s">
        <v>168</v>
      </c>
      <c r="C47" s="32">
        <f>SUM(C48:C52)</f>
        <v>0</v>
      </c>
      <c r="D47" s="32">
        <f>SUM(D48:D52)</f>
        <v>186614</v>
      </c>
      <c r="E47" s="32">
        <f>SUM(E48:E52)</f>
        <v>186614</v>
      </c>
      <c r="F47" s="22" t="s">
        <v>169</v>
      </c>
    </row>
    <row r="48" spans="1:6" s="23" customFormat="1" ht="12" customHeight="1">
      <c r="A48" s="24" t="s">
        <v>170</v>
      </c>
      <c r="B48" s="25" t="s">
        <v>171</v>
      </c>
      <c r="C48" s="26">
        <f>'6.1. sz. mell_k'!C48+'7.1. sz. mell_k'!C30+'8.1. sz. mell._k'!C30</f>
        <v>0</v>
      </c>
      <c r="D48" s="26">
        <f>'6.1. sz. mell_k'!D48+'7.1. sz. mell_k'!D30+'8.1. sz. mell._k'!D30</f>
        <v>0</v>
      </c>
      <c r="E48" s="26">
        <f>'6.1. sz. mell_k'!E48+'7.1. sz. mell_k'!E30+'8.1. sz. mell._k'!E30</f>
        <v>0</v>
      </c>
      <c r="F48" s="22" t="s">
        <v>172</v>
      </c>
    </row>
    <row r="49" spans="1:6" s="23" customFormat="1" ht="12" customHeight="1">
      <c r="A49" s="27" t="s">
        <v>173</v>
      </c>
      <c r="B49" s="28" t="s">
        <v>174</v>
      </c>
      <c r="C49" s="26">
        <f>'6.1. sz. mell_k'!C49+'7.1. sz. mell_k'!C31+'8.1. sz. mell._k'!C31</f>
        <v>0</v>
      </c>
      <c r="D49" s="26">
        <f>'6.1. sz. mell_k'!D49+'7.1. sz. mell_k'!D31+'8.1. sz. mell._k'!D31</f>
        <v>100000</v>
      </c>
      <c r="E49" s="26">
        <f>'6.1. sz. mell_k'!E49+'7.1. sz. mell_k'!E31+'8.1. sz. mell._k'!E31</f>
        <v>100000</v>
      </c>
      <c r="F49" s="22" t="s">
        <v>175</v>
      </c>
    </row>
    <row r="50" spans="1:6" s="23" customFormat="1" ht="12" customHeight="1">
      <c r="A50" s="27" t="s">
        <v>176</v>
      </c>
      <c r="B50" s="28" t="s">
        <v>177</v>
      </c>
      <c r="C50" s="26">
        <f>'6.1. sz. mell_k'!C50+'7.1. sz. mell_k'!C32+'8.1. sz. mell._k'!C32</f>
        <v>0</v>
      </c>
      <c r="D50" s="26">
        <f>'6.1. sz. mell_k'!D50+'7.1. sz. mell_k'!D32+'8.1. sz. mell._k'!D32</f>
        <v>86614</v>
      </c>
      <c r="E50" s="26">
        <f>'6.1. sz. mell_k'!E50+'7.1. sz. mell_k'!E32+'8.1. sz. mell._k'!E32</f>
        <v>86614</v>
      </c>
      <c r="F50" s="22" t="s">
        <v>178</v>
      </c>
    </row>
    <row r="51" spans="1:6" s="23" customFormat="1" ht="12" customHeight="1">
      <c r="A51" s="27" t="s">
        <v>179</v>
      </c>
      <c r="B51" s="28" t="s">
        <v>180</v>
      </c>
      <c r="C51" s="26">
        <f>'6.1. sz. mell_k'!C51+'7.1. sz. mell_k'!C33+'8.1. sz. mell._k'!C33</f>
        <v>0</v>
      </c>
      <c r="D51" s="26">
        <f>'6.1. sz. mell_k'!D51+'7.1. sz. mell_k'!D33+'8.1. sz. mell._k'!D33</f>
        <v>0</v>
      </c>
      <c r="E51" s="26">
        <f>'6.1. sz. mell_k'!E51+'7.1. sz. mell_k'!E33+'8.1. sz. mell._k'!E33</f>
        <v>0</v>
      </c>
      <c r="F51" s="22" t="s">
        <v>181</v>
      </c>
    </row>
    <row r="52" spans="1:6" s="23" customFormat="1" ht="12" customHeight="1">
      <c r="A52" s="29" t="s">
        <v>182</v>
      </c>
      <c r="B52" s="30" t="s">
        <v>183</v>
      </c>
      <c r="C52" s="26">
        <f>'6.1. sz. mell_k'!C52+'7.1. sz. mell_k'!C34+'8.1. sz. mell._k'!C34</f>
        <v>0</v>
      </c>
      <c r="D52" s="26">
        <f>'6.1. sz. mell_k'!D52+'7.1. sz. mell_k'!D34+'8.1. sz. mell._k'!D34</f>
        <v>0</v>
      </c>
      <c r="E52" s="26">
        <f>'6.1. sz. mell_k'!E52+'7.1. sz. mell_k'!E34+'8.1. sz. mell._k'!E34</f>
        <v>0</v>
      </c>
      <c r="F52" s="22" t="s">
        <v>184</v>
      </c>
    </row>
    <row r="53" spans="1:6" s="23" customFormat="1" ht="17.25" customHeight="1">
      <c r="A53" s="19" t="s">
        <v>185</v>
      </c>
      <c r="B53" s="20" t="s">
        <v>186</v>
      </c>
      <c r="C53" s="32">
        <f>SUM(C54:C57)</f>
        <v>0</v>
      </c>
      <c r="D53" s="32">
        <f>SUM(D54:D57)</f>
        <v>0</v>
      </c>
      <c r="E53" s="32">
        <f>SUM(E54:E57)</f>
        <v>0</v>
      </c>
      <c r="F53" s="22" t="s">
        <v>187</v>
      </c>
    </row>
    <row r="54" spans="1:6" s="23" customFormat="1" ht="12" customHeight="1">
      <c r="A54" s="24" t="s">
        <v>188</v>
      </c>
      <c r="B54" s="25" t="s">
        <v>189</v>
      </c>
      <c r="C54" s="37"/>
      <c r="D54" s="37"/>
      <c r="E54" s="37"/>
      <c r="F54" s="22" t="s">
        <v>190</v>
      </c>
    </row>
    <row r="55" spans="1:6" s="23" customFormat="1" ht="12" customHeight="1">
      <c r="A55" s="27" t="s">
        <v>191</v>
      </c>
      <c r="B55" s="28" t="s">
        <v>192</v>
      </c>
      <c r="C55" s="37"/>
      <c r="D55" s="37"/>
      <c r="E55" s="38"/>
      <c r="F55" s="22" t="s">
        <v>193</v>
      </c>
    </row>
    <row r="56" spans="1:6" s="23" customFormat="1" ht="12" customHeight="1">
      <c r="A56" s="27" t="s">
        <v>194</v>
      </c>
      <c r="B56" s="28" t="s">
        <v>195</v>
      </c>
      <c r="C56" s="37">
        <f>'6.1. sz. mell_k'!C56</f>
        <v>0</v>
      </c>
      <c r="D56" s="37">
        <f>'6.1. sz. mell_k'!D56</f>
        <v>0</v>
      </c>
      <c r="E56" s="37">
        <f>'6.1. sz. mell_k'!E56</f>
        <v>0</v>
      </c>
      <c r="F56" s="22" t="s">
        <v>196</v>
      </c>
    </row>
    <row r="57" spans="1:6" s="23" customFormat="1" ht="12" customHeight="1">
      <c r="A57" s="29" t="s">
        <v>197</v>
      </c>
      <c r="B57" s="30" t="s">
        <v>198</v>
      </c>
      <c r="C57" s="37"/>
      <c r="D57" s="37"/>
      <c r="E57" s="37"/>
      <c r="F57" s="22" t="s">
        <v>199</v>
      </c>
    </row>
    <row r="58" spans="1:6" s="23" customFormat="1" ht="12" customHeight="1">
      <c r="A58" s="19" t="s">
        <v>200</v>
      </c>
      <c r="B58" s="31" t="s">
        <v>201</v>
      </c>
      <c r="C58" s="32">
        <f>SUM(C59:C62)</f>
        <v>0</v>
      </c>
      <c r="D58" s="32">
        <f>SUM(D59:D62)</f>
        <v>22432122</v>
      </c>
      <c r="E58" s="32">
        <f>SUM(E59:E62)</f>
        <v>22432122</v>
      </c>
      <c r="F58" s="22" t="s">
        <v>202</v>
      </c>
    </row>
    <row r="59" spans="1:6" s="23" customFormat="1" ht="12" customHeight="1">
      <c r="A59" s="24" t="s">
        <v>203</v>
      </c>
      <c r="B59" s="25" t="s">
        <v>204</v>
      </c>
      <c r="C59" s="26">
        <f>'6.1. sz. mell_k'!C59+'7.1. sz. mell_k'!C59+'8.1. sz. mell._k'!C59</f>
        <v>0</v>
      </c>
      <c r="D59" s="26">
        <f>'6.1. sz. mell_k'!D59+'7.1. sz. mell_k'!D59+'8.1. sz. mell._k'!D59</f>
        <v>0</v>
      </c>
      <c r="E59" s="26">
        <f>'6.1. sz. mell_k'!E59+'7.1. sz. mell_k'!E59+'8.1. sz. mell._k'!E59</f>
        <v>0</v>
      </c>
      <c r="F59" s="22" t="s">
        <v>205</v>
      </c>
    </row>
    <row r="60" spans="1:6" s="23" customFormat="1" ht="12" customHeight="1">
      <c r="A60" s="27" t="s">
        <v>206</v>
      </c>
      <c r="B60" s="28" t="s">
        <v>207</v>
      </c>
      <c r="C60" s="26">
        <f>'6.1. sz. mell_k'!C60+'7.1. sz. mell_k'!C60+'8.1. sz. mell._k'!C60</f>
        <v>0</v>
      </c>
      <c r="D60" s="26">
        <f>'6.1. sz. mell_k'!D60+'7.1. sz. mell_k'!D60+'8.1. sz. mell._k'!D60</f>
        <v>22432122</v>
      </c>
      <c r="E60" s="26">
        <f>'6.1. sz. mell_k'!E60+'7.1. sz. mell_k'!E60+'8.1. sz. mell._k'!E60</f>
        <v>22432122</v>
      </c>
      <c r="F60" s="22" t="s">
        <v>208</v>
      </c>
    </row>
    <row r="61" spans="1:6" s="23" customFormat="1" ht="12" customHeight="1">
      <c r="A61" s="27" t="s">
        <v>209</v>
      </c>
      <c r="B61" s="28" t="s">
        <v>210</v>
      </c>
      <c r="C61" s="26">
        <f>'6.1. sz. mell_k'!C61+'7.1. sz. mell_k'!C61+'8.1. sz. mell._k'!C61</f>
        <v>0</v>
      </c>
      <c r="D61" s="26">
        <f>'6.1. sz. mell_k'!D61+'7.1. sz. mell_k'!D61+'8.1. sz. mell._k'!D61</f>
        <v>0</v>
      </c>
      <c r="E61" s="26">
        <f>'6.1. sz. mell_k'!E61+'7.1. sz. mell_k'!E61+'8.1. sz. mell._k'!E61</f>
        <v>0</v>
      </c>
      <c r="F61" s="22" t="s">
        <v>211</v>
      </c>
    </row>
    <row r="62" spans="1:6" s="23" customFormat="1" ht="12" customHeight="1">
      <c r="A62" s="29" t="s">
        <v>212</v>
      </c>
      <c r="B62" s="30" t="s">
        <v>213</v>
      </c>
      <c r="C62" s="26">
        <f>'6.1. sz. mell_k'!C62+'7.1. sz. mell_k'!C62+'8.1. sz. mell._k'!C62</f>
        <v>0</v>
      </c>
      <c r="D62" s="26">
        <f>'6.1. sz. mell_k'!D62+'7.1. sz. mell_k'!D62+'8.1. sz. mell._k'!D62</f>
        <v>0</v>
      </c>
      <c r="E62" s="26">
        <f>'6.1. sz. mell_k'!E62+'7.1. sz. mell_k'!E62+'8.1. sz. mell._k'!E62</f>
        <v>0</v>
      </c>
      <c r="F62" s="22" t="s">
        <v>214</v>
      </c>
    </row>
    <row r="63" spans="1:6" s="23" customFormat="1" ht="12" customHeight="1">
      <c r="A63" s="19" t="s">
        <v>215</v>
      </c>
      <c r="B63" s="20" t="s">
        <v>216</v>
      </c>
      <c r="C63" s="41">
        <f>C8+C15+C22+C29+C36+C53+C47+C58</f>
        <v>268432031</v>
      </c>
      <c r="D63" s="41">
        <f>D8+D15+D22+D29+D36+D53+D47+D58</f>
        <v>400215669</v>
      </c>
      <c r="E63" s="41">
        <f>E8+E15+E22+E29+E36+E53+E47+E58</f>
        <v>400215669</v>
      </c>
      <c r="F63" s="22" t="s">
        <v>217</v>
      </c>
    </row>
    <row r="64" spans="1:6" s="23" customFormat="1" ht="12" customHeight="1">
      <c r="A64" s="42" t="s">
        <v>218</v>
      </c>
      <c r="B64" s="31" t="s">
        <v>219</v>
      </c>
      <c r="C64" s="21">
        <f>'6.1. sz. mell_k'!C64+'7.1. sz. mell_k'!C64+'8.1. sz. mell._k'!C64</f>
        <v>0</v>
      </c>
      <c r="D64" s="21">
        <f>'6.1. sz. mell_k'!D64+'7.1. sz. mell_k'!D64+'8.1. sz. mell._k'!D64</f>
        <v>0</v>
      </c>
      <c r="E64" s="21">
        <f>'6.1. sz. mell_k'!E64+'7.1. sz. mell_k'!E64+'8.1. sz. mell._k'!E64</f>
        <v>0</v>
      </c>
      <c r="F64" s="22" t="s">
        <v>220</v>
      </c>
    </row>
    <row r="65" spans="1:6" s="23" customFormat="1" ht="12" customHeight="1">
      <c r="A65" s="24" t="s">
        <v>221</v>
      </c>
      <c r="B65" s="25" t="s">
        <v>222</v>
      </c>
      <c r="C65" s="43">
        <f>'6.1. sz. mell_k'!C65+'7.1. sz. mell_k'!C65+'8.1. sz. mell._k'!C65</f>
        <v>0</v>
      </c>
      <c r="D65" s="43">
        <f>'6.1. sz. mell_k'!D65+'7.1. sz. mell_k'!D65+'8.1. sz. mell._k'!D65</f>
        <v>0</v>
      </c>
      <c r="E65" s="43">
        <f>'6.1. sz. mell_k'!E65+'7.1. sz. mell_k'!E65+'8.1. sz. mell._k'!E65</f>
        <v>0</v>
      </c>
      <c r="F65" s="22" t="s">
        <v>223</v>
      </c>
    </row>
    <row r="66" spans="1:6" s="23" customFormat="1" ht="12" customHeight="1">
      <c r="A66" s="27" t="s">
        <v>224</v>
      </c>
      <c r="B66" s="28" t="s">
        <v>225</v>
      </c>
      <c r="C66" s="43">
        <f>'6.1. sz. mell_k'!C66+'7.1. sz. mell_k'!C66+'8.1. sz. mell._k'!C66</f>
        <v>0</v>
      </c>
      <c r="D66" s="43">
        <f>'6.1. sz. mell_k'!D66+'7.1. sz. mell_k'!D66+'8.1. sz. mell._k'!D66</f>
        <v>0</v>
      </c>
      <c r="E66" s="43">
        <f>'6.1. sz. mell_k'!E66+'7.1. sz. mell_k'!E66+'8.1. sz. mell._k'!E66</f>
        <v>0</v>
      </c>
      <c r="F66" s="22" t="s">
        <v>226</v>
      </c>
    </row>
    <row r="67" spans="1:6" s="23" customFormat="1" ht="12" customHeight="1">
      <c r="A67" s="29" t="s">
        <v>227</v>
      </c>
      <c r="B67" s="44" t="s">
        <v>228</v>
      </c>
      <c r="C67" s="43">
        <f>'6.1. sz. mell_k'!C67+'7.1. sz. mell_k'!C67+'8.1. sz. mell._k'!C67</f>
        <v>0</v>
      </c>
      <c r="D67" s="43">
        <f>'6.1. sz. mell_k'!D67+'7.1. sz. mell_k'!D67+'8.1. sz. mell._k'!D67</f>
        <v>0</v>
      </c>
      <c r="E67" s="43">
        <f>'6.1. sz. mell_k'!E67+'7.1. sz. mell_k'!E67+'8.1. sz. mell._k'!E67</f>
        <v>0</v>
      </c>
      <c r="F67" s="22" t="s">
        <v>229</v>
      </c>
    </row>
    <row r="68" spans="1:6" s="23" customFormat="1" ht="12" customHeight="1">
      <c r="A68" s="42" t="s">
        <v>230</v>
      </c>
      <c r="B68" s="31" t="s">
        <v>231</v>
      </c>
      <c r="C68" s="43">
        <f>'6.1. sz. mell_k'!C68+'7.1. sz. mell_k'!C68+'8.1. sz. mell._k'!C68</f>
        <v>0</v>
      </c>
      <c r="D68" s="43">
        <f>'6.1. sz. mell_k'!D68+'7.1. sz. mell_k'!D68+'8.1. sz. mell._k'!D68</f>
        <v>0</v>
      </c>
      <c r="E68" s="43">
        <f>'6.1. sz. mell_k'!E68+'7.1. sz. mell_k'!E68+'8.1. sz. mell._k'!E68</f>
        <v>0</v>
      </c>
      <c r="F68" s="22" t="s">
        <v>232</v>
      </c>
    </row>
    <row r="69" spans="1:6" s="23" customFormat="1" ht="13.5" customHeight="1">
      <c r="A69" s="24" t="s">
        <v>233</v>
      </c>
      <c r="B69" s="25" t="s">
        <v>234</v>
      </c>
      <c r="C69" s="43">
        <f>'6.1. sz. mell_k'!C69+'7.1. sz. mell_k'!C69+'8.1. sz. mell._k'!C69</f>
        <v>0</v>
      </c>
      <c r="D69" s="43">
        <f>'6.1. sz. mell_k'!D69+'7.1. sz. mell_k'!D69+'8.1. sz. mell._k'!D69</f>
        <v>0</v>
      </c>
      <c r="E69" s="43">
        <f>'6.1. sz. mell_k'!E69+'7.1. sz. mell_k'!E69+'8.1. sz. mell._k'!E69</f>
        <v>0</v>
      </c>
      <c r="F69" s="22" t="s">
        <v>235</v>
      </c>
    </row>
    <row r="70" spans="1:6" s="23" customFormat="1" ht="12" customHeight="1">
      <c r="A70" s="27" t="s">
        <v>236</v>
      </c>
      <c r="B70" s="28" t="s">
        <v>237</v>
      </c>
      <c r="C70" s="43">
        <f>'6.1. sz. mell_k'!C70+'7.1. sz. mell_k'!C70+'8.1. sz. mell._k'!C70</f>
        <v>0</v>
      </c>
      <c r="D70" s="43">
        <f>'6.1. sz. mell_k'!D70+'7.1. sz. mell_k'!D70+'8.1. sz. mell._k'!D70</f>
        <v>0</v>
      </c>
      <c r="E70" s="43">
        <f>'6.1. sz. mell_k'!E70+'7.1. sz. mell_k'!E70+'8.1. sz. mell._k'!E70</f>
        <v>0</v>
      </c>
      <c r="F70" s="22" t="s">
        <v>238</v>
      </c>
    </row>
    <row r="71" spans="1:6" s="23" customFormat="1" ht="12" customHeight="1">
      <c r="A71" s="27" t="s">
        <v>239</v>
      </c>
      <c r="B71" s="28" t="s">
        <v>240</v>
      </c>
      <c r="C71" s="43">
        <f>'6.1. sz. mell_k'!C71+'7.1. sz. mell_k'!C71+'8.1. sz. mell._k'!C71</f>
        <v>0</v>
      </c>
      <c r="D71" s="43">
        <f>'6.1. sz. mell_k'!D71+'7.1. sz. mell_k'!D71+'8.1. sz. mell._k'!D71</f>
        <v>0</v>
      </c>
      <c r="E71" s="43">
        <f>'6.1. sz. mell_k'!E71+'7.1. sz. mell_k'!E71+'8.1. sz. mell._k'!E71</f>
        <v>0</v>
      </c>
      <c r="F71" s="22" t="s">
        <v>241</v>
      </c>
    </row>
    <row r="72" spans="1:6" s="23" customFormat="1" ht="12" customHeight="1">
      <c r="A72" s="29" t="s">
        <v>242</v>
      </c>
      <c r="B72" s="30" t="s">
        <v>243</v>
      </c>
      <c r="C72" s="43">
        <f>'6.1. sz. mell_k'!C72+'7.1. sz. mell_k'!C72+'8.1. sz. mell._k'!C72</f>
        <v>0</v>
      </c>
      <c r="D72" s="43">
        <f>'6.1. sz. mell_k'!D72+'7.1. sz. mell_k'!D72+'8.1. sz. mell._k'!D72</f>
        <v>0</v>
      </c>
      <c r="E72" s="43">
        <f>'6.1. sz. mell_k'!E72+'7.1. sz. mell_k'!E72+'8.1. sz. mell._k'!E72</f>
        <v>0</v>
      </c>
      <c r="F72" s="22" t="s">
        <v>244</v>
      </c>
    </row>
    <row r="73" spans="1:6" s="23" customFormat="1" ht="12" customHeight="1">
      <c r="A73" s="42" t="s">
        <v>245</v>
      </c>
      <c r="B73" s="31" t="s">
        <v>246</v>
      </c>
      <c r="C73" s="43">
        <f>SUM(C74:C75)</f>
        <v>183506456</v>
      </c>
      <c r="D73" s="43">
        <f>SUM(D74:D75)</f>
        <v>183506456</v>
      </c>
      <c r="E73" s="43">
        <f>SUM(E74:E75)</f>
        <v>183506456</v>
      </c>
      <c r="F73" s="22" t="s">
        <v>247</v>
      </c>
    </row>
    <row r="74" spans="1:6" s="23" customFormat="1" ht="12" customHeight="1">
      <c r="A74" s="24" t="s">
        <v>248</v>
      </c>
      <c r="B74" s="25" t="s">
        <v>249</v>
      </c>
      <c r="C74" s="26">
        <f>'6.1. sz. mell_k'!C74+'7.1. sz. mell_k'!C37+'8.1. sz. mell._k'!C37</f>
        <v>183506456</v>
      </c>
      <c r="D74" s="26">
        <f>'6.1. sz. mell_k'!D74+'7.1. sz. mell_k'!D37+'8.1. sz. mell._k'!D37</f>
        <v>183506456</v>
      </c>
      <c r="E74" s="26">
        <f>'6.1. sz. mell_k'!E74+'7.1. sz. mell_k'!E37+'8.1. sz. mell._k'!E37</f>
        <v>183506456</v>
      </c>
      <c r="F74" s="22" t="s">
        <v>250</v>
      </c>
    </row>
    <row r="75" spans="1:6" s="23" customFormat="1" ht="12" customHeight="1">
      <c r="A75" s="29" t="s">
        <v>251</v>
      </c>
      <c r="B75" s="30" t="s">
        <v>252</v>
      </c>
      <c r="C75" s="43">
        <f>'6.1. sz. mell_k'!C75+'7.1. sz. mell_k'!C75+'8.1. sz. mell._k'!C75</f>
        <v>0</v>
      </c>
      <c r="D75" s="43">
        <f>'6.1. sz. mell_k'!D75+'7.1. sz. mell_k'!D75+'8.1. sz. mell._k'!D75</f>
        <v>0</v>
      </c>
      <c r="E75" s="43">
        <f>'6.1. sz. mell_k'!E75+'7.1. sz. mell_k'!E75+'8.1. sz. mell._k'!E75</f>
        <v>0</v>
      </c>
      <c r="F75" s="22" t="s">
        <v>253</v>
      </c>
    </row>
    <row r="76" spans="1:6" s="23" customFormat="1" ht="12" customHeight="1">
      <c r="A76" s="42" t="s">
        <v>254</v>
      </c>
      <c r="B76" s="31" t="s">
        <v>255</v>
      </c>
      <c r="C76" s="43">
        <f>'6.1. sz. mell_k'!C76+'7.1. sz. mell_k'!C76+'8.1. sz. mell._k'!C76</f>
        <v>0</v>
      </c>
      <c r="D76" s="43">
        <f>'6.1. sz. mell_k'!D76+'7.1. sz. mell_k'!D76+'8.1. sz. mell._k'!D76</f>
        <v>2649936</v>
      </c>
      <c r="E76" s="43">
        <f>'6.1. sz. mell_k'!E76+'7.1. sz. mell_k'!E76+'8.1. sz. mell._k'!E76</f>
        <v>2649936</v>
      </c>
      <c r="F76" s="22" t="s">
        <v>256</v>
      </c>
    </row>
    <row r="77" spans="1:6" s="23" customFormat="1" ht="12" customHeight="1">
      <c r="A77" s="24" t="s">
        <v>257</v>
      </c>
      <c r="B77" s="25" t="s">
        <v>258</v>
      </c>
      <c r="C77" s="43">
        <f>'6.1. sz. mell_k'!C77+'7.1. sz. mell_k'!C77+'8.1. sz. mell._k'!C77</f>
        <v>0</v>
      </c>
      <c r="D77" s="43">
        <f>'6.1. sz. mell_k'!D77+'7.1. sz. mell_k'!D77+'8.1. sz. mell._k'!D77</f>
        <v>2649936</v>
      </c>
      <c r="E77" s="43">
        <f>'6.1. sz. mell_k'!E77+'7.1. sz. mell_k'!E77+'8.1. sz. mell._k'!E77</f>
        <v>2649936</v>
      </c>
      <c r="F77" s="22" t="s">
        <v>259</v>
      </c>
    </row>
    <row r="78" spans="1:6" s="23" customFormat="1" ht="12" customHeight="1">
      <c r="A78" s="27" t="s">
        <v>260</v>
      </c>
      <c r="B78" s="28" t="s">
        <v>261</v>
      </c>
      <c r="C78" s="43">
        <f>'6.1. sz. mell_k'!C78+'7.1. sz. mell_k'!C78+'8.1. sz. mell._k'!C78</f>
        <v>0</v>
      </c>
      <c r="D78" s="43">
        <f>'6.1. sz. mell_k'!D78+'7.1. sz. mell_k'!D78+'8.1. sz. mell._k'!D78</f>
        <v>0</v>
      </c>
      <c r="E78" s="43">
        <f>'6.1. sz. mell_k'!E78+'7.1. sz. mell_k'!E78+'8.1. sz. mell._k'!E78</f>
        <v>0</v>
      </c>
      <c r="F78" s="22" t="s">
        <v>262</v>
      </c>
    </row>
    <row r="79" spans="1:6" s="23" customFormat="1" ht="12" customHeight="1">
      <c r="A79" s="29" t="s">
        <v>263</v>
      </c>
      <c r="B79" s="34" t="s">
        <v>264</v>
      </c>
      <c r="C79" s="43">
        <f>'6.1. sz. mell_k'!C79+'7.1. sz. mell_k'!C79+'8.1. sz. mell._k'!C79</f>
        <v>0</v>
      </c>
      <c r="D79" s="43">
        <f>'6.1. sz. mell_k'!D79+'7.1. sz. mell_k'!D79+'8.1. sz. mell._k'!D79</f>
        <v>0</v>
      </c>
      <c r="E79" s="43">
        <f>'6.1. sz. mell_k'!E79+'7.1. sz. mell_k'!E79+'8.1. sz. mell._k'!E79</f>
        <v>0</v>
      </c>
      <c r="F79" s="22" t="s">
        <v>265</v>
      </c>
    </row>
    <row r="80" spans="1:6" s="23" customFormat="1" ht="12" customHeight="1">
      <c r="A80" s="42" t="s">
        <v>266</v>
      </c>
      <c r="B80" s="31" t="s">
        <v>267</v>
      </c>
      <c r="C80" s="43">
        <f>'6.1. sz. mell_k'!C80+'7.1. sz. mell_k'!C80+'8.1. sz. mell._k'!C80</f>
        <v>0</v>
      </c>
      <c r="D80" s="43">
        <f>'6.1. sz. mell_k'!D80+'7.1. sz. mell_k'!D80+'8.1. sz. mell._k'!D80</f>
        <v>0</v>
      </c>
      <c r="E80" s="43">
        <f>'6.1. sz. mell_k'!E80+'7.1. sz. mell_k'!E80+'8.1. sz. mell._k'!E80</f>
        <v>0</v>
      </c>
      <c r="F80" s="22" t="s">
        <v>268</v>
      </c>
    </row>
    <row r="81" spans="1:6" s="23" customFormat="1" ht="12" customHeight="1">
      <c r="A81" s="45" t="s">
        <v>269</v>
      </c>
      <c r="B81" s="25" t="s">
        <v>270</v>
      </c>
      <c r="C81" s="43">
        <f>'6.1. sz. mell_k'!C81+'7.1. sz. mell_k'!C81+'8.1. sz. mell._k'!C81</f>
        <v>0</v>
      </c>
      <c r="D81" s="43">
        <f>'6.1. sz. mell_k'!D81+'7.1. sz. mell_k'!D81+'8.1. sz. mell._k'!D81</f>
        <v>0</v>
      </c>
      <c r="E81" s="43">
        <f>'6.1. sz. mell_k'!E81+'7.1. sz. mell_k'!E81+'8.1. sz. mell._k'!E81</f>
        <v>0</v>
      </c>
      <c r="F81" s="22" t="s">
        <v>271</v>
      </c>
    </row>
    <row r="82" spans="1:6" s="23" customFormat="1" ht="12" customHeight="1">
      <c r="A82" s="46" t="s">
        <v>272</v>
      </c>
      <c r="B82" s="28" t="s">
        <v>273</v>
      </c>
      <c r="C82" s="43">
        <f>'6.1. sz. mell_k'!C82+'7.1. sz. mell_k'!C82+'8.1. sz. mell._k'!C82</f>
        <v>0</v>
      </c>
      <c r="D82" s="43">
        <f>'6.1. sz. mell_k'!D82+'7.1. sz. mell_k'!D82+'8.1. sz. mell._k'!D82</f>
        <v>0</v>
      </c>
      <c r="E82" s="43">
        <f>'6.1. sz. mell_k'!E82+'7.1. sz. mell_k'!E82+'8.1. sz. mell._k'!E82</f>
        <v>0</v>
      </c>
      <c r="F82" s="22" t="s">
        <v>274</v>
      </c>
    </row>
    <row r="83" spans="1:6" s="23" customFormat="1" ht="12" customHeight="1">
      <c r="A83" s="46" t="s">
        <v>275</v>
      </c>
      <c r="B83" s="28" t="s">
        <v>276</v>
      </c>
      <c r="C83" s="43">
        <f>'6.1. sz. mell_k'!C83+'7.1. sz. mell_k'!C83+'8.1. sz. mell._k'!C83</f>
        <v>0</v>
      </c>
      <c r="D83" s="43">
        <f>'6.1. sz. mell_k'!D83+'7.1. sz. mell_k'!D83+'8.1. sz. mell._k'!D83</f>
        <v>0</v>
      </c>
      <c r="E83" s="43">
        <f>'6.1. sz. mell_k'!E83+'7.1. sz. mell_k'!E83+'8.1. sz. mell._k'!E83</f>
        <v>0</v>
      </c>
      <c r="F83" s="22" t="s">
        <v>277</v>
      </c>
    </row>
    <row r="84" spans="1:6" s="23" customFormat="1" ht="12" customHeight="1">
      <c r="A84" s="47" t="s">
        <v>278</v>
      </c>
      <c r="B84" s="34" t="s">
        <v>279</v>
      </c>
      <c r="C84" s="43">
        <f>'6.1. sz. mell_k'!C84+'7.1. sz. mell_k'!C84+'8.1. sz. mell._k'!C84</f>
        <v>0</v>
      </c>
      <c r="D84" s="43">
        <f>'6.1. sz. mell_k'!D84+'7.1. sz. mell_k'!D84+'8.1. sz. mell._k'!D84</f>
        <v>0</v>
      </c>
      <c r="E84" s="43">
        <f>'6.1. sz. mell_k'!E84+'7.1. sz. mell_k'!E84+'8.1. sz. mell._k'!E84</f>
        <v>0</v>
      </c>
      <c r="F84" s="22" t="s">
        <v>280</v>
      </c>
    </row>
    <row r="85" spans="1:6" s="23" customFormat="1" ht="12" customHeight="1">
      <c r="A85" s="42" t="s">
        <v>281</v>
      </c>
      <c r="B85" s="31" t="s">
        <v>282</v>
      </c>
      <c r="C85" s="43">
        <f>'6.1. sz. mell_k'!C85+'7.1. sz. mell_k'!C85+'8.1. sz. mell._k'!C85</f>
        <v>0</v>
      </c>
      <c r="D85" s="43">
        <f>'6.1. sz. mell_k'!D85+'7.1. sz. mell_k'!D85+'8.1. sz. mell._k'!D85</f>
        <v>0</v>
      </c>
      <c r="E85" s="43">
        <f>'6.1. sz. mell_k'!E85+'7.1. sz. mell_k'!E85+'8.1. sz. mell._k'!E85</f>
        <v>0</v>
      </c>
      <c r="F85" s="22" t="s">
        <v>283</v>
      </c>
    </row>
    <row r="86" spans="1:10" s="23" customFormat="1" ht="12" customHeight="1">
      <c r="A86" s="42" t="s">
        <v>284</v>
      </c>
      <c r="B86" s="48" t="s">
        <v>285</v>
      </c>
      <c r="C86" s="43">
        <f>C64+C68+C73+C76+C80+C85</f>
        <v>183506456</v>
      </c>
      <c r="D86" s="43">
        <f>D64+D68+D73+D76+D80+D85</f>
        <v>186156392</v>
      </c>
      <c r="E86" s="43">
        <f>E64+E68+E73+E76+E80+E85</f>
        <v>186156392</v>
      </c>
      <c r="F86" s="22" t="s">
        <v>286</v>
      </c>
      <c r="J86" s="33"/>
    </row>
    <row r="87" spans="1:8" s="23" customFormat="1" ht="12" customHeight="1">
      <c r="A87" s="49" t="s">
        <v>287</v>
      </c>
      <c r="B87" s="50" t="s">
        <v>288</v>
      </c>
      <c r="C87" s="43">
        <f>C63+C86</f>
        <v>451938487</v>
      </c>
      <c r="D87" s="43">
        <f>D63+D86</f>
        <v>586372061</v>
      </c>
      <c r="E87" s="43">
        <f>E63+E86</f>
        <v>586372061</v>
      </c>
      <c r="F87" s="22" t="s">
        <v>289</v>
      </c>
      <c r="H87" s="605"/>
    </row>
    <row r="88" spans="1:6" s="23" customFormat="1" ht="12" customHeight="1">
      <c r="A88" s="51"/>
      <c r="B88" s="51"/>
      <c r="C88" s="52"/>
      <c r="D88" s="52"/>
      <c r="E88" s="52"/>
      <c r="F88" s="22"/>
    </row>
    <row r="89" spans="1:10" ht="16.5" customHeight="1">
      <c r="A89" s="629" t="s">
        <v>290</v>
      </c>
      <c r="B89" s="629"/>
      <c r="C89" s="629"/>
      <c r="D89" s="629"/>
      <c r="E89" s="629"/>
      <c r="F89" s="11"/>
      <c r="H89" s="81"/>
      <c r="I89" s="81"/>
      <c r="J89" s="81"/>
    </row>
    <row r="90" spans="1:6" ht="16.5" customHeight="1">
      <c r="A90" s="53" t="s">
        <v>291</v>
      </c>
      <c r="B90" s="53"/>
      <c r="C90" s="54"/>
      <c r="D90" s="54"/>
      <c r="E90" s="54" t="s">
        <v>39</v>
      </c>
      <c r="F90" s="11"/>
    </row>
    <row r="91" spans="1:6" ht="16.5" customHeight="1">
      <c r="A91" s="630" t="s">
        <v>40</v>
      </c>
      <c r="B91" s="631" t="s">
        <v>292</v>
      </c>
      <c r="C91" s="632" t="str">
        <f>+C5</f>
        <v>2019. évi</v>
      </c>
      <c r="D91" s="632"/>
      <c r="E91" s="632"/>
      <c r="F91" s="11"/>
    </row>
    <row r="92" spans="1:6" ht="37.5" customHeight="1">
      <c r="A92" s="630"/>
      <c r="B92" s="631"/>
      <c r="C92" s="12" t="s">
        <v>42</v>
      </c>
      <c r="D92" s="12" t="s">
        <v>43</v>
      </c>
      <c r="E92" s="13" t="s">
        <v>44</v>
      </c>
      <c r="F92" s="11"/>
    </row>
    <row r="93" spans="1:6" s="18" customFormat="1" ht="12" customHeight="1">
      <c r="A93" s="14" t="s">
        <v>45</v>
      </c>
      <c r="B93" s="15" t="s">
        <v>46</v>
      </c>
      <c r="C93" s="15" t="s">
        <v>47</v>
      </c>
      <c r="D93" s="15" t="s">
        <v>48</v>
      </c>
      <c r="E93" s="55" t="s">
        <v>49</v>
      </c>
      <c r="F93" s="17"/>
    </row>
    <row r="94" spans="1:6" ht="12" customHeight="1">
      <c r="A94" s="56" t="s">
        <v>50</v>
      </c>
      <c r="B94" s="57" t="s">
        <v>293</v>
      </c>
      <c r="C94" s="58">
        <f>SUM(C95:C99)</f>
        <v>216715800</v>
      </c>
      <c r="D94" s="58">
        <f>SUM(D95:D99)</f>
        <v>236692188</v>
      </c>
      <c r="E94" s="58">
        <f>SUM(E95:E99)</f>
        <v>200196410</v>
      </c>
      <c r="F94" s="11" t="s">
        <v>52</v>
      </c>
    </row>
    <row r="95" spans="1:6" ht="12" customHeight="1">
      <c r="A95" s="59" t="s">
        <v>53</v>
      </c>
      <c r="B95" s="60" t="s">
        <v>294</v>
      </c>
      <c r="C95" s="61">
        <f>'6.1. sz. mell_k'!C92+'7.1. sz. mell_k'!C45+'8.1. sz. mell._k'!C45</f>
        <v>108000000</v>
      </c>
      <c r="D95" s="61">
        <f>'6.1. sz. mell_k'!D92+'7.1. sz. mell_k'!D45+'8.1. sz. mell._k'!D45</f>
        <v>113018480</v>
      </c>
      <c r="E95" s="61">
        <f>'6.1. sz. mell_k'!E92+'7.1. sz. mell_k'!E45+'8.1. sz. mell._k'!E45</f>
        <v>103038386</v>
      </c>
      <c r="F95" s="11" t="s">
        <v>55</v>
      </c>
    </row>
    <row r="96" spans="1:6" ht="12" customHeight="1">
      <c r="A96" s="27" t="s">
        <v>56</v>
      </c>
      <c r="B96" s="62" t="s">
        <v>295</v>
      </c>
      <c r="C96" s="61">
        <f>'6.1. sz. mell_k'!C93+'7.1. sz. mell_k'!C46+'8.1. sz. mell._k'!C46</f>
        <v>22000000</v>
      </c>
      <c r="D96" s="61">
        <f>'6.1. sz. mell_k'!D93+'7.1. sz. mell_k'!D46+'8.1. sz. mell._k'!D46</f>
        <v>21214348</v>
      </c>
      <c r="E96" s="61">
        <f>'6.1. sz. mell_k'!E93+'7.1. sz. mell_k'!E46+'8.1. sz. mell._k'!E46</f>
        <v>19516040</v>
      </c>
      <c r="F96" s="11" t="s">
        <v>58</v>
      </c>
    </row>
    <row r="97" spans="1:6" ht="12" customHeight="1">
      <c r="A97" s="27" t="s">
        <v>59</v>
      </c>
      <c r="B97" s="62" t="s">
        <v>296</v>
      </c>
      <c r="C97" s="61">
        <f>'6.1. sz. mell_k'!C94+'7.1. sz. mell_k'!C47+'8.1. sz. mell._k'!C47</f>
        <v>79700000</v>
      </c>
      <c r="D97" s="61">
        <f>'6.1. sz. mell_k'!D94+'7.1. sz. mell_k'!D47+'8.1. sz. mell._k'!D47</f>
        <v>94843560</v>
      </c>
      <c r="E97" s="61">
        <f>'6.1. sz. mell_k'!E94+'7.1. sz. mell_k'!E47+'8.1. sz. mell._k'!E47</f>
        <v>72550184</v>
      </c>
      <c r="F97" s="11" t="s">
        <v>61</v>
      </c>
    </row>
    <row r="98" spans="1:6" ht="12" customHeight="1">
      <c r="A98" s="27" t="s">
        <v>62</v>
      </c>
      <c r="B98" s="63" t="s">
        <v>297</v>
      </c>
      <c r="C98" s="61">
        <f>'6.1. sz. mell_k'!C95+'7.1. sz. mell_k'!C48+'8.1. sz. mell._k'!C48</f>
        <v>3363000</v>
      </c>
      <c r="D98" s="61">
        <f>'6.1. sz. mell_k'!D95+'7.1. sz. mell_k'!D48+'8.1. sz. mell._k'!D48</f>
        <v>3763000</v>
      </c>
      <c r="E98" s="61">
        <f>'6.1. sz. mell_k'!E95+'7.1. sz. mell_k'!E48+'8.1. sz. mell._k'!E48</f>
        <v>1744000</v>
      </c>
      <c r="F98" s="11" t="s">
        <v>64</v>
      </c>
    </row>
    <row r="99" spans="1:6" ht="12" customHeight="1">
      <c r="A99" s="27" t="s">
        <v>298</v>
      </c>
      <c r="B99" s="64" t="s">
        <v>299</v>
      </c>
      <c r="C99" s="61">
        <f>'6.1. sz. mell_k'!C96</f>
        <v>3652800</v>
      </c>
      <c r="D99" s="61">
        <f>'6.1. sz. mell_k'!D96</f>
        <v>3852800</v>
      </c>
      <c r="E99" s="61">
        <f>'6.1. sz. mell_k'!E96</f>
        <v>3347800</v>
      </c>
      <c r="F99" s="11" t="s">
        <v>67</v>
      </c>
    </row>
    <row r="100" spans="1:6" ht="12" customHeight="1">
      <c r="A100" s="27" t="s">
        <v>68</v>
      </c>
      <c r="B100" s="62" t="s">
        <v>300</v>
      </c>
      <c r="C100" s="61">
        <f>'6.1. sz. mell_k'!C97</f>
        <v>0</v>
      </c>
      <c r="D100" s="61">
        <f>'6.1. sz. mell_k'!D97</f>
        <v>0</v>
      </c>
      <c r="E100" s="61">
        <f>'6.1. sz. mell_k'!E97</f>
        <v>0</v>
      </c>
      <c r="F100" s="11" t="s">
        <v>70</v>
      </c>
    </row>
    <row r="101" spans="1:6" ht="12" customHeight="1">
      <c r="A101" s="27" t="s">
        <v>301</v>
      </c>
      <c r="B101" s="65" t="s">
        <v>302</v>
      </c>
      <c r="C101" s="61">
        <f>'6.1. sz. mell_k'!C98</f>
        <v>0</v>
      </c>
      <c r="D101" s="61">
        <f>'6.1. sz. mell_k'!D98</f>
        <v>0</v>
      </c>
      <c r="E101" s="61">
        <f>'6.1. sz. mell_k'!E98</f>
        <v>0</v>
      </c>
      <c r="F101" s="11" t="s">
        <v>73</v>
      </c>
    </row>
    <row r="102" spans="1:6" ht="12" customHeight="1">
      <c r="A102" s="27" t="s">
        <v>303</v>
      </c>
      <c r="B102" s="66" t="s">
        <v>304</v>
      </c>
      <c r="C102" s="61">
        <f>'6.1. sz. mell_k'!C99</f>
        <v>0</v>
      </c>
      <c r="D102" s="61">
        <f>'6.1. sz. mell_k'!D99</f>
        <v>0</v>
      </c>
      <c r="E102" s="61">
        <f>'6.1. sz. mell_k'!E99</f>
        <v>0</v>
      </c>
      <c r="F102" s="11" t="s">
        <v>76</v>
      </c>
    </row>
    <row r="103" spans="1:6" ht="12" customHeight="1">
      <c r="A103" s="27" t="s">
        <v>305</v>
      </c>
      <c r="B103" s="66" t="s">
        <v>306</v>
      </c>
      <c r="C103" s="61">
        <f>'6.1. sz. mell_k'!C100</f>
        <v>0</v>
      </c>
      <c r="D103" s="61">
        <f>'6.1. sz. mell_k'!D100</f>
        <v>0</v>
      </c>
      <c r="E103" s="61">
        <f>'6.1. sz. mell_k'!E100</f>
        <v>0</v>
      </c>
      <c r="F103" s="11" t="s">
        <v>79</v>
      </c>
    </row>
    <row r="104" spans="1:6" ht="12" customHeight="1">
      <c r="A104" s="27" t="s">
        <v>307</v>
      </c>
      <c r="B104" s="65" t="s">
        <v>308</v>
      </c>
      <c r="C104" s="61">
        <f>'6.1. sz. mell_k'!C101</f>
        <v>0</v>
      </c>
      <c r="D104" s="61">
        <f>'6.1. sz. mell_k'!D101</f>
        <v>0</v>
      </c>
      <c r="E104" s="61">
        <f>'6.1. sz. mell_k'!E101</f>
        <v>172800</v>
      </c>
      <c r="F104" s="11" t="s">
        <v>82</v>
      </c>
    </row>
    <row r="105" spans="1:6" ht="12" customHeight="1">
      <c r="A105" s="27" t="s">
        <v>309</v>
      </c>
      <c r="B105" s="65" t="s">
        <v>310</v>
      </c>
      <c r="C105" s="61">
        <f>'6.1. sz. mell_k'!C102</f>
        <v>0</v>
      </c>
      <c r="D105" s="61">
        <f>'6.1. sz. mell_k'!D102</f>
        <v>0</v>
      </c>
      <c r="E105" s="61">
        <f>'6.1. sz. mell_k'!E102</f>
        <v>0</v>
      </c>
      <c r="F105" s="11" t="s">
        <v>85</v>
      </c>
    </row>
    <row r="106" spans="1:6" ht="12" customHeight="1">
      <c r="A106" s="27" t="s">
        <v>311</v>
      </c>
      <c r="B106" s="66" t="s">
        <v>312</v>
      </c>
      <c r="C106" s="61">
        <f>'6.1. sz. mell_k'!C103</f>
        <v>0</v>
      </c>
      <c r="D106" s="61">
        <f>'6.1. sz. mell_k'!D103</f>
        <v>0</v>
      </c>
      <c r="E106" s="61">
        <f>'6.1. sz. mell_k'!E103</f>
        <v>0</v>
      </c>
      <c r="F106" s="11" t="s">
        <v>88</v>
      </c>
    </row>
    <row r="107" spans="1:6" ht="12" customHeight="1">
      <c r="A107" s="67" t="s">
        <v>313</v>
      </c>
      <c r="B107" s="68" t="s">
        <v>314</v>
      </c>
      <c r="C107" s="61">
        <f>'6.1. sz. mell_k'!C104</f>
        <v>0</v>
      </c>
      <c r="D107" s="61">
        <f>'6.1. sz. mell_k'!D104</f>
        <v>0</v>
      </c>
      <c r="E107" s="61">
        <f>'6.1. sz. mell_k'!E104</f>
        <v>0</v>
      </c>
      <c r="F107" s="11" t="s">
        <v>91</v>
      </c>
    </row>
    <row r="108" spans="1:6" ht="12" customHeight="1">
      <c r="A108" s="27" t="s">
        <v>315</v>
      </c>
      <c r="B108" s="68" t="s">
        <v>316</v>
      </c>
      <c r="C108" s="61">
        <f>'6.1. sz. mell_k'!C105</f>
        <v>0</v>
      </c>
      <c r="D108" s="61">
        <f>'6.1. sz. mell_k'!D105</f>
        <v>0</v>
      </c>
      <c r="E108" s="61">
        <f>'6.1. sz. mell_k'!E105</f>
        <v>0</v>
      </c>
      <c r="F108" s="11" t="s">
        <v>94</v>
      </c>
    </row>
    <row r="109" spans="1:6" ht="12" customHeight="1">
      <c r="A109" s="69" t="s">
        <v>317</v>
      </c>
      <c r="B109" s="70" t="s">
        <v>318</v>
      </c>
      <c r="C109" s="61">
        <f>'6.1. sz. mell_k'!C106</f>
        <v>3000000</v>
      </c>
      <c r="D109" s="61">
        <f>'6.1. sz. mell_k'!D106</f>
        <v>3200000</v>
      </c>
      <c r="E109" s="61">
        <f>'6.1. sz. mell_k'!E106</f>
        <v>2720000</v>
      </c>
      <c r="F109" s="11" t="s">
        <v>97</v>
      </c>
    </row>
    <row r="110" spans="1:6" ht="12" customHeight="1">
      <c r="A110" s="19" t="s">
        <v>71</v>
      </c>
      <c r="B110" s="71" t="s">
        <v>319</v>
      </c>
      <c r="C110" s="21">
        <f>C111+C113+C115</f>
        <v>202926400</v>
      </c>
      <c r="D110" s="21">
        <f>D111+D113+D115</f>
        <v>238156523</v>
      </c>
      <c r="E110" s="21">
        <f>E111+E113+E115</f>
        <v>186489236</v>
      </c>
      <c r="F110" s="11" t="s">
        <v>100</v>
      </c>
    </row>
    <row r="111" spans="1:6" ht="12" customHeight="1">
      <c r="A111" s="24" t="s">
        <v>74</v>
      </c>
      <c r="B111" s="62" t="s">
        <v>320</v>
      </c>
      <c r="C111" s="26">
        <f>'6.1. sz. mell_k'!C108+'7.1. sz. mell_k'!C51+'8.1. sz. mell._k'!C51</f>
        <v>11429400</v>
      </c>
      <c r="D111" s="26">
        <f>'6.1. sz. mell_k'!D108+'7.1. sz. mell_k'!D51+'8.1. sz. mell._k'!D51</f>
        <v>25151531</v>
      </c>
      <c r="E111" s="26">
        <f>'6.1. sz. mell_k'!E108+'7.1. sz. mell_k'!E51+'8.1. sz. mell._k'!E51</f>
        <v>20960365</v>
      </c>
      <c r="F111" s="11" t="s">
        <v>103</v>
      </c>
    </row>
    <row r="112" spans="1:6" ht="12" customHeight="1">
      <c r="A112" s="24" t="s">
        <v>77</v>
      </c>
      <c r="B112" s="72" t="s">
        <v>321</v>
      </c>
      <c r="C112" s="26">
        <f>'6.1. sz. mell_k'!C109</f>
        <v>0</v>
      </c>
      <c r="D112" s="26">
        <f>'6.1. sz. mell_k'!D109</f>
        <v>0</v>
      </c>
      <c r="E112" s="26">
        <f>'6.1. sz. mell_k'!E109</f>
        <v>0</v>
      </c>
      <c r="F112" s="11" t="s">
        <v>106</v>
      </c>
    </row>
    <row r="113" spans="1:6" ht="15">
      <c r="A113" s="24" t="s">
        <v>80</v>
      </c>
      <c r="B113" s="72" t="s">
        <v>322</v>
      </c>
      <c r="C113" s="26">
        <f>'6.1. sz. mell_k'!C110+'7.1. sz. mell_k'!C52+'8.1. sz. mell._k'!C52</f>
        <v>166497000</v>
      </c>
      <c r="D113" s="26">
        <f>'6.1. sz. mell_k'!D110+'7.1. sz. mell_k'!D52+'8.1. sz. mell._k'!D52</f>
        <v>159572870</v>
      </c>
      <c r="E113" s="26">
        <f>'6.1. sz. mell_k'!E110+'7.1. sz. mell_k'!E52+'8.1. sz. mell._k'!E52</f>
        <v>112146749</v>
      </c>
      <c r="F113" s="11" t="s">
        <v>109</v>
      </c>
    </row>
    <row r="114" spans="1:6" ht="12" customHeight="1">
      <c r="A114" s="24" t="s">
        <v>83</v>
      </c>
      <c r="B114" s="72" t="s">
        <v>323</v>
      </c>
      <c r="C114" s="26"/>
      <c r="D114" s="26"/>
      <c r="E114" s="26"/>
      <c r="F114" s="11" t="s">
        <v>112</v>
      </c>
    </row>
    <row r="115" spans="1:6" ht="12" customHeight="1">
      <c r="A115" s="24" t="s">
        <v>86</v>
      </c>
      <c r="B115" s="34" t="s">
        <v>324</v>
      </c>
      <c r="C115" s="26">
        <f>'6.1. sz. mell_k'!C112</f>
        <v>25000000</v>
      </c>
      <c r="D115" s="26">
        <f>'6.1. sz. mell_k'!D112</f>
        <v>53432122</v>
      </c>
      <c r="E115" s="26">
        <f>'6.1. sz. mell_k'!E112</f>
        <v>53382122</v>
      </c>
      <c r="F115" s="11" t="s">
        <v>115</v>
      </c>
    </row>
    <row r="116" spans="1:6" ht="21.75" customHeight="1">
      <c r="A116" s="24" t="s">
        <v>89</v>
      </c>
      <c r="B116" s="73" t="s">
        <v>325</v>
      </c>
      <c r="C116" s="26">
        <v>0</v>
      </c>
      <c r="D116" s="26">
        <v>0</v>
      </c>
      <c r="E116" s="26">
        <v>0</v>
      </c>
      <c r="F116" s="11" t="s">
        <v>118</v>
      </c>
    </row>
    <row r="117" spans="1:6" ht="24" customHeight="1">
      <c r="A117" s="24" t="s">
        <v>326</v>
      </c>
      <c r="B117" s="74" t="s">
        <v>327</v>
      </c>
      <c r="C117" s="26">
        <v>0</v>
      </c>
      <c r="D117" s="26"/>
      <c r="E117" s="26"/>
      <c r="F117" s="11" t="s">
        <v>121</v>
      </c>
    </row>
    <row r="118" spans="1:6" ht="12" customHeight="1">
      <c r="A118" s="24" t="s">
        <v>328</v>
      </c>
      <c r="B118" s="66" t="s">
        <v>306</v>
      </c>
      <c r="C118" s="26">
        <v>0</v>
      </c>
      <c r="D118" s="26">
        <v>0</v>
      </c>
      <c r="E118" s="26">
        <v>0</v>
      </c>
      <c r="F118" s="11" t="s">
        <v>124</v>
      </c>
    </row>
    <row r="119" spans="1:6" ht="12" customHeight="1">
      <c r="A119" s="24" t="s">
        <v>329</v>
      </c>
      <c r="B119" s="66" t="s">
        <v>330</v>
      </c>
      <c r="C119" s="26">
        <v>0</v>
      </c>
      <c r="D119" s="26">
        <v>0</v>
      </c>
      <c r="E119" s="26">
        <v>0</v>
      </c>
      <c r="F119" s="11" t="s">
        <v>127</v>
      </c>
    </row>
    <row r="120" spans="1:6" ht="12" customHeight="1">
      <c r="A120" s="24" t="s">
        <v>331</v>
      </c>
      <c r="B120" s="66" t="s">
        <v>332</v>
      </c>
      <c r="C120" s="26">
        <v>0</v>
      </c>
      <c r="D120" s="26">
        <v>0</v>
      </c>
      <c r="E120" s="26">
        <v>0</v>
      </c>
      <c r="F120" s="11" t="s">
        <v>130</v>
      </c>
    </row>
    <row r="121" spans="1:6" s="75" customFormat="1" ht="12" customHeight="1">
      <c r="A121" s="24" t="s">
        <v>333</v>
      </c>
      <c r="B121" s="66" t="s">
        <v>312</v>
      </c>
      <c r="C121" s="26">
        <v>0</v>
      </c>
      <c r="D121" s="26"/>
      <c r="E121" s="26"/>
      <c r="F121" s="11" t="s">
        <v>133</v>
      </c>
    </row>
    <row r="122" spans="1:6" ht="12" customHeight="1">
      <c r="A122" s="24" t="s">
        <v>334</v>
      </c>
      <c r="B122" s="66" t="s">
        <v>335</v>
      </c>
      <c r="C122" s="26">
        <v>1000000</v>
      </c>
      <c r="D122" s="26">
        <v>1000000</v>
      </c>
      <c r="E122" s="26">
        <v>1000000</v>
      </c>
      <c r="F122" s="11" t="s">
        <v>136</v>
      </c>
    </row>
    <row r="123" spans="1:6" ht="12" customHeight="1">
      <c r="A123" s="67" t="s">
        <v>336</v>
      </c>
      <c r="B123" s="66" t="s">
        <v>337</v>
      </c>
      <c r="C123" s="26">
        <v>0</v>
      </c>
      <c r="D123" s="26"/>
      <c r="E123" s="26"/>
      <c r="F123" s="11" t="s">
        <v>139</v>
      </c>
    </row>
    <row r="124" spans="1:6" ht="12" customHeight="1">
      <c r="A124" s="19" t="s">
        <v>92</v>
      </c>
      <c r="B124" s="20" t="s">
        <v>338</v>
      </c>
      <c r="C124" s="41">
        <f>'6.1. sz. mell_k'!C121</f>
        <v>29743005</v>
      </c>
      <c r="D124" s="41">
        <f>'6.1. sz. mell_k'!D121</f>
        <v>108970068</v>
      </c>
      <c r="E124" s="41">
        <f>'6.1. sz. mell_k'!E121</f>
        <v>0</v>
      </c>
      <c r="F124" s="11" t="s">
        <v>142</v>
      </c>
    </row>
    <row r="125" spans="1:6" ht="12" customHeight="1">
      <c r="A125" s="24" t="s">
        <v>95</v>
      </c>
      <c r="B125" s="76" t="s">
        <v>339</v>
      </c>
      <c r="C125" s="41">
        <f>'6.1. sz. mell_k'!C122</f>
        <v>29743005</v>
      </c>
      <c r="D125" s="41">
        <f>'6.1. sz. mell_k'!D122</f>
        <v>108970068</v>
      </c>
      <c r="E125" s="41">
        <f>'6.1. sz. mell_k'!E122</f>
        <v>0</v>
      </c>
      <c r="F125" s="11" t="s">
        <v>145</v>
      </c>
    </row>
    <row r="126" spans="1:6" ht="12" customHeight="1">
      <c r="A126" s="29" t="s">
        <v>98</v>
      </c>
      <c r="B126" s="72" t="s">
        <v>340</v>
      </c>
      <c r="C126" s="41">
        <f>'6.1. sz. mell_k'!C123</f>
        <v>0</v>
      </c>
      <c r="D126" s="41">
        <f>'6.1. sz. mell_k'!D123</f>
        <v>0</v>
      </c>
      <c r="E126" s="41">
        <f>'6.1. sz. mell_k'!E123</f>
        <v>0</v>
      </c>
      <c r="F126" s="11" t="s">
        <v>148</v>
      </c>
    </row>
    <row r="127" spans="1:8" ht="12" customHeight="1">
      <c r="A127" s="19" t="s">
        <v>341</v>
      </c>
      <c r="B127" s="20" t="s">
        <v>342</v>
      </c>
      <c r="C127" s="58">
        <f>C94+C110+C124</f>
        <v>449385205</v>
      </c>
      <c r="D127" s="58">
        <f>D94+D110+D124</f>
        <v>583818779</v>
      </c>
      <c r="E127" s="58">
        <f>E94+E110+E124</f>
        <v>386685646</v>
      </c>
      <c r="F127" s="11" t="s">
        <v>151</v>
      </c>
      <c r="H127" s="81"/>
    </row>
    <row r="128" spans="1:6" ht="12" customHeight="1">
      <c r="A128" s="19" t="s">
        <v>134</v>
      </c>
      <c r="B128" s="20" t="s">
        <v>343</v>
      </c>
      <c r="C128" s="58">
        <f>'6.1. sz. mell_k'!C128+'7.1. sz. mell_k'!C128+'8.1. sz. mell._k'!C128</f>
        <v>0</v>
      </c>
      <c r="D128" s="58">
        <f>'6.1. sz. mell_k'!D128+'7.1. sz. mell_k'!D128+'8.1. sz. mell._k'!D128</f>
        <v>0</v>
      </c>
      <c r="E128" s="58"/>
      <c r="F128" s="11" t="s">
        <v>154</v>
      </c>
    </row>
    <row r="129" spans="1:8" ht="12" customHeight="1">
      <c r="A129" s="24" t="s">
        <v>137</v>
      </c>
      <c r="B129" s="76" t="s">
        <v>344</v>
      </c>
      <c r="C129" s="58"/>
      <c r="D129" s="58"/>
      <c r="E129" s="58"/>
      <c r="F129" s="11" t="s">
        <v>157</v>
      </c>
      <c r="H129" s="81"/>
    </row>
    <row r="130" spans="1:6" ht="12" customHeight="1">
      <c r="A130" s="24" t="s">
        <v>140</v>
      </c>
      <c r="B130" s="76" t="s">
        <v>345</v>
      </c>
      <c r="C130" s="58"/>
      <c r="D130" s="58"/>
      <c r="E130" s="58"/>
      <c r="F130" s="11" t="s">
        <v>160</v>
      </c>
    </row>
    <row r="131" spans="1:6" ht="12" customHeight="1" thickBot="1">
      <c r="A131" s="67" t="s">
        <v>143</v>
      </c>
      <c r="B131" s="77" t="s">
        <v>346</v>
      </c>
      <c r="C131" s="58">
        <f>'6.1. sz. mell_k'!C131+'7.1. sz. mell_k'!C131+'8.1. sz. mell._k'!C131</f>
        <v>0</v>
      </c>
      <c r="D131" s="58">
        <f>'6.1. sz. mell_k'!D131+'7.1. sz. mell_k'!D131+'8.1. sz. mell._k'!D131</f>
        <v>0</v>
      </c>
      <c r="E131" s="58"/>
      <c r="F131" s="11" t="s">
        <v>163</v>
      </c>
    </row>
    <row r="132" spans="1:6" ht="12" customHeight="1" thickBot="1">
      <c r="A132" s="19" t="s">
        <v>167</v>
      </c>
      <c r="B132" s="20" t="s">
        <v>347</v>
      </c>
      <c r="C132" s="58">
        <f>SUM(C133:C136)</f>
        <v>0</v>
      </c>
      <c r="D132" s="58">
        <f>SUM(D133:D136)</f>
        <v>0</v>
      </c>
      <c r="E132" s="58">
        <f>SUM(E133:E136)</f>
        <v>0</v>
      </c>
      <c r="F132" s="11" t="s">
        <v>166</v>
      </c>
    </row>
    <row r="133" spans="1:6" ht="12" customHeight="1" thickBot="1">
      <c r="A133" s="24" t="s">
        <v>170</v>
      </c>
      <c r="B133" s="76" t="s">
        <v>348</v>
      </c>
      <c r="C133" s="58">
        <f>'6.1. sz. mell_k'!C130+'7.1. sz. mell_k'!C130+'8.1. sz. mell._k'!C130</f>
        <v>0</v>
      </c>
      <c r="D133" s="58">
        <f>'6.1. sz. mell_k'!D130+'7.1. sz. mell_k'!D130+'8.1. sz. mell._k'!D130</f>
        <v>0</v>
      </c>
      <c r="E133" s="58">
        <f>'6.1. sz. mell_k'!E130+'7.1. sz. mell_k'!E130+'8.1. sz. mell._k'!E130</f>
        <v>0</v>
      </c>
      <c r="F133" s="11" t="s">
        <v>169</v>
      </c>
    </row>
    <row r="134" spans="1:6" ht="12" customHeight="1">
      <c r="A134" s="24" t="s">
        <v>173</v>
      </c>
      <c r="B134" s="76" t="s">
        <v>349</v>
      </c>
      <c r="C134" s="58"/>
      <c r="D134" s="58"/>
      <c r="E134" s="58"/>
      <c r="F134" s="11" t="s">
        <v>172</v>
      </c>
    </row>
    <row r="135" spans="1:6" ht="12" customHeight="1">
      <c r="A135" s="24" t="s">
        <v>176</v>
      </c>
      <c r="B135" s="76" t="s">
        <v>350</v>
      </c>
      <c r="C135" s="58"/>
      <c r="D135" s="58"/>
      <c r="E135" s="58"/>
      <c r="F135" s="11" t="s">
        <v>175</v>
      </c>
    </row>
    <row r="136" spans="1:6" ht="12" customHeight="1">
      <c r="A136" s="67" t="s">
        <v>179</v>
      </c>
      <c r="B136" s="77" t="s">
        <v>351</v>
      </c>
      <c r="C136" s="58"/>
      <c r="D136" s="58"/>
      <c r="E136" s="58"/>
      <c r="F136" s="11" t="s">
        <v>178</v>
      </c>
    </row>
    <row r="137" spans="1:6" ht="12" customHeight="1">
      <c r="A137" s="19" t="s">
        <v>352</v>
      </c>
      <c r="B137" s="20" t="s">
        <v>353</v>
      </c>
      <c r="C137" s="58">
        <f>C139+C140</f>
        <v>2553282</v>
      </c>
      <c r="D137" s="58">
        <f>D139+D140</f>
        <v>2553282</v>
      </c>
      <c r="E137" s="58">
        <f>E139+E140</f>
        <v>2553282</v>
      </c>
      <c r="F137" s="11" t="s">
        <v>181</v>
      </c>
    </row>
    <row r="138" spans="1:6" ht="12" customHeight="1">
      <c r="A138" s="24" t="s">
        <v>188</v>
      </c>
      <c r="B138" s="76" t="s">
        <v>354</v>
      </c>
      <c r="C138" s="58"/>
      <c r="D138" s="58"/>
      <c r="E138" s="58"/>
      <c r="F138" s="11" t="s">
        <v>184</v>
      </c>
    </row>
    <row r="139" spans="1:6" ht="12" customHeight="1">
      <c r="A139" s="24" t="s">
        <v>191</v>
      </c>
      <c r="B139" s="76" t="s">
        <v>355</v>
      </c>
      <c r="C139" s="58">
        <f>'6.1. sz. mell_k'!C136</f>
        <v>2553282</v>
      </c>
      <c r="D139" s="58">
        <f>'6.1. sz. mell_k'!D136</f>
        <v>2553282</v>
      </c>
      <c r="E139" s="58">
        <f>'6.1. sz. mell_k'!E136</f>
        <v>2553282</v>
      </c>
      <c r="F139" s="11" t="s">
        <v>187</v>
      </c>
    </row>
    <row r="140" spans="1:6" ht="12" customHeight="1">
      <c r="A140" s="24" t="s">
        <v>194</v>
      </c>
      <c r="B140" s="76" t="s">
        <v>356</v>
      </c>
      <c r="C140" s="58">
        <f>'6.1. sz. mell_k'!C138</f>
        <v>0</v>
      </c>
      <c r="D140" s="58">
        <f>'6.1. sz. mell_k'!D138</f>
        <v>0</v>
      </c>
      <c r="E140" s="58">
        <f>'6.1. sz. mell_k'!E138</f>
        <v>0</v>
      </c>
      <c r="F140" s="11" t="s">
        <v>190</v>
      </c>
    </row>
    <row r="141" spans="1:6" ht="12" customHeight="1">
      <c r="A141" s="67" t="s">
        <v>197</v>
      </c>
      <c r="B141" s="77" t="s">
        <v>357</v>
      </c>
      <c r="C141" s="58">
        <f>'6.1. sz. mell_k'!C141+'7.1. sz. mell_k'!C141+'8.1. sz. mell._k'!C141</f>
        <v>0</v>
      </c>
      <c r="D141" s="58">
        <f>'6.1. sz. mell_k'!D141+'7.1. sz. mell_k'!D141+'8.1. sz. mell._k'!D141</f>
        <v>0</v>
      </c>
      <c r="E141" s="58"/>
      <c r="F141" s="11" t="s">
        <v>193</v>
      </c>
    </row>
    <row r="142" spans="1:9" ht="15" customHeight="1">
      <c r="A142" s="19" t="s">
        <v>200</v>
      </c>
      <c r="B142" s="20" t="s">
        <v>358</v>
      </c>
      <c r="C142" s="58">
        <f>'6.1. sz. mell_k'!C142+'7.1. sz. mell_k'!C142+'8.1. sz. mell._k'!C142</f>
        <v>0</v>
      </c>
      <c r="D142" s="58">
        <f>'6.1. sz. mell_k'!D142+'7.1. sz. mell_k'!D142+'8.1. sz. mell._k'!D142</f>
        <v>0</v>
      </c>
      <c r="E142" s="58"/>
      <c r="F142" s="11" t="s">
        <v>196</v>
      </c>
      <c r="G142" s="78"/>
      <c r="H142" s="78"/>
      <c r="I142" s="78"/>
    </row>
    <row r="143" spans="1:6" s="23" customFormat="1" ht="12.75" customHeight="1">
      <c r="A143" s="24" t="s">
        <v>203</v>
      </c>
      <c r="B143" s="76" t="s">
        <v>359</v>
      </c>
      <c r="C143" s="58">
        <f>'6.1. sz. mell_k'!C143+'7.1. sz. mell_k'!C143+'8.1. sz. mell._k'!C143</f>
        <v>0</v>
      </c>
      <c r="D143" s="58">
        <f>'6.1. sz. mell_k'!D143+'7.1. sz. mell_k'!D143+'8.1. sz. mell._k'!D143</f>
        <v>0</v>
      </c>
      <c r="E143" s="58"/>
      <c r="F143" s="11" t="s">
        <v>199</v>
      </c>
    </row>
    <row r="144" spans="1:6" ht="12.75" customHeight="1">
      <c r="A144" s="24" t="s">
        <v>206</v>
      </c>
      <c r="B144" s="76" t="s">
        <v>360</v>
      </c>
      <c r="C144" s="58"/>
      <c r="D144" s="58"/>
      <c r="E144" s="58"/>
      <c r="F144" s="11" t="s">
        <v>202</v>
      </c>
    </row>
    <row r="145" spans="1:6" ht="12.75" customHeight="1">
      <c r="A145" s="24" t="s">
        <v>209</v>
      </c>
      <c r="B145" s="76" t="s">
        <v>361</v>
      </c>
      <c r="C145" s="58"/>
      <c r="D145" s="58"/>
      <c r="E145" s="58"/>
      <c r="F145" s="11" t="s">
        <v>205</v>
      </c>
    </row>
    <row r="146" spans="1:6" ht="12.75" customHeight="1">
      <c r="A146" s="24" t="s">
        <v>212</v>
      </c>
      <c r="B146" s="76" t="s">
        <v>362</v>
      </c>
      <c r="C146" s="58"/>
      <c r="D146" s="58"/>
      <c r="E146" s="58"/>
      <c r="F146" s="11" t="s">
        <v>208</v>
      </c>
    </row>
    <row r="147" spans="1:9" ht="15">
      <c r="A147" s="19" t="s">
        <v>215</v>
      </c>
      <c r="B147" s="20" t="s">
        <v>363</v>
      </c>
      <c r="C147" s="58">
        <f>C128+C132+C137+C142</f>
        <v>2553282</v>
      </c>
      <c r="D147" s="58">
        <f>D128+D132+D137+D142</f>
        <v>2553282</v>
      </c>
      <c r="E147" s="58">
        <f>E128+E132+E137+E142</f>
        <v>2553282</v>
      </c>
      <c r="F147" s="11" t="s">
        <v>211</v>
      </c>
      <c r="I147" s="81"/>
    </row>
    <row r="148" spans="1:9" ht="15">
      <c r="A148" s="79" t="s">
        <v>364</v>
      </c>
      <c r="B148" s="80" t="s">
        <v>365</v>
      </c>
      <c r="C148" s="58">
        <f>C127+C147</f>
        <v>451938487</v>
      </c>
      <c r="D148" s="58">
        <f>D127+D147</f>
        <v>586372061</v>
      </c>
      <c r="E148" s="58">
        <f>E127+E147</f>
        <v>389238928</v>
      </c>
      <c r="F148" s="11" t="s">
        <v>214</v>
      </c>
      <c r="H148" s="602"/>
      <c r="I148" s="81"/>
    </row>
    <row r="149" spans="3:8" ht="15">
      <c r="C149" s="600"/>
      <c r="D149" s="600"/>
      <c r="E149" s="600"/>
      <c r="H149" s="612"/>
    </row>
    <row r="150" spans="1:5" ht="18.75" customHeight="1">
      <c r="A150" s="628" t="s">
        <v>366</v>
      </c>
      <c r="B150" s="628"/>
      <c r="C150" s="628"/>
      <c r="D150" s="628"/>
      <c r="E150" s="628"/>
    </row>
    <row r="151" spans="1:8" ht="13.5" customHeight="1">
      <c r="A151" s="82" t="s">
        <v>367</v>
      </c>
      <c r="B151" s="82"/>
      <c r="C151" s="7"/>
      <c r="E151" s="10" t="s">
        <v>862</v>
      </c>
      <c r="H151" s="612"/>
    </row>
    <row r="152" spans="1:5" ht="15">
      <c r="A152" s="19">
        <v>1</v>
      </c>
      <c r="B152" s="71" t="s">
        <v>368</v>
      </c>
      <c r="C152" s="83">
        <f>+C63-C127</f>
        <v>-180953174</v>
      </c>
      <c r="D152" s="83">
        <f>+D63-D127</f>
        <v>-183603110</v>
      </c>
      <c r="E152" s="83">
        <f>+E63-E127</f>
        <v>13530023</v>
      </c>
    </row>
    <row r="153" spans="1:5" ht="20.25">
      <c r="A153" s="19" t="s">
        <v>71</v>
      </c>
      <c r="B153" s="71" t="s">
        <v>369</v>
      </c>
      <c r="C153" s="83">
        <f>+C86-C147</f>
        <v>180953174</v>
      </c>
      <c r="D153" s="83">
        <f>+D86-D147</f>
        <v>183603110</v>
      </c>
      <c r="E153" s="83">
        <f>+E86-E147</f>
        <v>183603110</v>
      </c>
    </row>
    <row r="154" ht="7.5" customHeight="1"/>
    <row r="156" ht="12.75" customHeight="1">
      <c r="E156" s="600"/>
    </row>
    <row r="157" ht="12.75" customHeight="1">
      <c r="E157" s="600"/>
    </row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 selectLockedCells="1" selectUnlockedCells="1"/>
  <mergeCells count="10">
    <mergeCell ref="A1:E1"/>
    <mergeCell ref="A150:E150"/>
    <mergeCell ref="A3:E3"/>
    <mergeCell ref="A5:A6"/>
    <mergeCell ref="B5:B6"/>
    <mergeCell ref="C5:E5"/>
    <mergeCell ref="A89:E89"/>
    <mergeCell ref="A91:A92"/>
    <mergeCell ref="B91:B92"/>
    <mergeCell ref="C91:E91"/>
  </mergeCells>
  <printOptions horizontalCentered="1"/>
  <pageMargins left="0.3937007874015748" right="0.3937007874015748" top="0.6692913385826772" bottom="0.2755905511811024" header="0.31496062992125984" footer="0.5118110236220472"/>
  <pageSetup fitToHeight="2" fitToWidth="1" horizontalDpi="300" verticalDpi="300" orientation="portrait" paperSize="9" scale="76" r:id="rId1"/>
  <rowBreaks count="1" manualBreakCount="1">
    <brk id="8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9"/>
  <sheetViews>
    <sheetView zoomScaleSheetLayoutView="100" zoomScalePageLayoutView="0" workbookViewId="0" topLeftCell="A1">
      <selection activeCell="E2" sqref="E2"/>
    </sheetView>
  </sheetViews>
  <sheetFormatPr defaultColWidth="9.375" defaultRowHeight="12.75"/>
  <cols>
    <col min="1" max="1" width="14.75390625" style="205" customWidth="1"/>
    <col min="2" max="2" width="65.375" style="206" customWidth="1"/>
    <col min="3" max="5" width="17.00390625" style="207" customWidth="1"/>
    <col min="6" max="16384" width="9.375" style="206" customWidth="1"/>
  </cols>
  <sheetData>
    <row r="1" spans="1:5" s="213" customFormat="1" ht="16.5" customHeight="1">
      <c r="A1" s="208"/>
      <c r="B1" s="209"/>
      <c r="C1" s="210"/>
      <c r="D1" s="211"/>
      <c r="E1" s="210" t="str">
        <f>+CONCATENATE("6.4. melléklet a 6/",LEFT(ÖSSZEFÜGGÉSEK!A4,4)+1,". (VII.17.) önkormányzati rendelethez")</f>
        <v>6.4. melléklet a 6/2020. (VII.17.) önkormányzati rendelethez</v>
      </c>
    </row>
    <row r="2" spans="1:5" s="217" customFormat="1" ht="15.75" customHeight="1">
      <c r="A2" s="214" t="s">
        <v>374</v>
      </c>
      <c r="B2" s="655" t="s">
        <v>498</v>
      </c>
      <c r="C2" s="655"/>
      <c r="D2" s="655"/>
      <c r="E2" s="215" t="s">
        <v>499</v>
      </c>
    </row>
    <row r="3" spans="1:5" s="217" customFormat="1" ht="22.5">
      <c r="A3" s="218" t="s">
        <v>500</v>
      </c>
      <c r="B3" s="656" t="s">
        <v>522</v>
      </c>
      <c r="C3" s="656"/>
      <c r="D3" s="656"/>
      <c r="E3" s="219" t="s">
        <v>523</v>
      </c>
    </row>
    <row r="4" spans="1:5" s="223" customFormat="1" ht="15.75" customHeight="1">
      <c r="A4" s="220"/>
      <c r="B4" s="220"/>
      <c r="C4" s="221"/>
      <c r="D4" s="221"/>
      <c r="E4" s="221" t="s">
        <v>502</v>
      </c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5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</row>
    <row r="7" spans="1:5" s="233" customFormat="1" ht="15.75" customHeight="1">
      <c r="A7" s="657" t="s">
        <v>372</v>
      </c>
      <c r="B7" s="657"/>
      <c r="C7" s="657"/>
      <c r="D7" s="657"/>
      <c r="E7" s="657"/>
    </row>
    <row r="8" spans="1:5" s="233" customFormat="1" ht="12" customHeight="1">
      <c r="A8" s="14" t="s">
        <v>50</v>
      </c>
      <c r="B8" s="20" t="s">
        <v>51</v>
      </c>
      <c r="C8" s="58">
        <f>SUM(C9:C14)</f>
        <v>0</v>
      </c>
      <c r="D8" s="58">
        <f>SUM(D9:D14)</f>
        <v>0</v>
      </c>
      <c r="E8" s="241">
        <f>SUM(E9:E14)</f>
        <v>0</v>
      </c>
    </row>
    <row r="9" spans="1:5" s="235" customFormat="1" ht="12" customHeight="1">
      <c r="A9" s="234" t="s">
        <v>53</v>
      </c>
      <c r="B9" s="25" t="s">
        <v>54</v>
      </c>
      <c r="C9" s="35"/>
      <c r="D9" s="35"/>
      <c r="E9" s="36"/>
    </row>
    <row r="10" spans="1:5" s="237" customFormat="1" ht="12" customHeight="1">
      <c r="A10" s="236" t="s">
        <v>56</v>
      </c>
      <c r="B10" s="28" t="s">
        <v>57</v>
      </c>
      <c r="C10" s="37"/>
      <c r="D10" s="37"/>
      <c r="E10" s="38"/>
    </row>
    <row r="11" spans="1:5" s="237" customFormat="1" ht="12" customHeight="1">
      <c r="A11" s="236" t="s">
        <v>59</v>
      </c>
      <c r="B11" s="28" t="s">
        <v>60</v>
      </c>
      <c r="C11" s="37"/>
      <c r="D11" s="37"/>
      <c r="E11" s="38"/>
    </row>
    <row r="12" spans="1:5" s="237" customFormat="1" ht="12" customHeight="1">
      <c r="A12" s="236" t="s">
        <v>62</v>
      </c>
      <c r="B12" s="28" t="s">
        <v>63</v>
      </c>
      <c r="C12" s="37"/>
      <c r="D12" s="37"/>
      <c r="E12" s="38"/>
    </row>
    <row r="13" spans="1:5" s="237" customFormat="1" ht="12" customHeight="1">
      <c r="A13" s="236" t="s">
        <v>65</v>
      </c>
      <c r="B13" s="28" t="s">
        <v>66</v>
      </c>
      <c r="C13" s="37"/>
      <c r="D13" s="37"/>
      <c r="E13" s="38"/>
    </row>
    <row r="14" spans="1:5" s="235" customFormat="1" ht="12" customHeight="1">
      <c r="A14" s="238" t="s">
        <v>68</v>
      </c>
      <c r="B14" s="30" t="s">
        <v>69</v>
      </c>
      <c r="C14" s="39"/>
      <c r="D14" s="39"/>
      <c r="E14" s="40"/>
    </row>
    <row r="15" spans="1:5" s="235" customFormat="1" ht="12" customHeight="1">
      <c r="A15" s="14" t="s">
        <v>71</v>
      </c>
      <c r="B15" s="31" t="s">
        <v>72</v>
      </c>
      <c r="C15" s="58">
        <f>SUM(C16:C20)</f>
        <v>0</v>
      </c>
      <c r="D15" s="58">
        <f>SUM(D16:D20)</f>
        <v>0</v>
      </c>
      <c r="E15" s="241">
        <f>SUM(E16:E20)</f>
        <v>0</v>
      </c>
    </row>
    <row r="16" spans="1:5" s="235" customFormat="1" ht="12" customHeight="1">
      <c r="A16" s="234" t="s">
        <v>74</v>
      </c>
      <c r="B16" s="25" t="s">
        <v>75</v>
      </c>
      <c r="C16" s="35"/>
      <c r="D16" s="35"/>
      <c r="E16" s="36"/>
    </row>
    <row r="17" spans="1:5" s="235" customFormat="1" ht="12" customHeight="1">
      <c r="A17" s="236" t="s">
        <v>77</v>
      </c>
      <c r="B17" s="28" t="s">
        <v>78</v>
      </c>
      <c r="C17" s="37"/>
      <c r="D17" s="37"/>
      <c r="E17" s="38"/>
    </row>
    <row r="18" spans="1:5" s="235" customFormat="1" ht="12" customHeight="1">
      <c r="A18" s="236" t="s">
        <v>80</v>
      </c>
      <c r="B18" s="28" t="s">
        <v>81</v>
      </c>
      <c r="C18" s="37"/>
      <c r="D18" s="37"/>
      <c r="E18" s="38"/>
    </row>
    <row r="19" spans="1:5" s="235" customFormat="1" ht="12" customHeight="1">
      <c r="A19" s="236" t="s">
        <v>83</v>
      </c>
      <c r="B19" s="28" t="s">
        <v>84</v>
      </c>
      <c r="C19" s="37"/>
      <c r="D19" s="37"/>
      <c r="E19" s="38"/>
    </row>
    <row r="20" spans="1:5" s="235" customFormat="1" ht="12" customHeight="1">
      <c r="A20" s="236" t="s">
        <v>86</v>
      </c>
      <c r="B20" s="28" t="s">
        <v>87</v>
      </c>
      <c r="C20" s="37"/>
      <c r="D20" s="37"/>
      <c r="E20" s="38"/>
    </row>
    <row r="21" spans="1:5" s="237" customFormat="1" ht="12" customHeight="1">
      <c r="A21" s="238" t="s">
        <v>89</v>
      </c>
      <c r="B21" s="30" t="s">
        <v>90</v>
      </c>
      <c r="C21" s="39"/>
      <c r="D21" s="39"/>
      <c r="E21" s="40"/>
    </row>
    <row r="22" spans="1:5" s="237" customFormat="1" ht="12" customHeight="1">
      <c r="A22" s="14" t="s">
        <v>92</v>
      </c>
      <c r="B22" s="20" t="s">
        <v>93</v>
      </c>
      <c r="C22" s="58">
        <f>SUM(C23:C27)</f>
        <v>0</v>
      </c>
      <c r="D22" s="58">
        <f>SUM(D23:D27)</f>
        <v>0</v>
      </c>
      <c r="E22" s="241">
        <f>SUM(E23:E27)</f>
        <v>0</v>
      </c>
    </row>
    <row r="23" spans="1:5" s="237" customFormat="1" ht="12" customHeight="1">
      <c r="A23" s="234" t="s">
        <v>95</v>
      </c>
      <c r="B23" s="25" t="s">
        <v>96</v>
      </c>
      <c r="C23" s="35"/>
      <c r="D23" s="35"/>
      <c r="E23" s="36"/>
    </row>
    <row r="24" spans="1:5" s="235" customFormat="1" ht="12" customHeight="1">
      <c r="A24" s="236" t="s">
        <v>98</v>
      </c>
      <c r="B24" s="28" t="s">
        <v>99</v>
      </c>
      <c r="C24" s="37"/>
      <c r="D24" s="37"/>
      <c r="E24" s="38"/>
    </row>
    <row r="25" spans="1:5" s="237" customFormat="1" ht="12" customHeight="1">
      <c r="A25" s="236" t="s">
        <v>101</v>
      </c>
      <c r="B25" s="28" t="s">
        <v>102</v>
      </c>
      <c r="C25" s="37"/>
      <c r="D25" s="37"/>
      <c r="E25" s="38"/>
    </row>
    <row r="26" spans="1:5" s="237" customFormat="1" ht="12" customHeight="1">
      <c r="A26" s="236" t="s">
        <v>104</v>
      </c>
      <c r="B26" s="28" t="s">
        <v>105</v>
      </c>
      <c r="C26" s="37"/>
      <c r="D26" s="37"/>
      <c r="E26" s="38"/>
    </row>
    <row r="27" spans="1:5" s="237" customFormat="1" ht="12" customHeight="1">
      <c r="A27" s="236" t="s">
        <v>107</v>
      </c>
      <c r="B27" s="28" t="s">
        <v>108</v>
      </c>
      <c r="C27" s="37"/>
      <c r="D27" s="37"/>
      <c r="E27" s="38"/>
    </row>
    <row r="28" spans="1:5" s="237" customFormat="1" ht="12" customHeight="1">
      <c r="A28" s="238" t="s">
        <v>110</v>
      </c>
      <c r="B28" s="30" t="s">
        <v>111</v>
      </c>
      <c r="C28" s="39"/>
      <c r="D28" s="39"/>
      <c r="E28" s="40"/>
    </row>
    <row r="29" spans="1:5" s="237" customFormat="1" ht="12" customHeight="1">
      <c r="A29" s="14" t="s">
        <v>113</v>
      </c>
      <c r="B29" s="20" t="s">
        <v>114</v>
      </c>
      <c r="C29" s="58">
        <f>+C30+C33+C34+C35</f>
        <v>0</v>
      </c>
      <c r="D29" s="58">
        <f>+D30+D33+D34+D35</f>
        <v>0</v>
      </c>
      <c r="E29" s="241">
        <f>+E30+E33+E34+E35</f>
        <v>0</v>
      </c>
    </row>
    <row r="30" spans="1:5" s="237" customFormat="1" ht="12" customHeight="1">
      <c r="A30" s="234" t="s">
        <v>116</v>
      </c>
      <c r="B30" s="25" t="s">
        <v>117</v>
      </c>
      <c r="C30" s="239">
        <f>+C31+C32</f>
        <v>0</v>
      </c>
      <c r="D30" s="239">
        <f>+D31+D32</f>
        <v>0</v>
      </c>
      <c r="E30" s="280">
        <f>+E31+E32</f>
        <v>0</v>
      </c>
    </row>
    <row r="31" spans="1:5" s="237" customFormat="1" ht="12" customHeight="1">
      <c r="A31" s="236" t="s">
        <v>119</v>
      </c>
      <c r="B31" s="28" t="s">
        <v>120</v>
      </c>
      <c r="C31" s="37"/>
      <c r="D31" s="37"/>
      <c r="E31" s="38"/>
    </row>
    <row r="32" spans="1:5" s="237" customFormat="1" ht="12" customHeight="1">
      <c r="A32" s="236" t="s">
        <v>122</v>
      </c>
      <c r="B32" s="28" t="s">
        <v>123</v>
      </c>
      <c r="C32" s="37"/>
      <c r="D32" s="37"/>
      <c r="E32" s="38"/>
    </row>
    <row r="33" spans="1:5" s="237" customFormat="1" ht="12" customHeight="1">
      <c r="A33" s="236" t="s">
        <v>125</v>
      </c>
      <c r="B33" s="28" t="s">
        <v>126</v>
      </c>
      <c r="C33" s="37"/>
      <c r="D33" s="37"/>
      <c r="E33" s="38"/>
    </row>
    <row r="34" spans="1:5" s="237" customFormat="1" ht="12" customHeight="1">
      <c r="A34" s="236" t="s">
        <v>128</v>
      </c>
      <c r="B34" s="28" t="s">
        <v>129</v>
      </c>
      <c r="C34" s="37"/>
      <c r="D34" s="37"/>
      <c r="E34" s="38"/>
    </row>
    <row r="35" spans="1:5" s="237" customFormat="1" ht="12" customHeight="1">
      <c r="A35" s="238" t="s">
        <v>131</v>
      </c>
      <c r="B35" s="30" t="s">
        <v>132</v>
      </c>
      <c r="C35" s="39"/>
      <c r="D35" s="39"/>
      <c r="E35" s="40"/>
    </row>
    <row r="36" spans="1:5" s="237" customFormat="1" ht="12" customHeight="1">
      <c r="A36" s="14" t="s">
        <v>134</v>
      </c>
      <c r="B36" s="20" t="s">
        <v>135</v>
      </c>
      <c r="C36" s="58">
        <f>SUM(C37:C46)</f>
        <v>0</v>
      </c>
      <c r="D36" s="58">
        <f>SUM(D37:D46)</f>
        <v>0</v>
      </c>
      <c r="E36" s="241">
        <f>SUM(E37:E46)</f>
        <v>0</v>
      </c>
    </row>
    <row r="37" spans="1:5" s="237" customFormat="1" ht="12" customHeight="1">
      <c r="A37" s="234" t="s">
        <v>137</v>
      </c>
      <c r="B37" s="25" t="s">
        <v>138</v>
      </c>
      <c r="C37" s="35"/>
      <c r="D37" s="35"/>
      <c r="E37" s="36"/>
    </row>
    <row r="38" spans="1:5" s="237" customFormat="1" ht="12" customHeight="1">
      <c r="A38" s="236" t="s">
        <v>140</v>
      </c>
      <c r="B38" s="28" t="s">
        <v>141</v>
      </c>
      <c r="C38" s="37"/>
      <c r="D38" s="37"/>
      <c r="E38" s="38"/>
    </row>
    <row r="39" spans="1:5" s="237" customFormat="1" ht="12" customHeight="1">
      <c r="A39" s="236" t="s">
        <v>143</v>
      </c>
      <c r="B39" s="28" t="s">
        <v>144</v>
      </c>
      <c r="C39" s="37"/>
      <c r="D39" s="37"/>
      <c r="E39" s="38"/>
    </row>
    <row r="40" spans="1:5" s="237" customFormat="1" ht="12" customHeight="1">
      <c r="A40" s="236" t="s">
        <v>146</v>
      </c>
      <c r="B40" s="28" t="s">
        <v>147</v>
      </c>
      <c r="C40" s="37"/>
      <c r="D40" s="37"/>
      <c r="E40" s="38"/>
    </row>
    <row r="41" spans="1:5" s="237" customFormat="1" ht="12" customHeight="1">
      <c r="A41" s="236" t="s">
        <v>149</v>
      </c>
      <c r="B41" s="28" t="s">
        <v>150</v>
      </c>
      <c r="C41" s="37"/>
      <c r="D41" s="37"/>
      <c r="E41" s="38"/>
    </row>
    <row r="42" spans="1:5" s="237" customFormat="1" ht="12" customHeight="1">
      <c r="A42" s="236" t="s">
        <v>152</v>
      </c>
      <c r="B42" s="28" t="s">
        <v>153</v>
      </c>
      <c r="C42" s="37"/>
      <c r="D42" s="37"/>
      <c r="E42" s="38"/>
    </row>
    <row r="43" spans="1:5" s="237" customFormat="1" ht="12" customHeight="1">
      <c r="A43" s="236" t="s">
        <v>155</v>
      </c>
      <c r="B43" s="28" t="s">
        <v>156</v>
      </c>
      <c r="C43" s="37"/>
      <c r="D43" s="37"/>
      <c r="E43" s="38"/>
    </row>
    <row r="44" spans="1:5" s="237" customFormat="1" ht="12" customHeight="1">
      <c r="A44" s="236" t="s">
        <v>158</v>
      </c>
      <c r="B44" s="28" t="s">
        <v>159</v>
      </c>
      <c r="C44" s="37"/>
      <c r="D44" s="37"/>
      <c r="E44" s="38"/>
    </row>
    <row r="45" spans="1:5" s="237" customFormat="1" ht="12" customHeight="1">
      <c r="A45" s="236" t="s">
        <v>161</v>
      </c>
      <c r="B45" s="28" t="s">
        <v>162</v>
      </c>
      <c r="C45" s="37"/>
      <c r="D45" s="37"/>
      <c r="E45" s="38"/>
    </row>
    <row r="46" spans="1:5" s="235" customFormat="1" ht="12" customHeight="1">
      <c r="A46" s="238" t="s">
        <v>164</v>
      </c>
      <c r="B46" s="30" t="s">
        <v>165</v>
      </c>
      <c r="C46" s="39"/>
      <c r="D46" s="39"/>
      <c r="E46" s="40"/>
    </row>
    <row r="47" spans="1:5" s="237" customFormat="1" ht="12" customHeight="1">
      <c r="A47" s="14" t="s">
        <v>167</v>
      </c>
      <c r="B47" s="20" t="s">
        <v>168</v>
      </c>
      <c r="C47" s="58">
        <f>SUM(C48:C52)</f>
        <v>0</v>
      </c>
      <c r="D47" s="58">
        <f>SUM(D48:D52)</f>
        <v>0</v>
      </c>
      <c r="E47" s="241">
        <f>SUM(E48:E52)</f>
        <v>0</v>
      </c>
    </row>
    <row r="48" spans="1:5" s="237" customFormat="1" ht="12" customHeight="1">
      <c r="A48" s="234" t="s">
        <v>170</v>
      </c>
      <c r="B48" s="25" t="s">
        <v>171</v>
      </c>
      <c r="C48" s="35"/>
      <c r="D48" s="35"/>
      <c r="E48" s="36"/>
    </row>
    <row r="49" spans="1:5" s="237" customFormat="1" ht="12" customHeight="1">
      <c r="A49" s="236" t="s">
        <v>173</v>
      </c>
      <c r="B49" s="28" t="s">
        <v>174</v>
      </c>
      <c r="C49" s="37"/>
      <c r="D49" s="37"/>
      <c r="E49" s="38"/>
    </row>
    <row r="50" spans="1:5" s="237" customFormat="1" ht="12" customHeight="1">
      <c r="A50" s="236" t="s">
        <v>176</v>
      </c>
      <c r="B50" s="28" t="s">
        <v>177</v>
      </c>
      <c r="C50" s="37"/>
      <c r="D50" s="37"/>
      <c r="E50" s="38"/>
    </row>
    <row r="51" spans="1:5" s="237" customFormat="1" ht="12" customHeight="1">
      <c r="A51" s="236" t="s">
        <v>179</v>
      </c>
      <c r="B51" s="28" t="s">
        <v>180</v>
      </c>
      <c r="C51" s="37"/>
      <c r="D51" s="37"/>
      <c r="E51" s="38"/>
    </row>
    <row r="52" spans="1:5" s="237" customFormat="1" ht="12" customHeight="1">
      <c r="A52" s="238" t="s">
        <v>182</v>
      </c>
      <c r="B52" s="30" t="s">
        <v>183</v>
      </c>
      <c r="C52" s="39"/>
      <c r="D52" s="39"/>
      <c r="E52" s="40"/>
    </row>
    <row r="53" spans="1:5" s="237" customFormat="1" ht="12" customHeight="1">
      <c r="A53" s="14" t="s">
        <v>185</v>
      </c>
      <c r="B53" s="20" t="s">
        <v>186</v>
      </c>
      <c r="C53" s="58">
        <f>SUM(C54:C56)</f>
        <v>0</v>
      </c>
      <c r="D53" s="58">
        <f>SUM(D54:D56)</f>
        <v>0</v>
      </c>
      <c r="E53" s="241">
        <f>SUM(E54:E56)</f>
        <v>0</v>
      </c>
    </row>
    <row r="54" spans="1:5" s="235" customFormat="1" ht="12" customHeight="1">
      <c r="A54" s="234" t="s">
        <v>188</v>
      </c>
      <c r="B54" s="25" t="s">
        <v>189</v>
      </c>
      <c r="C54" s="35"/>
      <c r="D54" s="35"/>
      <c r="E54" s="36"/>
    </row>
    <row r="55" spans="1:5" s="235" customFormat="1" ht="12" customHeight="1">
      <c r="A55" s="236" t="s">
        <v>191</v>
      </c>
      <c r="B55" s="28" t="s">
        <v>192</v>
      </c>
      <c r="C55" s="37"/>
      <c r="D55" s="37"/>
      <c r="E55" s="38"/>
    </row>
    <row r="56" spans="1:5" s="235" customFormat="1" ht="12" customHeight="1">
      <c r="A56" s="236" t="s">
        <v>194</v>
      </c>
      <c r="B56" s="28" t="s">
        <v>195</v>
      </c>
      <c r="C56" s="37"/>
      <c r="D56" s="37"/>
      <c r="E56" s="38"/>
    </row>
    <row r="57" spans="1:5" s="235" customFormat="1" ht="12" customHeight="1">
      <c r="A57" s="238" t="s">
        <v>197</v>
      </c>
      <c r="B57" s="30" t="s">
        <v>198</v>
      </c>
      <c r="C57" s="39"/>
      <c r="D57" s="39"/>
      <c r="E57" s="40"/>
    </row>
    <row r="58" spans="1:5" s="237" customFormat="1" ht="12" customHeight="1">
      <c r="A58" s="14" t="s">
        <v>200</v>
      </c>
      <c r="B58" s="31" t="s">
        <v>201</v>
      </c>
      <c r="C58" s="58">
        <f>SUM(C59:C61)</f>
        <v>0</v>
      </c>
      <c r="D58" s="58">
        <f>SUM(D59:D61)</f>
        <v>0</v>
      </c>
      <c r="E58" s="241">
        <f>SUM(E59:E61)</f>
        <v>0</v>
      </c>
    </row>
    <row r="59" spans="1:5" s="237" customFormat="1" ht="12" customHeight="1">
      <c r="A59" s="234" t="s">
        <v>203</v>
      </c>
      <c r="B59" s="25" t="s">
        <v>204</v>
      </c>
      <c r="C59" s="37"/>
      <c r="D59" s="37"/>
      <c r="E59" s="38"/>
    </row>
    <row r="60" spans="1:5" s="237" customFormat="1" ht="12" customHeight="1">
      <c r="A60" s="236" t="s">
        <v>206</v>
      </c>
      <c r="B60" s="28" t="s">
        <v>506</v>
      </c>
      <c r="C60" s="37"/>
      <c r="D60" s="37"/>
      <c r="E60" s="38"/>
    </row>
    <row r="61" spans="1:5" s="237" customFormat="1" ht="12" customHeight="1">
      <c r="A61" s="236" t="s">
        <v>209</v>
      </c>
      <c r="B61" s="28" t="s">
        <v>210</v>
      </c>
      <c r="C61" s="37"/>
      <c r="D61" s="37"/>
      <c r="E61" s="38"/>
    </row>
    <row r="62" spans="1:5" s="237" customFormat="1" ht="12" customHeight="1">
      <c r="A62" s="238" t="s">
        <v>212</v>
      </c>
      <c r="B62" s="30" t="s">
        <v>213</v>
      </c>
      <c r="C62" s="37"/>
      <c r="D62" s="37"/>
      <c r="E62" s="38"/>
    </row>
    <row r="63" spans="1:5" s="237" customFormat="1" ht="12" customHeight="1">
      <c r="A63" s="14" t="s">
        <v>215</v>
      </c>
      <c r="B63" s="20" t="s">
        <v>216</v>
      </c>
      <c r="C63" s="58">
        <f>+C8+C15+C22+C29+C36+C47+C53+C58</f>
        <v>0</v>
      </c>
      <c r="D63" s="58">
        <f>+D8+D15+D22+D29+D36+D47+D53+D58</f>
        <v>0</v>
      </c>
      <c r="E63" s="241">
        <f>+E8+E15+E22+E29+E36+E47+E53+E58</f>
        <v>0</v>
      </c>
    </row>
    <row r="64" spans="1:5" s="237" customFormat="1" ht="12" customHeight="1">
      <c r="A64" s="240" t="s">
        <v>507</v>
      </c>
      <c r="B64" s="31" t="s">
        <v>219</v>
      </c>
      <c r="C64" s="58">
        <f>SUM(C65:C67)</f>
        <v>0</v>
      </c>
      <c r="D64" s="58">
        <f>SUM(D65:D67)</f>
        <v>0</v>
      </c>
      <c r="E64" s="241">
        <f>SUM(E65:E67)</f>
        <v>0</v>
      </c>
    </row>
    <row r="65" spans="1:5" s="237" customFormat="1" ht="12" customHeight="1">
      <c r="A65" s="234" t="s">
        <v>221</v>
      </c>
      <c r="B65" s="25" t="s">
        <v>222</v>
      </c>
      <c r="C65" s="37"/>
      <c r="D65" s="37"/>
      <c r="E65" s="38"/>
    </row>
    <row r="66" spans="1:5" s="237" customFormat="1" ht="12" customHeight="1">
      <c r="A66" s="236" t="s">
        <v>224</v>
      </c>
      <c r="B66" s="28" t="s">
        <v>225</v>
      </c>
      <c r="C66" s="37"/>
      <c r="D66" s="37"/>
      <c r="E66" s="38"/>
    </row>
    <row r="67" spans="1:5" s="237" customFormat="1" ht="12" customHeight="1">
      <c r="A67" s="238" t="s">
        <v>227</v>
      </c>
      <c r="B67" s="242" t="s">
        <v>508</v>
      </c>
      <c r="C67" s="37"/>
      <c r="D67" s="37"/>
      <c r="E67" s="38"/>
    </row>
    <row r="68" spans="1:5" s="237" customFormat="1" ht="12" customHeight="1">
      <c r="A68" s="240" t="s">
        <v>230</v>
      </c>
      <c r="B68" s="31" t="s">
        <v>231</v>
      </c>
      <c r="C68" s="58">
        <f>SUM(C69:C72)</f>
        <v>0</v>
      </c>
      <c r="D68" s="58">
        <f>SUM(D69:D72)</f>
        <v>0</v>
      </c>
      <c r="E68" s="241">
        <f>SUM(E69:E72)</f>
        <v>0</v>
      </c>
    </row>
    <row r="69" spans="1:5" s="237" customFormat="1" ht="12" customHeight="1">
      <c r="A69" s="234" t="s">
        <v>233</v>
      </c>
      <c r="B69" s="25" t="s">
        <v>234</v>
      </c>
      <c r="C69" s="37"/>
      <c r="D69" s="37"/>
      <c r="E69" s="38"/>
    </row>
    <row r="70" spans="1:5" s="237" customFormat="1" ht="12" customHeight="1">
      <c r="A70" s="236" t="s">
        <v>236</v>
      </c>
      <c r="B70" s="28" t="s">
        <v>237</v>
      </c>
      <c r="C70" s="37"/>
      <c r="D70" s="37"/>
      <c r="E70" s="38"/>
    </row>
    <row r="71" spans="1:5" s="237" customFormat="1" ht="12" customHeight="1">
      <c r="A71" s="236" t="s">
        <v>239</v>
      </c>
      <c r="B71" s="28" t="s">
        <v>240</v>
      </c>
      <c r="C71" s="37"/>
      <c r="D71" s="37"/>
      <c r="E71" s="38"/>
    </row>
    <row r="72" spans="1:5" s="237" customFormat="1" ht="12" customHeight="1">
      <c r="A72" s="238" t="s">
        <v>242</v>
      </c>
      <c r="B72" s="30" t="s">
        <v>243</v>
      </c>
      <c r="C72" s="37"/>
      <c r="D72" s="37"/>
      <c r="E72" s="38"/>
    </row>
    <row r="73" spans="1:5" s="237" customFormat="1" ht="12" customHeight="1">
      <c r="A73" s="240" t="s">
        <v>245</v>
      </c>
      <c r="B73" s="31" t="s">
        <v>246</v>
      </c>
      <c r="C73" s="58">
        <f>SUM(C74:C75)</f>
        <v>0</v>
      </c>
      <c r="D73" s="58">
        <f>SUM(D74:D75)</f>
        <v>0</v>
      </c>
      <c r="E73" s="241">
        <f>SUM(E74:E75)</f>
        <v>0</v>
      </c>
    </row>
    <row r="74" spans="1:5" s="237" customFormat="1" ht="12" customHeight="1">
      <c r="A74" s="234" t="s">
        <v>248</v>
      </c>
      <c r="B74" s="25" t="s">
        <v>249</v>
      </c>
      <c r="C74" s="37"/>
      <c r="D74" s="37"/>
      <c r="E74" s="38"/>
    </row>
    <row r="75" spans="1:5" s="237" customFormat="1" ht="12" customHeight="1">
      <c r="A75" s="238" t="s">
        <v>251</v>
      </c>
      <c r="B75" s="30" t="s">
        <v>252</v>
      </c>
      <c r="C75" s="37"/>
      <c r="D75" s="37"/>
      <c r="E75" s="38"/>
    </row>
    <row r="76" spans="1:5" s="237" customFormat="1" ht="12" customHeight="1">
      <c r="A76" s="240" t="s">
        <v>254</v>
      </c>
      <c r="B76" s="31" t="s">
        <v>255</v>
      </c>
      <c r="C76" s="58">
        <f>SUM(C77:C79)</f>
        <v>0</v>
      </c>
      <c r="D76" s="58">
        <f>SUM(D77:D79)</f>
        <v>0</v>
      </c>
      <c r="E76" s="241">
        <f>SUM(E77:E79)</f>
        <v>0</v>
      </c>
    </row>
    <row r="77" spans="1:5" s="237" customFormat="1" ht="12" customHeight="1">
      <c r="A77" s="234" t="s">
        <v>257</v>
      </c>
      <c r="B77" s="25" t="s">
        <v>258</v>
      </c>
      <c r="C77" s="37"/>
      <c r="D77" s="37"/>
      <c r="E77" s="38"/>
    </row>
    <row r="78" spans="1:5" s="237" customFormat="1" ht="12" customHeight="1">
      <c r="A78" s="236" t="s">
        <v>260</v>
      </c>
      <c r="B78" s="28" t="s">
        <v>261</v>
      </c>
      <c r="C78" s="37"/>
      <c r="D78" s="37"/>
      <c r="E78" s="38"/>
    </row>
    <row r="79" spans="1:5" s="237" customFormat="1" ht="12" customHeight="1">
      <c r="A79" s="238" t="s">
        <v>263</v>
      </c>
      <c r="B79" s="30" t="s">
        <v>264</v>
      </c>
      <c r="C79" s="37"/>
      <c r="D79" s="37"/>
      <c r="E79" s="38"/>
    </row>
    <row r="80" spans="1:5" s="237" customFormat="1" ht="12" customHeight="1">
      <c r="A80" s="240" t="s">
        <v>266</v>
      </c>
      <c r="B80" s="31" t="s">
        <v>267</v>
      </c>
      <c r="C80" s="58">
        <f>SUM(C81:C84)</f>
        <v>0</v>
      </c>
      <c r="D80" s="58">
        <f>SUM(D81:D84)</f>
        <v>0</v>
      </c>
      <c r="E80" s="241">
        <f>SUM(E81:E84)</f>
        <v>0</v>
      </c>
    </row>
    <row r="81" spans="1:5" s="237" customFormat="1" ht="12" customHeight="1">
      <c r="A81" s="243" t="s">
        <v>269</v>
      </c>
      <c r="B81" s="25" t="s">
        <v>270</v>
      </c>
      <c r="C81" s="37"/>
      <c r="D81" s="37"/>
      <c r="E81" s="38"/>
    </row>
    <row r="82" spans="1:5" s="237" customFormat="1" ht="12" customHeight="1">
      <c r="A82" s="244" t="s">
        <v>272</v>
      </c>
      <c r="B82" s="28" t="s">
        <v>273</v>
      </c>
      <c r="C82" s="37"/>
      <c r="D82" s="37"/>
      <c r="E82" s="38"/>
    </row>
    <row r="83" spans="1:5" s="237" customFormat="1" ht="12" customHeight="1">
      <c r="A83" s="244" t="s">
        <v>275</v>
      </c>
      <c r="B83" s="28" t="s">
        <v>276</v>
      </c>
      <c r="C83" s="37"/>
      <c r="D83" s="37"/>
      <c r="E83" s="38"/>
    </row>
    <row r="84" spans="1:5" s="237" customFormat="1" ht="12" customHeight="1">
      <c r="A84" s="245" t="s">
        <v>278</v>
      </c>
      <c r="B84" s="30" t="s">
        <v>279</v>
      </c>
      <c r="C84" s="37"/>
      <c r="D84" s="37"/>
      <c r="E84" s="38"/>
    </row>
    <row r="85" spans="1:5" s="237" customFormat="1" ht="12" customHeight="1">
      <c r="A85" s="240" t="s">
        <v>281</v>
      </c>
      <c r="B85" s="31" t="s">
        <v>282</v>
      </c>
      <c r="C85" s="246"/>
      <c r="D85" s="246"/>
      <c r="E85" s="247"/>
    </row>
    <row r="86" spans="1:5" s="237" customFormat="1" ht="12" customHeight="1">
      <c r="A86" s="240" t="s">
        <v>284</v>
      </c>
      <c r="B86" s="248" t="s">
        <v>285</v>
      </c>
      <c r="C86" s="58">
        <f>+C64+C68+C73+C76+C80+C85</f>
        <v>0</v>
      </c>
      <c r="D86" s="58">
        <f>+D64+D68+D73+D76+D80+D85</f>
        <v>0</v>
      </c>
      <c r="E86" s="241">
        <f>+E64+E68+E73+E76+E80+E85</f>
        <v>0</v>
      </c>
    </row>
    <row r="87" spans="1:5" s="237" customFormat="1" ht="12" customHeight="1">
      <c r="A87" s="249" t="s">
        <v>287</v>
      </c>
      <c r="B87" s="250" t="s">
        <v>509</v>
      </c>
      <c r="C87" s="58">
        <f>+C63+C86</f>
        <v>0</v>
      </c>
      <c r="D87" s="58">
        <f>+D63+D86</f>
        <v>0</v>
      </c>
      <c r="E87" s="241">
        <f>+E63+E86</f>
        <v>0</v>
      </c>
    </row>
    <row r="88" spans="1:5" s="237" customFormat="1" ht="15" customHeight="1">
      <c r="A88" s="251"/>
      <c r="B88" s="252"/>
      <c r="C88" s="253"/>
      <c r="D88" s="253"/>
      <c r="E88" s="253"/>
    </row>
    <row r="89" spans="1:5" ht="12.75">
      <c r="A89" s="255"/>
      <c r="B89" s="256"/>
      <c r="C89" s="257"/>
      <c r="D89" s="257"/>
      <c r="E89" s="257"/>
    </row>
    <row r="90" spans="1:5" s="233" customFormat="1" ht="16.5" customHeight="1">
      <c r="A90" s="657" t="s">
        <v>373</v>
      </c>
      <c r="B90" s="657"/>
      <c r="C90" s="657"/>
      <c r="D90" s="657"/>
      <c r="E90" s="657"/>
    </row>
    <row r="91" spans="1:5" s="261" customFormat="1" ht="12" customHeight="1">
      <c r="A91" s="258" t="s">
        <v>50</v>
      </c>
      <c r="B91" s="57" t="s">
        <v>293</v>
      </c>
      <c r="C91" s="21">
        <f>SUM(C92:C96)</f>
        <v>0</v>
      </c>
      <c r="D91" s="21">
        <f>SUM(D92:D96)</f>
        <v>0</v>
      </c>
      <c r="E91" s="281">
        <f>SUM(E92:E96)</f>
        <v>0</v>
      </c>
    </row>
    <row r="92" spans="1:5" ht="12" customHeight="1">
      <c r="A92" s="262" t="s">
        <v>53</v>
      </c>
      <c r="B92" s="60" t="s">
        <v>294</v>
      </c>
      <c r="C92" s="282"/>
      <c r="D92" s="282"/>
      <c r="E92" s="283"/>
    </row>
    <row r="93" spans="1:5" ht="12" customHeight="1">
      <c r="A93" s="236" t="s">
        <v>56</v>
      </c>
      <c r="B93" s="62" t="s">
        <v>295</v>
      </c>
      <c r="C93" s="37"/>
      <c r="D93" s="37"/>
      <c r="E93" s="38"/>
    </row>
    <row r="94" spans="1:5" ht="12" customHeight="1">
      <c r="A94" s="236" t="s">
        <v>59</v>
      </c>
      <c r="B94" s="62" t="s">
        <v>296</v>
      </c>
      <c r="C94" s="39"/>
      <c r="D94" s="39"/>
      <c r="E94" s="40"/>
    </row>
    <row r="95" spans="1:5" ht="12" customHeight="1">
      <c r="A95" s="236" t="s">
        <v>62</v>
      </c>
      <c r="B95" s="63" t="s">
        <v>297</v>
      </c>
      <c r="C95" s="39"/>
      <c r="D95" s="39"/>
      <c r="E95" s="40"/>
    </row>
    <row r="96" spans="1:5" ht="12" customHeight="1">
      <c r="A96" s="236" t="s">
        <v>298</v>
      </c>
      <c r="B96" s="64" t="s">
        <v>299</v>
      </c>
      <c r="C96" s="39"/>
      <c r="D96" s="39"/>
      <c r="E96" s="40"/>
    </row>
    <row r="97" spans="1:5" ht="12" customHeight="1">
      <c r="A97" s="236" t="s">
        <v>68</v>
      </c>
      <c r="B97" s="62" t="s">
        <v>300</v>
      </c>
      <c r="C97" s="39"/>
      <c r="D97" s="39"/>
      <c r="E97" s="40"/>
    </row>
    <row r="98" spans="1:5" ht="12" customHeight="1">
      <c r="A98" s="236" t="s">
        <v>301</v>
      </c>
      <c r="B98" s="65" t="s">
        <v>302</v>
      </c>
      <c r="C98" s="39"/>
      <c r="D98" s="39"/>
      <c r="E98" s="40"/>
    </row>
    <row r="99" spans="1:5" ht="12" customHeight="1">
      <c r="A99" s="236" t="s">
        <v>303</v>
      </c>
      <c r="B99" s="66" t="s">
        <v>304</v>
      </c>
      <c r="C99" s="39"/>
      <c r="D99" s="39"/>
      <c r="E99" s="40"/>
    </row>
    <row r="100" spans="1:5" ht="12" customHeight="1">
      <c r="A100" s="236" t="s">
        <v>305</v>
      </c>
      <c r="B100" s="66" t="s">
        <v>306</v>
      </c>
      <c r="C100" s="39"/>
      <c r="D100" s="39"/>
      <c r="E100" s="40"/>
    </row>
    <row r="101" spans="1:5" ht="12" customHeight="1">
      <c r="A101" s="236" t="s">
        <v>307</v>
      </c>
      <c r="B101" s="65" t="s">
        <v>308</v>
      </c>
      <c r="C101" s="39"/>
      <c r="D101" s="39"/>
      <c r="E101" s="40"/>
    </row>
    <row r="102" spans="1:5" ht="12" customHeight="1">
      <c r="A102" s="236" t="s">
        <v>309</v>
      </c>
      <c r="B102" s="65" t="s">
        <v>310</v>
      </c>
      <c r="C102" s="39"/>
      <c r="D102" s="39"/>
      <c r="E102" s="40"/>
    </row>
    <row r="103" spans="1:5" ht="12" customHeight="1">
      <c r="A103" s="236" t="s">
        <v>311</v>
      </c>
      <c r="B103" s="66" t="s">
        <v>312</v>
      </c>
      <c r="C103" s="39"/>
      <c r="D103" s="39"/>
      <c r="E103" s="40"/>
    </row>
    <row r="104" spans="1:5" ht="12" customHeight="1">
      <c r="A104" s="266" t="s">
        <v>313</v>
      </c>
      <c r="B104" s="68" t="s">
        <v>314</v>
      </c>
      <c r="C104" s="39"/>
      <c r="D104" s="39"/>
      <c r="E104" s="40"/>
    </row>
    <row r="105" spans="1:5" ht="12" customHeight="1">
      <c r="A105" s="236" t="s">
        <v>315</v>
      </c>
      <c r="B105" s="68" t="s">
        <v>316</v>
      </c>
      <c r="C105" s="39"/>
      <c r="D105" s="39"/>
      <c r="E105" s="40"/>
    </row>
    <row r="106" spans="1:5" s="261" customFormat="1" ht="12" customHeight="1">
      <c r="A106" s="267" t="s">
        <v>317</v>
      </c>
      <c r="B106" s="70" t="s">
        <v>318</v>
      </c>
      <c r="C106" s="284"/>
      <c r="D106" s="284"/>
      <c r="E106" s="285"/>
    </row>
    <row r="107" spans="1:5" ht="12" customHeight="1">
      <c r="A107" s="14" t="s">
        <v>71</v>
      </c>
      <c r="B107" s="71" t="s">
        <v>319</v>
      </c>
      <c r="C107" s="58">
        <f>+C108+C110+C112</f>
        <v>0</v>
      </c>
      <c r="D107" s="58">
        <f>+D108+D110+D112</f>
        <v>0</v>
      </c>
      <c r="E107" s="241">
        <f>+E108+E110+E112</f>
        <v>0</v>
      </c>
    </row>
    <row r="108" spans="1:5" ht="12" customHeight="1">
      <c r="A108" s="234" t="s">
        <v>74</v>
      </c>
      <c r="B108" s="62" t="s">
        <v>320</v>
      </c>
      <c r="C108" s="35"/>
      <c r="D108" s="35"/>
      <c r="E108" s="36"/>
    </row>
    <row r="109" spans="1:5" ht="12" customHeight="1">
      <c r="A109" s="234" t="s">
        <v>77</v>
      </c>
      <c r="B109" s="72" t="s">
        <v>321</v>
      </c>
      <c r="C109" s="35"/>
      <c r="D109" s="35"/>
      <c r="E109" s="36"/>
    </row>
    <row r="110" spans="1:5" ht="12" customHeight="1">
      <c r="A110" s="234" t="s">
        <v>80</v>
      </c>
      <c r="B110" s="72" t="s">
        <v>322</v>
      </c>
      <c r="C110" s="37"/>
      <c r="D110" s="37"/>
      <c r="E110" s="38"/>
    </row>
    <row r="111" spans="1:5" ht="12" customHeight="1">
      <c r="A111" s="234" t="s">
        <v>83</v>
      </c>
      <c r="B111" s="72" t="s">
        <v>323</v>
      </c>
      <c r="C111" s="37"/>
      <c r="D111" s="37"/>
      <c r="E111" s="38"/>
    </row>
    <row r="112" spans="1:5" ht="12" customHeight="1">
      <c r="A112" s="234" t="s">
        <v>86</v>
      </c>
      <c r="B112" s="34" t="s">
        <v>324</v>
      </c>
      <c r="C112" s="37"/>
      <c r="D112" s="37"/>
      <c r="E112" s="38"/>
    </row>
    <row r="113" spans="1:5" ht="12" customHeight="1">
      <c r="A113" s="234" t="s">
        <v>89</v>
      </c>
      <c r="B113" s="73" t="s">
        <v>325</v>
      </c>
      <c r="C113" s="37"/>
      <c r="D113" s="37"/>
      <c r="E113" s="38"/>
    </row>
    <row r="114" spans="1:5" ht="12" customHeight="1">
      <c r="A114" s="234" t="s">
        <v>326</v>
      </c>
      <c r="B114" s="74" t="s">
        <v>327</v>
      </c>
      <c r="C114" s="37"/>
      <c r="D114" s="37"/>
      <c r="E114" s="38"/>
    </row>
    <row r="115" spans="1:5" ht="12" customHeight="1">
      <c r="A115" s="234" t="s">
        <v>328</v>
      </c>
      <c r="B115" s="66" t="s">
        <v>306</v>
      </c>
      <c r="C115" s="37"/>
      <c r="D115" s="37"/>
      <c r="E115" s="38"/>
    </row>
    <row r="116" spans="1:5" ht="12" customHeight="1">
      <c r="A116" s="234" t="s">
        <v>329</v>
      </c>
      <c r="B116" s="66" t="s">
        <v>330</v>
      </c>
      <c r="C116" s="37"/>
      <c r="D116" s="37"/>
      <c r="E116" s="38"/>
    </row>
    <row r="117" spans="1:5" ht="12" customHeight="1">
      <c r="A117" s="234" t="s">
        <v>331</v>
      </c>
      <c r="B117" s="66" t="s">
        <v>332</v>
      </c>
      <c r="C117" s="37"/>
      <c r="D117" s="37"/>
      <c r="E117" s="38"/>
    </row>
    <row r="118" spans="1:5" ht="12" customHeight="1">
      <c r="A118" s="234" t="s">
        <v>333</v>
      </c>
      <c r="B118" s="66" t="s">
        <v>312</v>
      </c>
      <c r="C118" s="37"/>
      <c r="D118" s="37"/>
      <c r="E118" s="38"/>
    </row>
    <row r="119" spans="1:5" ht="12" customHeight="1">
      <c r="A119" s="234" t="s">
        <v>334</v>
      </c>
      <c r="B119" s="66" t="s">
        <v>335</v>
      </c>
      <c r="C119" s="37"/>
      <c r="D119" s="37"/>
      <c r="E119" s="38"/>
    </row>
    <row r="120" spans="1:5" ht="12" customHeight="1">
      <c r="A120" s="266" t="s">
        <v>336</v>
      </c>
      <c r="B120" s="66" t="s">
        <v>337</v>
      </c>
      <c r="C120" s="39"/>
      <c r="D120" s="39"/>
      <c r="E120" s="40"/>
    </row>
    <row r="121" spans="1:5" ht="12" customHeight="1">
      <c r="A121" s="14" t="s">
        <v>92</v>
      </c>
      <c r="B121" s="20" t="s">
        <v>338</v>
      </c>
      <c r="C121" s="58">
        <f>+C122+C123</f>
        <v>0</v>
      </c>
      <c r="D121" s="58">
        <f>+D122+D123</f>
        <v>0</v>
      </c>
      <c r="E121" s="241">
        <f>+E122+E123</f>
        <v>0</v>
      </c>
    </row>
    <row r="122" spans="1:5" ht="12" customHeight="1">
      <c r="A122" s="234" t="s">
        <v>95</v>
      </c>
      <c r="B122" s="76" t="s">
        <v>339</v>
      </c>
      <c r="C122" s="35"/>
      <c r="D122" s="35"/>
      <c r="E122" s="36"/>
    </row>
    <row r="123" spans="1:5" ht="12" customHeight="1">
      <c r="A123" s="238" t="s">
        <v>98</v>
      </c>
      <c r="B123" s="72" t="s">
        <v>340</v>
      </c>
      <c r="C123" s="39"/>
      <c r="D123" s="39"/>
      <c r="E123" s="40"/>
    </row>
    <row r="124" spans="1:5" ht="12" customHeight="1">
      <c r="A124" s="14" t="s">
        <v>341</v>
      </c>
      <c r="B124" s="20" t="s">
        <v>342</v>
      </c>
      <c r="C124" s="58">
        <f>+C91+C107+C121</f>
        <v>0</v>
      </c>
      <c r="D124" s="58">
        <f>+D91+D107+D121</f>
        <v>0</v>
      </c>
      <c r="E124" s="241">
        <f>+E91+E107+E121</f>
        <v>0</v>
      </c>
    </row>
    <row r="125" spans="1:5" ht="12" customHeight="1">
      <c r="A125" s="14" t="s">
        <v>134</v>
      </c>
      <c r="B125" s="20" t="s">
        <v>510</v>
      </c>
      <c r="C125" s="58">
        <f>+C126+C127+C128</f>
        <v>0</v>
      </c>
      <c r="D125" s="58">
        <f>+D126+D127+D128</f>
        <v>0</v>
      </c>
      <c r="E125" s="241">
        <f>+E126+E127+E128</f>
        <v>0</v>
      </c>
    </row>
    <row r="126" spans="1:5" ht="12" customHeight="1">
      <c r="A126" s="234" t="s">
        <v>137</v>
      </c>
      <c r="B126" s="76" t="s">
        <v>344</v>
      </c>
      <c r="C126" s="37"/>
      <c r="D126" s="37"/>
      <c r="E126" s="38"/>
    </row>
    <row r="127" spans="1:5" ht="12" customHeight="1">
      <c r="A127" s="234" t="s">
        <v>140</v>
      </c>
      <c r="B127" s="76" t="s">
        <v>345</v>
      </c>
      <c r="C127" s="37"/>
      <c r="D127" s="37"/>
      <c r="E127" s="38"/>
    </row>
    <row r="128" spans="1:5" ht="12" customHeight="1">
      <c r="A128" s="266" t="s">
        <v>143</v>
      </c>
      <c r="B128" s="77" t="s">
        <v>346</v>
      </c>
      <c r="C128" s="37"/>
      <c r="D128" s="37"/>
      <c r="E128" s="38"/>
    </row>
    <row r="129" spans="1:5" ht="12" customHeight="1">
      <c r="A129" s="14" t="s">
        <v>167</v>
      </c>
      <c r="B129" s="20" t="s">
        <v>347</v>
      </c>
      <c r="C129" s="58">
        <f>+C130+C131+C132+C133</f>
        <v>0</v>
      </c>
      <c r="D129" s="58">
        <f>+D130+D131+D132+D133</f>
        <v>0</v>
      </c>
      <c r="E129" s="241">
        <f>+E130+E131+E132+E133</f>
        <v>0</v>
      </c>
    </row>
    <row r="130" spans="1:5" ht="12" customHeight="1">
      <c r="A130" s="234" t="s">
        <v>170</v>
      </c>
      <c r="B130" s="76" t="s">
        <v>348</v>
      </c>
      <c r="C130" s="37"/>
      <c r="D130" s="37"/>
      <c r="E130" s="38"/>
    </row>
    <row r="131" spans="1:5" ht="12" customHeight="1">
      <c r="A131" s="234" t="s">
        <v>173</v>
      </c>
      <c r="B131" s="76" t="s">
        <v>349</v>
      </c>
      <c r="C131" s="37"/>
      <c r="D131" s="37"/>
      <c r="E131" s="38"/>
    </row>
    <row r="132" spans="1:5" ht="12" customHeight="1">
      <c r="A132" s="234" t="s">
        <v>176</v>
      </c>
      <c r="B132" s="76" t="s">
        <v>350</v>
      </c>
      <c r="C132" s="37"/>
      <c r="D132" s="37"/>
      <c r="E132" s="38"/>
    </row>
    <row r="133" spans="1:5" s="261" customFormat="1" ht="12" customHeight="1">
      <c r="A133" s="266" t="s">
        <v>179</v>
      </c>
      <c r="B133" s="77" t="s">
        <v>351</v>
      </c>
      <c r="C133" s="37"/>
      <c r="D133" s="37"/>
      <c r="E133" s="38"/>
    </row>
    <row r="134" spans="1:11" ht="12.75">
      <c r="A134" s="14" t="s">
        <v>352</v>
      </c>
      <c r="B134" s="20" t="s">
        <v>511</v>
      </c>
      <c r="C134" s="58">
        <f>+C135+C136+C138+C139+C137</f>
        <v>0</v>
      </c>
      <c r="D134" s="58">
        <f>+D135+D136+D138+D139+D137</f>
        <v>0</v>
      </c>
      <c r="E134" s="241">
        <f>+E135+E136+E138+E139+E137</f>
        <v>0</v>
      </c>
      <c r="K134" s="270"/>
    </row>
    <row r="135" spans="1:5" ht="12.75">
      <c r="A135" s="234" t="s">
        <v>188</v>
      </c>
      <c r="B135" s="76" t="s">
        <v>354</v>
      </c>
      <c r="C135" s="37"/>
      <c r="D135" s="37"/>
      <c r="E135" s="38"/>
    </row>
    <row r="136" spans="1:5" ht="12" customHeight="1">
      <c r="A136" s="234" t="s">
        <v>191</v>
      </c>
      <c r="B136" s="76" t="s">
        <v>355</v>
      </c>
      <c r="C136" s="37"/>
      <c r="D136" s="37"/>
      <c r="E136" s="38"/>
    </row>
    <row r="137" spans="1:5" ht="12" customHeight="1">
      <c r="A137" s="234" t="s">
        <v>194</v>
      </c>
      <c r="B137" s="76" t="s">
        <v>512</v>
      </c>
      <c r="C137" s="37"/>
      <c r="D137" s="37"/>
      <c r="E137" s="38"/>
    </row>
    <row r="138" spans="1:5" s="261" customFormat="1" ht="12" customHeight="1">
      <c r="A138" s="234" t="s">
        <v>197</v>
      </c>
      <c r="B138" s="76" t="s">
        <v>356</v>
      </c>
      <c r="C138" s="37"/>
      <c r="D138" s="37"/>
      <c r="E138" s="38"/>
    </row>
    <row r="139" spans="1:5" s="261" customFormat="1" ht="12" customHeight="1">
      <c r="A139" s="266" t="s">
        <v>513</v>
      </c>
      <c r="B139" s="77" t="s">
        <v>357</v>
      </c>
      <c r="C139" s="37"/>
      <c r="D139" s="37"/>
      <c r="E139" s="38"/>
    </row>
    <row r="140" spans="1:5" s="261" customFormat="1" ht="12" customHeight="1">
      <c r="A140" s="14" t="s">
        <v>200</v>
      </c>
      <c r="B140" s="20" t="s">
        <v>514</v>
      </c>
      <c r="C140" s="286">
        <f>+C141+C142+C143+C144</f>
        <v>0</v>
      </c>
      <c r="D140" s="286">
        <f>+D141+D142+D143+D144</f>
        <v>0</v>
      </c>
      <c r="E140" s="287">
        <f>+E141+E142+E143+E144</f>
        <v>0</v>
      </c>
    </row>
    <row r="141" spans="1:5" s="261" customFormat="1" ht="12" customHeight="1">
      <c r="A141" s="234" t="s">
        <v>203</v>
      </c>
      <c r="B141" s="76" t="s">
        <v>359</v>
      </c>
      <c r="C141" s="37"/>
      <c r="D141" s="37"/>
      <c r="E141" s="38"/>
    </row>
    <row r="142" spans="1:5" s="261" customFormat="1" ht="12" customHeight="1">
      <c r="A142" s="234" t="s">
        <v>206</v>
      </c>
      <c r="B142" s="76" t="s">
        <v>360</v>
      </c>
      <c r="C142" s="37"/>
      <c r="D142" s="37"/>
      <c r="E142" s="38"/>
    </row>
    <row r="143" spans="1:5" s="261" customFormat="1" ht="12" customHeight="1">
      <c r="A143" s="234" t="s">
        <v>209</v>
      </c>
      <c r="B143" s="76" t="s">
        <v>361</v>
      </c>
      <c r="C143" s="37"/>
      <c r="D143" s="37"/>
      <c r="E143" s="38"/>
    </row>
    <row r="144" spans="1:5" ht="12.75" customHeight="1">
      <c r="A144" s="234" t="s">
        <v>212</v>
      </c>
      <c r="B144" s="76" t="s">
        <v>362</v>
      </c>
      <c r="C144" s="37"/>
      <c r="D144" s="37"/>
      <c r="E144" s="38"/>
    </row>
    <row r="145" spans="1:5" ht="12" customHeight="1">
      <c r="A145" s="14" t="s">
        <v>215</v>
      </c>
      <c r="B145" s="20" t="s">
        <v>363</v>
      </c>
      <c r="C145" s="288">
        <f>+C125+C129+C134+C140</f>
        <v>0</v>
      </c>
      <c r="D145" s="288">
        <f>+D125+D129+D134+D140</f>
        <v>0</v>
      </c>
      <c r="E145" s="289">
        <f>+E125+E129+E134+E140</f>
        <v>0</v>
      </c>
    </row>
    <row r="146" spans="1:5" ht="15" customHeight="1">
      <c r="A146" s="273" t="s">
        <v>364</v>
      </c>
      <c r="B146" s="80" t="s">
        <v>365</v>
      </c>
      <c r="C146" s="288">
        <f>+C124+C145</f>
        <v>0</v>
      </c>
      <c r="D146" s="288">
        <f>+D124+D145</f>
        <v>0</v>
      </c>
      <c r="E146" s="289">
        <f>+E124+E145</f>
        <v>0</v>
      </c>
    </row>
    <row r="148" spans="1:5" ht="15" customHeight="1">
      <c r="A148" s="274" t="s">
        <v>515</v>
      </c>
      <c r="B148" s="275"/>
      <c r="C148" s="276"/>
      <c r="D148" s="277"/>
      <c r="E148" s="278"/>
    </row>
    <row r="149" spans="1:5" ht="14.25" customHeight="1">
      <c r="A149" s="274" t="s">
        <v>516</v>
      </c>
      <c r="B149" s="275"/>
      <c r="C149" s="276"/>
      <c r="D149" s="277"/>
      <c r="E149" s="278"/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6"/>
  <sheetViews>
    <sheetView zoomScaleSheetLayoutView="115" zoomScalePageLayoutView="0" workbookViewId="0" topLeftCell="A1">
      <selection activeCell="E2" sqref="E2"/>
    </sheetView>
  </sheetViews>
  <sheetFormatPr defaultColWidth="9.375" defaultRowHeight="12.75"/>
  <cols>
    <col min="1" max="1" width="16.00390625" style="205" customWidth="1"/>
    <col min="2" max="2" width="59.375" style="206" customWidth="1"/>
    <col min="3" max="5" width="15.75390625" style="206" customWidth="1"/>
    <col min="6" max="6" width="0" style="86" hidden="1" customWidth="1"/>
    <col min="7" max="7" width="9.375" style="206" customWidth="1"/>
    <col min="8" max="8" width="11.625" style="206" bestFit="1" customWidth="1"/>
    <col min="9" max="16384" width="9.375" style="206" customWidth="1"/>
  </cols>
  <sheetData>
    <row r="1" spans="1:6" s="213" customFormat="1" ht="21" customHeight="1">
      <c r="A1" s="208"/>
      <c r="B1" s="209"/>
      <c r="C1" s="210"/>
      <c r="D1" s="210"/>
      <c r="E1" s="290" t="str">
        <f>+CONCATENATE("7.1. melléklet a 6/",LEFT(ÖSSZEFÜGGÉSEK!A4,4)+1,". (VII.17..) önkormányzati rendelethez")</f>
        <v>7.1. melléklet a 6/2020. (VII.17..) önkormányzati rendelethez</v>
      </c>
      <c r="F1" s="212"/>
    </row>
    <row r="2" spans="1:6" s="217" customFormat="1" ht="25.5" customHeight="1">
      <c r="A2" s="214" t="s">
        <v>524</v>
      </c>
      <c r="B2" s="655" t="s">
        <v>525</v>
      </c>
      <c r="C2" s="655"/>
      <c r="D2" s="655"/>
      <c r="E2" s="291" t="s">
        <v>518</v>
      </c>
      <c r="F2" s="216"/>
    </row>
    <row r="3" spans="1:6" s="217" customFormat="1" ht="22.5">
      <c r="A3" s="218" t="s">
        <v>526</v>
      </c>
      <c r="B3" s="656" t="s">
        <v>501</v>
      </c>
      <c r="C3" s="656"/>
      <c r="D3" s="656"/>
      <c r="E3" s="292" t="s">
        <v>499</v>
      </c>
      <c r="F3" s="216"/>
    </row>
    <row r="4" spans="1:6" s="223" customFormat="1" ht="15.75" customHeight="1">
      <c r="A4" s="220"/>
      <c r="B4" s="220"/>
      <c r="C4" s="221"/>
      <c r="D4" s="221"/>
      <c r="E4" s="221" t="s">
        <v>502</v>
      </c>
      <c r="F4" s="222"/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6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  <c r="F6" s="232"/>
    </row>
    <row r="7" spans="1:6" s="233" customFormat="1" ht="15.75" customHeight="1">
      <c r="A7" s="657" t="s">
        <v>372</v>
      </c>
      <c r="B7" s="657"/>
      <c r="C7" s="657"/>
      <c r="D7" s="657"/>
      <c r="E7" s="657"/>
      <c r="F7" s="232"/>
    </row>
    <row r="8" spans="1:6" s="235" customFormat="1" ht="12" customHeight="1">
      <c r="A8" s="228" t="s">
        <v>50</v>
      </c>
      <c r="B8" s="293" t="s">
        <v>527</v>
      </c>
      <c r="C8" s="116">
        <v>7200000</v>
      </c>
      <c r="D8" s="294">
        <v>7210254</v>
      </c>
      <c r="E8" s="295">
        <v>7210254</v>
      </c>
      <c r="F8" s="232" t="s">
        <v>52</v>
      </c>
    </row>
    <row r="9" spans="1:6" s="235" customFormat="1" ht="12" customHeight="1">
      <c r="A9" s="296" t="s">
        <v>53</v>
      </c>
      <c r="B9" s="60" t="s">
        <v>138</v>
      </c>
      <c r="C9" s="297">
        <v>0</v>
      </c>
      <c r="D9" s="298">
        <v>0</v>
      </c>
      <c r="E9" s="299">
        <v>0</v>
      </c>
      <c r="F9" s="232" t="s">
        <v>55</v>
      </c>
    </row>
    <row r="10" spans="1:6" s="235" customFormat="1" ht="12" customHeight="1">
      <c r="A10" s="300" t="s">
        <v>56</v>
      </c>
      <c r="B10" s="62" t="s">
        <v>141</v>
      </c>
      <c r="C10" s="105">
        <v>7200000</v>
      </c>
      <c r="D10" s="301">
        <v>7200000</v>
      </c>
      <c r="E10" s="130">
        <v>7200000</v>
      </c>
      <c r="F10" s="232" t="s">
        <v>58</v>
      </c>
    </row>
    <row r="11" spans="1:6" s="235" customFormat="1" ht="12" customHeight="1">
      <c r="A11" s="300" t="s">
        <v>59</v>
      </c>
      <c r="B11" s="62" t="s">
        <v>144</v>
      </c>
      <c r="C11" s="105">
        <v>0</v>
      </c>
      <c r="D11" s="301">
        <v>0</v>
      </c>
      <c r="E11" s="130">
        <v>0</v>
      </c>
      <c r="F11" s="232" t="s">
        <v>61</v>
      </c>
    </row>
    <row r="12" spans="1:6" s="235" customFormat="1" ht="12" customHeight="1">
      <c r="A12" s="300" t="s">
        <v>62</v>
      </c>
      <c r="B12" s="62" t="s">
        <v>147</v>
      </c>
      <c r="C12" s="105"/>
      <c r="D12" s="301">
        <v>0</v>
      </c>
      <c r="E12" s="130"/>
      <c r="F12" s="232" t="s">
        <v>64</v>
      </c>
    </row>
    <row r="13" spans="1:6" s="235" customFormat="1" ht="12" customHeight="1">
      <c r="A13" s="300" t="s">
        <v>65</v>
      </c>
      <c r="B13" s="62" t="s">
        <v>150</v>
      </c>
      <c r="C13" s="105">
        <v>0</v>
      </c>
      <c r="D13" s="301">
        <v>0</v>
      </c>
      <c r="E13" s="130">
        <v>0</v>
      </c>
      <c r="F13" s="232" t="s">
        <v>67</v>
      </c>
    </row>
    <row r="14" spans="1:6" s="235" customFormat="1" ht="12" customHeight="1">
      <c r="A14" s="300" t="s">
        <v>68</v>
      </c>
      <c r="B14" s="62" t="s">
        <v>528</v>
      </c>
      <c r="C14" s="105">
        <v>0</v>
      </c>
      <c r="D14" s="301">
        <v>0</v>
      </c>
      <c r="E14" s="130">
        <v>0</v>
      </c>
      <c r="F14" s="232" t="s">
        <v>70</v>
      </c>
    </row>
    <row r="15" spans="1:6" s="237" customFormat="1" ht="12" customHeight="1">
      <c r="A15" s="300" t="s">
        <v>301</v>
      </c>
      <c r="B15" s="77" t="s">
        <v>529</v>
      </c>
      <c r="C15" s="105">
        <v>0</v>
      </c>
      <c r="D15" s="301">
        <v>0</v>
      </c>
      <c r="E15" s="130">
        <v>0</v>
      </c>
      <c r="F15" s="232" t="s">
        <v>73</v>
      </c>
    </row>
    <row r="16" spans="1:6" s="237" customFormat="1" ht="12" customHeight="1">
      <c r="A16" s="300" t="s">
        <v>303</v>
      </c>
      <c r="B16" s="62" t="s">
        <v>159</v>
      </c>
      <c r="C16" s="120">
        <v>0</v>
      </c>
      <c r="D16" s="302">
        <v>10254</v>
      </c>
      <c r="E16" s="303">
        <v>10254</v>
      </c>
      <c r="F16" s="232" t="s">
        <v>76</v>
      </c>
    </row>
    <row r="17" spans="1:6" s="235" customFormat="1" ht="12" customHeight="1">
      <c r="A17" s="300" t="s">
        <v>305</v>
      </c>
      <c r="B17" s="62" t="s">
        <v>162</v>
      </c>
      <c r="C17" s="105">
        <v>0</v>
      </c>
      <c r="D17" s="301">
        <v>0</v>
      </c>
      <c r="E17" s="130">
        <v>0</v>
      </c>
      <c r="F17" s="232" t="s">
        <v>79</v>
      </c>
    </row>
    <row r="18" spans="1:6" s="237" customFormat="1" ht="12" customHeight="1">
      <c r="A18" s="300" t="s">
        <v>307</v>
      </c>
      <c r="B18" s="77" t="s">
        <v>165</v>
      </c>
      <c r="C18" s="112">
        <v>0</v>
      </c>
      <c r="D18" s="304">
        <v>0</v>
      </c>
      <c r="E18" s="305">
        <v>0</v>
      </c>
      <c r="F18" s="232" t="s">
        <v>82</v>
      </c>
    </row>
    <row r="19" spans="1:6" s="237" customFormat="1" ht="12" customHeight="1">
      <c r="A19" s="228" t="s">
        <v>71</v>
      </c>
      <c r="B19" s="293" t="s">
        <v>530</v>
      </c>
      <c r="C19" s="116">
        <v>400000</v>
      </c>
      <c r="D19" s="294">
        <v>3720904</v>
      </c>
      <c r="E19" s="295">
        <v>3720904</v>
      </c>
      <c r="F19" s="232" t="s">
        <v>85</v>
      </c>
    </row>
    <row r="20" spans="1:6" s="237" customFormat="1" ht="12" customHeight="1">
      <c r="A20" s="300" t="s">
        <v>74</v>
      </c>
      <c r="B20" s="76" t="s">
        <v>75</v>
      </c>
      <c r="C20" s="105">
        <v>0</v>
      </c>
      <c r="D20" s="301">
        <v>0</v>
      </c>
      <c r="E20" s="130">
        <v>0</v>
      </c>
      <c r="F20" s="232" t="s">
        <v>88</v>
      </c>
    </row>
    <row r="21" spans="1:6" s="237" customFormat="1" ht="12" customHeight="1">
      <c r="A21" s="300" t="s">
        <v>77</v>
      </c>
      <c r="B21" s="62" t="s">
        <v>531</v>
      </c>
      <c r="C21" s="105">
        <v>0</v>
      </c>
      <c r="D21" s="301">
        <v>0</v>
      </c>
      <c r="E21" s="130">
        <v>0</v>
      </c>
      <c r="F21" s="232" t="s">
        <v>91</v>
      </c>
    </row>
    <row r="22" spans="1:6" s="237" customFormat="1" ht="12" customHeight="1">
      <c r="A22" s="300" t="s">
        <v>80</v>
      </c>
      <c r="B22" s="62" t="s">
        <v>532</v>
      </c>
      <c r="C22" s="105">
        <v>400000</v>
      </c>
      <c r="D22" s="301">
        <v>3720904</v>
      </c>
      <c r="E22" s="130">
        <v>3720904</v>
      </c>
      <c r="F22" s="232" t="s">
        <v>94</v>
      </c>
    </row>
    <row r="23" spans="1:6" s="237" customFormat="1" ht="12" customHeight="1">
      <c r="A23" s="300" t="s">
        <v>83</v>
      </c>
      <c r="B23" s="62" t="s">
        <v>533</v>
      </c>
      <c r="C23" s="105">
        <v>0</v>
      </c>
      <c r="D23" s="301">
        <v>0</v>
      </c>
      <c r="E23" s="130">
        <v>0</v>
      </c>
      <c r="F23" s="232" t="s">
        <v>97</v>
      </c>
    </row>
    <row r="24" spans="1:6" s="237" customFormat="1" ht="12" customHeight="1">
      <c r="A24" s="228" t="s">
        <v>92</v>
      </c>
      <c r="B24" s="20" t="s">
        <v>384</v>
      </c>
      <c r="C24" s="306">
        <v>0</v>
      </c>
      <c r="D24" s="307">
        <v>0</v>
      </c>
      <c r="E24" s="308">
        <v>0</v>
      </c>
      <c r="F24" s="232" t="s">
        <v>100</v>
      </c>
    </row>
    <row r="25" spans="1:6" s="237" customFormat="1" ht="12" customHeight="1">
      <c r="A25" s="228" t="s">
        <v>341</v>
      </c>
      <c r="B25" s="20" t="s">
        <v>534</v>
      </c>
      <c r="C25" s="116"/>
      <c r="D25" s="294"/>
      <c r="E25" s="295"/>
      <c r="F25" s="232" t="s">
        <v>103</v>
      </c>
    </row>
    <row r="26" spans="1:6" s="237" customFormat="1" ht="12" customHeight="1">
      <c r="A26" s="309" t="s">
        <v>116</v>
      </c>
      <c r="B26" s="76" t="s">
        <v>531</v>
      </c>
      <c r="C26" s="102">
        <v>0</v>
      </c>
      <c r="D26" s="310">
        <v>0</v>
      </c>
      <c r="E26" s="311">
        <v>0</v>
      </c>
      <c r="F26" s="232" t="s">
        <v>106</v>
      </c>
    </row>
    <row r="27" spans="1:6" s="237" customFormat="1" ht="12" customHeight="1">
      <c r="A27" s="309" t="s">
        <v>125</v>
      </c>
      <c r="B27" s="62" t="s">
        <v>535</v>
      </c>
      <c r="C27" s="120">
        <v>0</v>
      </c>
      <c r="D27" s="302">
        <v>0</v>
      </c>
      <c r="E27" s="303">
        <v>0</v>
      </c>
      <c r="F27" s="232" t="s">
        <v>109</v>
      </c>
    </row>
    <row r="28" spans="1:6" s="237" customFormat="1" ht="12" customHeight="1">
      <c r="A28" s="300" t="s">
        <v>128</v>
      </c>
      <c r="B28" s="312" t="s">
        <v>536</v>
      </c>
      <c r="C28" s="129">
        <v>0</v>
      </c>
      <c r="D28" s="313">
        <v>0</v>
      </c>
      <c r="E28" s="314">
        <v>0</v>
      </c>
      <c r="F28" s="232" t="s">
        <v>112</v>
      </c>
    </row>
    <row r="29" spans="1:6" s="237" customFormat="1" ht="12" customHeight="1">
      <c r="A29" s="228" t="s">
        <v>134</v>
      </c>
      <c r="B29" s="20" t="s">
        <v>537</v>
      </c>
      <c r="C29" s="116"/>
      <c r="D29" s="294"/>
      <c r="E29" s="295"/>
      <c r="F29" s="232" t="s">
        <v>115</v>
      </c>
    </row>
    <row r="30" spans="1:6" s="237" customFormat="1" ht="12" customHeight="1">
      <c r="A30" s="309" t="s">
        <v>137</v>
      </c>
      <c r="B30" s="76" t="s">
        <v>171</v>
      </c>
      <c r="C30" s="102">
        <v>0</v>
      </c>
      <c r="D30" s="310">
        <v>0</v>
      </c>
      <c r="E30" s="311">
        <v>0</v>
      </c>
      <c r="F30" s="232" t="s">
        <v>118</v>
      </c>
    </row>
    <row r="31" spans="1:6" s="237" customFormat="1" ht="12" customHeight="1">
      <c r="A31" s="309" t="s">
        <v>140</v>
      </c>
      <c r="B31" s="62" t="s">
        <v>174</v>
      </c>
      <c r="C31" s="120">
        <v>0</v>
      </c>
      <c r="D31" s="302">
        <v>0</v>
      </c>
      <c r="E31" s="303">
        <v>0</v>
      </c>
      <c r="F31" s="232" t="s">
        <v>121</v>
      </c>
    </row>
    <row r="32" spans="1:6" s="237" customFormat="1" ht="12" customHeight="1">
      <c r="A32" s="300" t="s">
        <v>143</v>
      </c>
      <c r="B32" s="312" t="s">
        <v>177</v>
      </c>
      <c r="C32" s="129">
        <v>0</v>
      </c>
      <c r="D32" s="313">
        <v>0</v>
      </c>
      <c r="E32" s="314">
        <v>0</v>
      </c>
      <c r="F32" s="232" t="s">
        <v>124</v>
      </c>
    </row>
    <row r="33" spans="1:6" s="237" customFormat="1" ht="12" customHeight="1">
      <c r="A33" s="228" t="s">
        <v>167</v>
      </c>
      <c r="B33" s="20" t="s">
        <v>385</v>
      </c>
      <c r="C33" s="306">
        <v>0</v>
      </c>
      <c r="D33" s="307">
        <v>0</v>
      </c>
      <c r="E33" s="308">
        <v>0</v>
      </c>
      <c r="F33" s="232" t="s">
        <v>127</v>
      </c>
    </row>
    <row r="34" spans="1:6" s="235" customFormat="1" ht="12" customHeight="1">
      <c r="A34" s="228" t="s">
        <v>352</v>
      </c>
      <c r="B34" s="20" t="s">
        <v>538</v>
      </c>
      <c r="C34" s="306">
        <v>0</v>
      </c>
      <c r="D34" s="307">
        <v>0</v>
      </c>
      <c r="E34" s="308">
        <v>0</v>
      </c>
      <c r="F34" s="232" t="s">
        <v>130</v>
      </c>
    </row>
    <row r="35" spans="1:6" s="235" customFormat="1" ht="12" customHeight="1">
      <c r="A35" s="228" t="s">
        <v>200</v>
      </c>
      <c r="B35" s="20" t="s">
        <v>539</v>
      </c>
      <c r="C35" s="116">
        <f>C8+C19</f>
        <v>7600000</v>
      </c>
      <c r="D35" s="116">
        <f>D8+D19</f>
        <v>10931158</v>
      </c>
      <c r="E35" s="116">
        <f>E8+E19</f>
        <v>10931158</v>
      </c>
      <c r="F35" s="232" t="s">
        <v>133</v>
      </c>
    </row>
    <row r="36" spans="1:6" s="235" customFormat="1" ht="12" customHeight="1">
      <c r="A36" s="315" t="s">
        <v>215</v>
      </c>
      <c r="B36" s="20" t="s">
        <v>540</v>
      </c>
      <c r="C36" s="116">
        <f>C37+C39</f>
        <v>67365458</v>
      </c>
      <c r="D36" s="116">
        <f>D37+D39</f>
        <v>66582153</v>
      </c>
      <c r="E36" s="116">
        <f>E37+E39</f>
        <v>66582153</v>
      </c>
      <c r="F36" s="232" t="s">
        <v>136</v>
      </c>
    </row>
    <row r="37" spans="1:6" s="235" customFormat="1" ht="12" customHeight="1">
      <c r="A37" s="309" t="s">
        <v>541</v>
      </c>
      <c r="B37" s="76" t="s">
        <v>440</v>
      </c>
      <c r="C37" s="102">
        <v>5465458</v>
      </c>
      <c r="D37" s="310">
        <v>5465458</v>
      </c>
      <c r="E37" s="311">
        <v>5465458</v>
      </c>
      <c r="F37" s="232" t="s">
        <v>139</v>
      </c>
    </row>
    <row r="38" spans="1:6" s="237" customFormat="1" ht="12" customHeight="1">
      <c r="A38" s="309" t="s">
        <v>542</v>
      </c>
      <c r="B38" s="62" t="s">
        <v>543</v>
      </c>
      <c r="C38" s="120">
        <v>0</v>
      </c>
      <c r="D38" s="302">
        <v>0</v>
      </c>
      <c r="E38" s="303">
        <v>0</v>
      </c>
      <c r="F38" s="232" t="s">
        <v>142</v>
      </c>
    </row>
    <row r="39" spans="1:6" s="237" customFormat="1" ht="12" customHeight="1">
      <c r="A39" s="300" t="s">
        <v>544</v>
      </c>
      <c r="B39" s="312" t="s">
        <v>545</v>
      </c>
      <c r="C39" s="129">
        <v>61900000</v>
      </c>
      <c r="D39" s="313">
        <v>61116695</v>
      </c>
      <c r="E39" s="314">
        <v>61116695</v>
      </c>
      <c r="F39" s="232" t="s">
        <v>145</v>
      </c>
    </row>
    <row r="40" spans="1:6" s="237" customFormat="1" ht="15" customHeight="1">
      <c r="A40" s="315" t="s">
        <v>364</v>
      </c>
      <c r="B40" s="316" t="s">
        <v>546</v>
      </c>
      <c r="C40" s="116">
        <f>C35+C36</f>
        <v>74965458</v>
      </c>
      <c r="D40" s="116">
        <f>D35+D36</f>
        <v>77513311</v>
      </c>
      <c r="E40" s="116">
        <f>E35+E36</f>
        <v>77513311</v>
      </c>
      <c r="F40" s="232" t="s">
        <v>148</v>
      </c>
    </row>
    <row r="41" spans="1:6" s="237" customFormat="1" ht="15" customHeight="1">
      <c r="A41" s="251"/>
      <c r="B41" s="252"/>
      <c r="C41" s="253"/>
      <c r="D41" s="253"/>
      <c r="E41" s="253"/>
      <c r="F41" s="232"/>
    </row>
    <row r="42" spans="1:6" ht="15">
      <c r="A42" s="255"/>
      <c r="B42" s="256"/>
      <c r="C42" s="257"/>
      <c r="D42" s="257"/>
      <c r="E42" s="257"/>
      <c r="F42" s="232"/>
    </row>
    <row r="43" spans="1:5" s="233" customFormat="1" ht="16.5" customHeight="1">
      <c r="A43" s="657" t="s">
        <v>373</v>
      </c>
      <c r="B43" s="657"/>
      <c r="C43" s="657"/>
      <c r="D43" s="657"/>
      <c r="E43" s="657"/>
    </row>
    <row r="44" spans="1:6" s="261" customFormat="1" ht="12" customHeight="1">
      <c r="A44" s="228" t="s">
        <v>50</v>
      </c>
      <c r="B44" s="20" t="s">
        <v>547</v>
      </c>
      <c r="C44" s="116">
        <f>SUM(C45:C49)</f>
        <v>69500000</v>
      </c>
      <c r="D44" s="116">
        <f>SUM(D45:D49)</f>
        <v>72047853</v>
      </c>
      <c r="E44" s="116">
        <f>SUM(E45:E49)</f>
        <v>67598590</v>
      </c>
      <c r="F44" s="232" t="s">
        <v>52</v>
      </c>
    </row>
    <row r="45" spans="1:6" ht="12" customHeight="1">
      <c r="A45" s="300" t="s">
        <v>53</v>
      </c>
      <c r="B45" s="76" t="s">
        <v>294</v>
      </c>
      <c r="C45" s="102">
        <v>55500000</v>
      </c>
      <c r="D45" s="102">
        <v>58322254</v>
      </c>
      <c r="E45" s="311">
        <v>54348904</v>
      </c>
      <c r="F45" s="232" t="s">
        <v>55</v>
      </c>
    </row>
    <row r="46" spans="1:6" ht="12" customHeight="1">
      <c r="A46" s="300" t="s">
        <v>56</v>
      </c>
      <c r="B46" s="62" t="s">
        <v>295</v>
      </c>
      <c r="C46" s="105">
        <v>11500000</v>
      </c>
      <c r="D46" s="105">
        <v>10640722</v>
      </c>
      <c r="E46" s="130">
        <v>10640722</v>
      </c>
      <c r="F46" s="232" t="s">
        <v>58</v>
      </c>
    </row>
    <row r="47" spans="1:6" ht="12" customHeight="1">
      <c r="A47" s="300" t="s">
        <v>59</v>
      </c>
      <c r="B47" s="62" t="s">
        <v>296</v>
      </c>
      <c r="C47" s="105">
        <v>2500000</v>
      </c>
      <c r="D47" s="105">
        <v>3084877</v>
      </c>
      <c r="E47" s="130">
        <v>2608964</v>
      </c>
      <c r="F47" s="232" t="s">
        <v>61</v>
      </c>
    </row>
    <row r="48" spans="1:6" ht="12" customHeight="1">
      <c r="A48" s="300" t="s">
        <v>62</v>
      </c>
      <c r="B48" s="62" t="s">
        <v>297</v>
      </c>
      <c r="C48" s="105">
        <v>0</v>
      </c>
      <c r="D48" s="105">
        <v>0</v>
      </c>
      <c r="E48" s="130">
        <v>0</v>
      </c>
      <c r="F48" s="232" t="s">
        <v>64</v>
      </c>
    </row>
    <row r="49" spans="1:6" ht="12" customHeight="1">
      <c r="A49" s="300" t="s">
        <v>65</v>
      </c>
      <c r="B49" s="62" t="s">
        <v>299</v>
      </c>
      <c r="C49" s="105"/>
      <c r="D49" s="105"/>
      <c r="E49" s="130">
        <v>0</v>
      </c>
      <c r="F49" s="232" t="s">
        <v>67</v>
      </c>
    </row>
    <row r="50" spans="1:6" ht="12" customHeight="1">
      <c r="A50" s="228" t="s">
        <v>71</v>
      </c>
      <c r="B50" s="20" t="s">
        <v>548</v>
      </c>
      <c r="C50" s="116">
        <v>0</v>
      </c>
      <c r="D50" s="116"/>
      <c r="E50" s="295"/>
      <c r="F50" s="232" t="s">
        <v>70</v>
      </c>
    </row>
    <row r="51" spans="1:6" s="261" customFormat="1" ht="12" customHeight="1">
      <c r="A51" s="300" t="s">
        <v>74</v>
      </c>
      <c r="B51" s="76" t="s">
        <v>320</v>
      </c>
      <c r="C51" s="102"/>
      <c r="D51" s="102"/>
      <c r="E51" s="311">
        <v>0</v>
      </c>
      <c r="F51" s="232" t="s">
        <v>73</v>
      </c>
    </row>
    <row r="52" spans="1:6" ht="12" customHeight="1">
      <c r="A52" s="300" t="s">
        <v>77</v>
      </c>
      <c r="B52" s="62" t="s">
        <v>322</v>
      </c>
      <c r="C52" s="105">
        <v>0</v>
      </c>
      <c r="D52" s="105">
        <v>0</v>
      </c>
      <c r="E52" s="130">
        <v>0</v>
      </c>
      <c r="F52" s="232" t="s">
        <v>76</v>
      </c>
    </row>
    <row r="53" spans="1:6" ht="12" customHeight="1">
      <c r="A53" s="300" t="s">
        <v>80</v>
      </c>
      <c r="B53" s="62" t="s">
        <v>549</v>
      </c>
      <c r="C53" s="105">
        <v>0</v>
      </c>
      <c r="D53" s="105">
        <v>0</v>
      </c>
      <c r="E53" s="130">
        <v>0</v>
      </c>
      <c r="F53" s="232" t="s">
        <v>79</v>
      </c>
    </row>
    <row r="54" spans="1:6" ht="12" customHeight="1">
      <c r="A54" s="300" t="s">
        <v>83</v>
      </c>
      <c r="B54" s="62" t="s">
        <v>550</v>
      </c>
      <c r="C54" s="105">
        <v>0</v>
      </c>
      <c r="D54" s="105">
        <v>0</v>
      </c>
      <c r="E54" s="130">
        <v>0</v>
      </c>
      <c r="F54" s="232" t="s">
        <v>82</v>
      </c>
    </row>
    <row r="55" spans="1:6" ht="12" customHeight="1">
      <c r="A55" s="228" t="s">
        <v>92</v>
      </c>
      <c r="B55" s="317" t="s">
        <v>551</v>
      </c>
      <c r="C55" s="116">
        <f>C44+C50</f>
        <v>69500000</v>
      </c>
      <c r="D55" s="116">
        <f>D44+D50</f>
        <v>72047853</v>
      </c>
      <c r="E55" s="116">
        <f>E44+E50</f>
        <v>67598590</v>
      </c>
      <c r="F55" s="232" t="s">
        <v>85</v>
      </c>
    </row>
    <row r="56" spans="3:6" ht="15">
      <c r="C56" s="207"/>
      <c r="D56" s="207"/>
      <c r="E56" s="207"/>
      <c r="F56" s="232"/>
    </row>
    <row r="57" spans="1:6" ht="15" customHeight="1">
      <c r="A57" s="274" t="s">
        <v>515</v>
      </c>
      <c r="B57" s="275"/>
      <c r="C57" s="276">
        <v>11</v>
      </c>
      <c r="D57" s="276">
        <v>11</v>
      </c>
      <c r="E57" s="318">
        <v>11</v>
      </c>
      <c r="F57" s="232"/>
    </row>
    <row r="58" spans="1:6" ht="14.25" customHeight="1">
      <c r="A58" s="274" t="s">
        <v>516</v>
      </c>
      <c r="B58" s="275"/>
      <c r="C58" s="276"/>
      <c r="D58" s="276"/>
      <c r="E58" s="318"/>
      <c r="F58" s="232"/>
    </row>
    <row r="59" ht="15">
      <c r="F59" s="232"/>
    </row>
    <row r="60" ht="15">
      <c r="F60" s="232"/>
    </row>
    <row r="61" ht="15">
      <c r="F61" s="232"/>
    </row>
    <row r="62" ht="15">
      <c r="F62" s="232"/>
    </row>
    <row r="63" ht="15">
      <c r="F63" s="232"/>
    </row>
    <row r="64" ht="15">
      <c r="F64" s="232"/>
    </row>
    <row r="65" ht="15">
      <c r="F65" s="232"/>
    </row>
    <row r="66" ht="15">
      <c r="F66" s="232"/>
    </row>
    <row r="67" ht="15">
      <c r="F67" s="232"/>
    </row>
    <row r="68" ht="15">
      <c r="F68" s="232"/>
    </row>
    <row r="69" ht="15">
      <c r="F69" s="232"/>
    </row>
    <row r="70" ht="15">
      <c r="F70" s="232"/>
    </row>
    <row r="71" ht="15">
      <c r="F71" s="232"/>
    </row>
    <row r="72" ht="15">
      <c r="F72" s="232"/>
    </row>
    <row r="73" ht="15">
      <c r="F73" s="232"/>
    </row>
    <row r="74" ht="15">
      <c r="F74" s="232"/>
    </row>
    <row r="75" ht="15">
      <c r="F75" s="232"/>
    </row>
    <row r="76" ht="15">
      <c r="F76" s="232"/>
    </row>
    <row r="77" ht="15">
      <c r="F77" s="232"/>
    </row>
    <row r="78" ht="15">
      <c r="F78" s="232"/>
    </row>
    <row r="79" ht="15">
      <c r="F79" s="232"/>
    </row>
    <row r="80" ht="15">
      <c r="F80" s="232"/>
    </row>
    <row r="81" ht="15">
      <c r="F81" s="232"/>
    </row>
    <row r="82" ht="15">
      <c r="F82" s="232"/>
    </row>
    <row r="83" ht="15">
      <c r="F83" s="232"/>
    </row>
    <row r="84" ht="15">
      <c r="F84" s="232"/>
    </row>
    <row r="85" ht="15">
      <c r="F85" s="232"/>
    </row>
    <row r="86" ht="15">
      <c r="F86" s="232"/>
    </row>
    <row r="87" ht="15">
      <c r="F87" s="232"/>
    </row>
    <row r="88" ht="13.5">
      <c r="F88" s="254"/>
    </row>
    <row r="90" ht="15">
      <c r="F90" s="232"/>
    </row>
    <row r="91" ht="12.75">
      <c r="F91" s="260"/>
    </row>
    <row r="92" ht="12.75">
      <c r="F92" s="260"/>
    </row>
    <row r="93" ht="12.75">
      <c r="F93" s="260"/>
    </row>
    <row r="94" ht="12.75">
      <c r="F94" s="260"/>
    </row>
    <row r="95" ht="12.75">
      <c r="F95" s="260"/>
    </row>
    <row r="96" ht="12.75">
      <c r="F96" s="260"/>
    </row>
    <row r="97" ht="12.75">
      <c r="F97" s="260"/>
    </row>
    <row r="98" ht="12.75">
      <c r="F98" s="260"/>
    </row>
    <row r="99" ht="12.75">
      <c r="F99" s="260"/>
    </row>
    <row r="100" ht="12.75">
      <c r="F100" s="260"/>
    </row>
    <row r="101" ht="12.75">
      <c r="F101" s="260"/>
    </row>
    <row r="102" ht="12.75">
      <c r="F102" s="260"/>
    </row>
    <row r="103" ht="12.75">
      <c r="F103" s="260"/>
    </row>
    <row r="104" ht="12.75">
      <c r="F104" s="260"/>
    </row>
    <row r="105" ht="12.75">
      <c r="F105" s="260"/>
    </row>
    <row r="106" ht="12.75">
      <c r="F106" s="260"/>
    </row>
    <row r="107" ht="12.75">
      <c r="F107" s="260"/>
    </row>
    <row r="108" ht="12.75">
      <c r="F108" s="260"/>
    </row>
    <row r="109" ht="12.75">
      <c r="F109" s="260"/>
    </row>
    <row r="110" ht="12.75">
      <c r="F110" s="260"/>
    </row>
    <row r="111" ht="12.75">
      <c r="F111" s="260"/>
    </row>
    <row r="112" ht="12.75">
      <c r="F112" s="260"/>
    </row>
    <row r="113" ht="12.75">
      <c r="F113" s="260"/>
    </row>
    <row r="114" ht="12.75">
      <c r="F114" s="260"/>
    </row>
    <row r="115" ht="12.75">
      <c r="F115" s="260"/>
    </row>
    <row r="116" ht="12.75">
      <c r="F116" s="260"/>
    </row>
    <row r="117" ht="12.75">
      <c r="F117" s="260"/>
    </row>
    <row r="118" ht="12.75">
      <c r="F118" s="260"/>
    </row>
    <row r="119" ht="12.75">
      <c r="F119" s="260"/>
    </row>
    <row r="120" ht="12.75">
      <c r="F120" s="260"/>
    </row>
    <row r="121" ht="12.75">
      <c r="F121" s="260"/>
    </row>
    <row r="122" ht="12.75">
      <c r="F122" s="260"/>
    </row>
    <row r="123" ht="12.75">
      <c r="F123" s="260"/>
    </row>
    <row r="124" ht="12.75">
      <c r="F124" s="260"/>
    </row>
    <row r="125" ht="12.75">
      <c r="F125" s="260"/>
    </row>
    <row r="126" ht="12.75">
      <c r="F126" s="260"/>
    </row>
    <row r="127" ht="12.75">
      <c r="F127" s="260"/>
    </row>
    <row r="128" ht="12.75">
      <c r="F128" s="260"/>
    </row>
    <row r="129" ht="12.75">
      <c r="F129" s="260"/>
    </row>
    <row r="130" ht="12.75">
      <c r="F130" s="260"/>
    </row>
    <row r="131" ht="12.75">
      <c r="F131" s="260"/>
    </row>
    <row r="132" ht="12.75">
      <c r="F132" s="260"/>
    </row>
    <row r="133" ht="12.75">
      <c r="F133" s="260"/>
    </row>
    <row r="134" ht="12.75">
      <c r="F134" s="260"/>
    </row>
    <row r="135" ht="12.75">
      <c r="F135" s="260"/>
    </row>
    <row r="136" ht="12.75">
      <c r="F136" s="260"/>
    </row>
    <row r="137" ht="12.75">
      <c r="F137" s="260"/>
    </row>
    <row r="138" ht="12.75">
      <c r="F138" s="260"/>
    </row>
    <row r="139" ht="12.75">
      <c r="F139" s="260"/>
    </row>
    <row r="140" ht="12.75">
      <c r="F140" s="260"/>
    </row>
    <row r="141" ht="12.75">
      <c r="F141" s="260"/>
    </row>
    <row r="142" ht="12.75">
      <c r="F142" s="260"/>
    </row>
    <row r="143" ht="12.75">
      <c r="F143" s="260"/>
    </row>
    <row r="144" ht="12.75">
      <c r="F144" s="260"/>
    </row>
    <row r="145" ht="12.75">
      <c r="F145" s="260"/>
    </row>
    <row r="146" ht="12.75">
      <c r="F146" s="260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6"/>
  <sheetViews>
    <sheetView zoomScaleSheetLayoutView="115" zoomScalePageLayoutView="0" workbookViewId="0" topLeftCell="A1">
      <selection activeCell="E2" sqref="E2"/>
    </sheetView>
  </sheetViews>
  <sheetFormatPr defaultColWidth="9.375" defaultRowHeight="12.75"/>
  <cols>
    <col min="1" max="1" width="16.00390625" style="205" customWidth="1"/>
    <col min="2" max="2" width="59.375" style="206" customWidth="1"/>
    <col min="3" max="5" width="15.75390625" style="206" customWidth="1"/>
    <col min="6" max="6" width="0" style="86" hidden="1" customWidth="1"/>
    <col min="7" max="7" width="9.375" style="206" customWidth="1"/>
    <col min="8" max="8" width="9.50390625" style="206" bestFit="1" customWidth="1"/>
    <col min="9" max="16384" width="9.375" style="206" customWidth="1"/>
  </cols>
  <sheetData>
    <row r="1" spans="1:6" s="213" customFormat="1" ht="21" customHeight="1">
      <c r="A1" s="208"/>
      <c r="B1" s="209"/>
      <c r="C1" s="210"/>
      <c r="D1" s="210"/>
      <c r="E1" s="290" t="str">
        <f>+CONCATENATE("7.2. melléklet a 6/",LEFT(ÖSSZEFÜGGÉSEK!A4,4)+1,". (VII.17.) önkormányzati rendelethez")</f>
        <v>7.2. melléklet a 6/2020. (VII.17.) önkormányzati rendelethez</v>
      </c>
      <c r="F1" s="212"/>
    </row>
    <row r="2" spans="1:6" s="217" customFormat="1" ht="25.5" customHeight="1">
      <c r="A2" s="214" t="s">
        <v>524</v>
      </c>
      <c r="B2" s="655" t="s">
        <v>525</v>
      </c>
      <c r="C2" s="655"/>
      <c r="D2" s="655"/>
      <c r="E2" s="291" t="s">
        <v>518</v>
      </c>
      <c r="F2" s="216"/>
    </row>
    <row r="3" spans="1:6" s="217" customFormat="1" ht="22.5">
      <c r="A3" s="218" t="s">
        <v>526</v>
      </c>
      <c r="B3" s="656" t="s">
        <v>517</v>
      </c>
      <c r="C3" s="656"/>
      <c r="D3" s="656"/>
      <c r="E3" s="292" t="s">
        <v>518</v>
      </c>
      <c r="F3" s="216"/>
    </row>
    <row r="4" spans="1:6" s="223" customFormat="1" ht="15.75" customHeight="1">
      <c r="A4" s="220"/>
      <c r="B4" s="220"/>
      <c r="C4" s="221"/>
      <c r="D4" s="221"/>
      <c r="E4" s="221" t="s">
        <v>502</v>
      </c>
      <c r="F4" s="222"/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6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  <c r="F6" s="232"/>
    </row>
    <row r="7" spans="1:6" s="233" customFormat="1" ht="15.75" customHeight="1">
      <c r="A7" s="657" t="s">
        <v>372</v>
      </c>
      <c r="B7" s="657"/>
      <c r="C7" s="657"/>
      <c r="D7" s="657"/>
      <c r="E7" s="657"/>
      <c r="F7" s="232"/>
    </row>
    <row r="8" spans="1:6" s="235" customFormat="1" ht="12" customHeight="1">
      <c r="A8" s="228" t="s">
        <v>50</v>
      </c>
      <c r="B8" s="293" t="s">
        <v>527</v>
      </c>
      <c r="C8" s="116">
        <v>7200000</v>
      </c>
      <c r="D8" s="294">
        <v>7210254</v>
      </c>
      <c r="E8" s="295">
        <v>7210254</v>
      </c>
      <c r="F8" s="232" t="s">
        <v>52</v>
      </c>
    </row>
    <row r="9" spans="1:6" s="235" customFormat="1" ht="12" customHeight="1">
      <c r="A9" s="296" t="s">
        <v>53</v>
      </c>
      <c r="B9" s="60" t="s">
        <v>138</v>
      </c>
      <c r="C9" s="297">
        <v>0</v>
      </c>
      <c r="D9" s="298">
        <v>0</v>
      </c>
      <c r="E9" s="299">
        <v>0</v>
      </c>
      <c r="F9" s="232" t="s">
        <v>55</v>
      </c>
    </row>
    <row r="10" spans="1:6" s="235" customFormat="1" ht="12" customHeight="1">
      <c r="A10" s="300" t="s">
        <v>56</v>
      </c>
      <c r="B10" s="62" t="s">
        <v>141</v>
      </c>
      <c r="C10" s="105">
        <v>7200000</v>
      </c>
      <c r="D10" s="301">
        <v>7200000</v>
      </c>
      <c r="E10" s="130">
        <v>7200000</v>
      </c>
      <c r="F10" s="232" t="s">
        <v>58</v>
      </c>
    </row>
    <row r="11" spans="1:6" s="235" customFormat="1" ht="12" customHeight="1">
      <c r="A11" s="300" t="s">
        <v>59</v>
      </c>
      <c r="B11" s="62" t="s">
        <v>144</v>
      </c>
      <c r="C11" s="105">
        <v>0</v>
      </c>
      <c r="D11" s="301">
        <v>0</v>
      </c>
      <c r="E11" s="130">
        <v>0</v>
      </c>
      <c r="F11" s="232" t="s">
        <v>61</v>
      </c>
    </row>
    <row r="12" spans="1:6" s="235" customFormat="1" ht="12" customHeight="1">
      <c r="A12" s="300" t="s">
        <v>62</v>
      </c>
      <c r="B12" s="62" t="s">
        <v>147</v>
      </c>
      <c r="C12" s="105"/>
      <c r="D12" s="301">
        <v>0</v>
      </c>
      <c r="E12" s="130"/>
      <c r="F12" s="232" t="s">
        <v>64</v>
      </c>
    </row>
    <row r="13" spans="1:6" s="235" customFormat="1" ht="12" customHeight="1">
      <c r="A13" s="300" t="s">
        <v>65</v>
      </c>
      <c r="B13" s="62" t="s">
        <v>150</v>
      </c>
      <c r="C13" s="105">
        <v>0</v>
      </c>
      <c r="D13" s="301">
        <v>0</v>
      </c>
      <c r="E13" s="130">
        <v>0</v>
      </c>
      <c r="F13" s="232" t="s">
        <v>67</v>
      </c>
    </row>
    <row r="14" spans="1:6" s="235" customFormat="1" ht="12" customHeight="1">
      <c r="A14" s="300" t="s">
        <v>68</v>
      </c>
      <c r="B14" s="62" t="s">
        <v>528</v>
      </c>
      <c r="C14" s="105">
        <v>0</v>
      </c>
      <c r="D14" s="301">
        <v>0</v>
      </c>
      <c r="E14" s="130">
        <v>0</v>
      </c>
      <c r="F14" s="232" t="s">
        <v>70</v>
      </c>
    </row>
    <row r="15" spans="1:6" s="237" customFormat="1" ht="12" customHeight="1">
      <c r="A15" s="300" t="s">
        <v>301</v>
      </c>
      <c r="B15" s="77" t="s">
        <v>529</v>
      </c>
      <c r="C15" s="105">
        <v>0</v>
      </c>
      <c r="D15" s="301">
        <v>0</v>
      </c>
      <c r="E15" s="130">
        <v>0</v>
      </c>
      <c r="F15" s="232" t="s">
        <v>73</v>
      </c>
    </row>
    <row r="16" spans="1:6" s="237" customFormat="1" ht="12" customHeight="1">
      <c r="A16" s="300" t="s">
        <v>303</v>
      </c>
      <c r="B16" s="62" t="s">
        <v>159</v>
      </c>
      <c r="C16" s="120">
        <v>0</v>
      </c>
      <c r="D16" s="302">
        <v>10254</v>
      </c>
      <c r="E16" s="303">
        <v>10254</v>
      </c>
      <c r="F16" s="232" t="s">
        <v>76</v>
      </c>
    </row>
    <row r="17" spans="1:6" s="235" customFormat="1" ht="12" customHeight="1">
      <c r="A17" s="300" t="s">
        <v>305</v>
      </c>
      <c r="B17" s="62" t="s">
        <v>162</v>
      </c>
      <c r="C17" s="105">
        <v>0</v>
      </c>
      <c r="D17" s="301">
        <v>0</v>
      </c>
      <c r="E17" s="130">
        <v>0</v>
      </c>
      <c r="F17" s="232" t="s">
        <v>79</v>
      </c>
    </row>
    <row r="18" spans="1:6" s="237" customFormat="1" ht="12" customHeight="1">
      <c r="A18" s="300" t="s">
        <v>307</v>
      </c>
      <c r="B18" s="77" t="s">
        <v>165</v>
      </c>
      <c r="C18" s="112">
        <v>0</v>
      </c>
      <c r="D18" s="304">
        <v>0</v>
      </c>
      <c r="E18" s="305">
        <v>0</v>
      </c>
      <c r="F18" s="232" t="s">
        <v>82</v>
      </c>
    </row>
    <row r="19" spans="1:6" s="237" customFormat="1" ht="12" customHeight="1">
      <c r="A19" s="228" t="s">
        <v>71</v>
      </c>
      <c r="B19" s="293" t="s">
        <v>530</v>
      </c>
      <c r="C19" s="116">
        <v>400000</v>
      </c>
      <c r="D19" s="294">
        <v>3720904</v>
      </c>
      <c r="E19" s="295">
        <v>3720904</v>
      </c>
      <c r="F19" s="232" t="s">
        <v>85</v>
      </c>
    </row>
    <row r="20" spans="1:6" s="237" customFormat="1" ht="12" customHeight="1">
      <c r="A20" s="300" t="s">
        <v>74</v>
      </c>
      <c r="B20" s="76" t="s">
        <v>75</v>
      </c>
      <c r="C20" s="105">
        <v>0</v>
      </c>
      <c r="D20" s="301">
        <v>0</v>
      </c>
      <c r="E20" s="130">
        <v>0</v>
      </c>
      <c r="F20" s="232" t="s">
        <v>88</v>
      </c>
    </row>
    <row r="21" spans="1:6" s="237" customFormat="1" ht="12" customHeight="1">
      <c r="A21" s="300" t="s">
        <v>77</v>
      </c>
      <c r="B21" s="62" t="s">
        <v>531</v>
      </c>
      <c r="C21" s="105">
        <v>0</v>
      </c>
      <c r="D21" s="301">
        <v>0</v>
      </c>
      <c r="E21" s="130">
        <v>0</v>
      </c>
      <c r="F21" s="232" t="s">
        <v>91</v>
      </c>
    </row>
    <row r="22" spans="1:6" s="237" customFormat="1" ht="12" customHeight="1">
      <c r="A22" s="300" t="s">
        <v>80</v>
      </c>
      <c r="B22" s="62" t="s">
        <v>532</v>
      </c>
      <c r="C22" s="105">
        <v>400000</v>
      </c>
      <c r="D22" s="301">
        <v>3720904</v>
      </c>
      <c r="E22" s="130">
        <v>3720904</v>
      </c>
      <c r="F22" s="232" t="s">
        <v>94</v>
      </c>
    </row>
    <row r="23" spans="1:6" s="237" customFormat="1" ht="12" customHeight="1">
      <c r="A23" s="300" t="s">
        <v>83</v>
      </c>
      <c r="B23" s="62" t="s">
        <v>533</v>
      </c>
      <c r="C23" s="105">
        <v>0</v>
      </c>
      <c r="D23" s="301">
        <v>0</v>
      </c>
      <c r="E23" s="130">
        <v>0</v>
      </c>
      <c r="F23" s="232" t="s">
        <v>97</v>
      </c>
    </row>
    <row r="24" spans="1:6" s="237" customFormat="1" ht="12" customHeight="1">
      <c r="A24" s="228" t="s">
        <v>92</v>
      </c>
      <c r="B24" s="20" t="s">
        <v>384</v>
      </c>
      <c r="C24" s="306">
        <v>0</v>
      </c>
      <c r="D24" s="307">
        <v>0</v>
      </c>
      <c r="E24" s="308">
        <v>0</v>
      </c>
      <c r="F24" s="232" t="s">
        <v>100</v>
      </c>
    </row>
    <row r="25" spans="1:6" s="237" customFormat="1" ht="12" customHeight="1">
      <c r="A25" s="228" t="s">
        <v>341</v>
      </c>
      <c r="B25" s="20" t="s">
        <v>534</v>
      </c>
      <c r="C25" s="116"/>
      <c r="D25" s="294"/>
      <c r="E25" s="295"/>
      <c r="F25" s="232" t="s">
        <v>103</v>
      </c>
    </row>
    <row r="26" spans="1:6" s="237" customFormat="1" ht="12" customHeight="1">
      <c r="A26" s="309" t="s">
        <v>116</v>
      </c>
      <c r="B26" s="76" t="s">
        <v>531</v>
      </c>
      <c r="C26" s="102">
        <v>0</v>
      </c>
      <c r="D26" s="310">
        <v>0</v>
      </c>
      <c r="E26" s="311">
        <v>0</v>
      </c>
      <c r="F26" s="232" t="s">
        <v>106</v>
      </c>
    </row>
    <row r="27" spans="1:6" s="237" customFormat="1" ht="12" customHeight="1">
      <c r="A27" s="309" t="s">
        <v>125</v>
      </c>
      <c r="B27" s="62" t="s">
        <v>535</v>
      </c>
      <c r="C27" s="120">
        <v>0</v>
      </c>
      <c r="D27" s="302">
        <v>0</v>
      </c>
      <c r="E27" s="303">
        <v>0</v>
      </c>
      <c r="F27" s="232" t="s">
        <v>109</v>
      </c>
    </row>
    <row r="28" spans="1:6" s="237" customFormat="1" ht="12" customHeight="1">
      <c r="A28" s="300" t="s">
        <v>128</v>
      </c>
      <c r="B28" s="312" t="s">
        <v>536</v>
      </c>
      <c r="C28" s="129">
        <v>0</v>
      </c>
      <c r="D28" s="313">
        <v>0</v>
      </c>
      <c r="E28" s="314">
        <v>0</v>
      </c>
      <c r="F28" s="232" t="s">
        <v>112</v>
      </c>
    </row>
    <row r="29" spans="1:6" s="237" customFormat="1" ht="12" customHeight="1">
      <c r="A29" s="228" t="s">
        <v>134</v>
      </c>
      <c r="B29" s="20" t="s">
        <v>537</v>
      </c>
      <c r="C29" s="116"/>
      <c r="D29" s="294"/>
      <c r="E29" s="295"/>
      <c r="F29" s="232" t="s">
        <v>115</v>
      </c>
    </row>
    <row r="30" spans="1:6" s="237" customFormat="1" ht="12" customHeight="1">
      <c r="A30" s="309" t="s">
        <v>137</v>
      </c>
      <c r="B30" s="76" t="s">
        <v>171</v>
      </c>
      <c r="C30" s="102">
        <v>0</v>
      </c>
      <c r="D30" s="310">
        <v>0</v>
      </c>
      <c r="E30" s="311">
        <v>0</v>
      </c>
      <c r="F30" s="232" t="s">
        <v>118</v>
      </c>
    </row>
    <row r="31" spans="1:6" s="237" customFormat="1" ht="12" customHeight="1">
      <c r="A31" s="309" t="s">
        <v>140</v>
      </c>
      <c r="B31" s="62" t="s">
        <v>174</v>
      </c>
      <c r="C31" s="120">
        <v>0</v>
      </c>
      <c r="D31" s="302">
        <v>0</v>
      </c>
      <c r="E31" s="303">
        <v>0</v>
      </c>
      <c r="F31" s="232" t="s">
        <v>121</v>
      </c>
    </row>
    <row r="32" spans="1:6" s="237" customFormat="1" ht="12" customHeight="1">
      <c r="A32" s="300" t="s">
        <v>143</v>
      </c>
      <c r="B32" s="312" t="s">
        <v>177</v>
      </c>
      <c r="C32" s="129">
        <v>0</v>
      </c>
      <c r="D32" s="313">
        <v>0</v>
      </c>
      <c r="E32" s="314">
        <v>0</v>
      </c>
      <c r="F32" s="232" t="s">
        <v>124</v>
      </c>
    </row>
    <row r="33" spans="1:6" s="237" customFormat="1" ht="12" customHeight="1">
      <c r="A33" s="228" t="s">
        <v>167</v>
      </c>
      <c r="B33" s="20" t="s">
        <v>385</v>
      </c>
      <c r="C33" s="306">
        <v>0</v>
      </c>
      <c r="D33" s="307">
        <v>0</v>
      </c>
      <c r="E33" s="308">
        <v>0</v>
      </c>
      <c r="F33" s="232" t="s">
        <v>127</v>
      </c>
    </row>
    <row r="34" spans="1:6" s="235" customFormat="1" ht="12" customHeight="1">
      <c r="A34" s="228" t="s">
        <v>352</v>
      </c>
      <c r="B34" s="20" t="s">
        <v>538</v>
      </c>
      <c r="C34" s="306">
        <v>0</v>
      </c>
      <c r="D34" s="307">
        <v>0</v>
      </c>
      <c r="E34" s="308">
        <v>0</v>
      </c>
      <c r="F34" s="232" t="s">
        <v>130</v>
      </c>
    </row>
    <row r="35" spans="1:6" s="235" customFormat="1" ht="12" customHeight="1">
      <c r="A35" s="228" t="s">
        <v>200</v>
      </c>
      <c r="B35" s="20" t="s">
        <v>539</v>
      </c>
      <c r="C35" s="116">
        <f>C8+C19</f>
        <v>7600000</v>
      </c>
      <c r="D35" s="116">
        <f>D8+D19</f>
        <v>10931158</v>
      </c>
      <c r="E35" s="116">
        <f>E8+E19</f>
        <v>10931158</v>
      </c>
      <c r="F35" s="232" t="s">
        <v>133</v>
      </c>
    </row>
    <row r="36" spans="1:6" s="235" customFormat="1" ht="12" customHeight="1">
      <c r="A36" s="315" t="s">
        <v>215</v>
      </c>
      <c r="B36" s="20" t="s">
        <v>540</v>
      </c>
      <c r="C36" s="116">
        <f>C37+C39</f>
        <v>67365458</v>
      </c>
      <c r="D36" s="116">
        <f>D37+D39</f>
        <v>66582153</v>
      </c>
      <c r="E36" s="116">
        <f>E37+E39</f>
        <v>66582153</v>
      </c>
      <c r="F36" s="232" t="s">
        <v>136</v>
      </c>
    </row>
    <row r="37" spans="1:6" s="235" customFormat="1" ht="12" customHeight="1">
      <c r="A37" s="309" t="s">
        <v>541</v>
      </c>
      <c r="B37" s="76" t="s">
        <v>440</v>
      </c>
      <c r="C37" s="102">
        <v>5465458</v>
      </c>
      <c r="D37" s="310">
        <v>5465458</v>
      </c>
      <c r="E37" s="311">
        <v>5465458</v>
      </c>
      <c r="F37" s="232" t="s">
        <v>139</v>
      </c>
    </row>
    <row r="38" spans="1:6" s="237" customFormat="1" ht="12" customHeight="1">
      <c r="A38" s="309" t="s">
        <v>542</v>
      </c>
      <c r="B38" s="62" t="s">
        <v>543</v>
      </c>
      <c r="C38" s="120">
        <v>0</v>
      </c>
      <c r="D38" s="302">
        <v>0</v>
      </c>
      <c r="E38" s="303">
        <v>0</v>
      </c>
      <c r="F38" s="232" t="s">
        <v>142</v>
      </c>
    </row>
    <row r="39" spans="1:6" s="237" customFormat="1" ht="12" customHeight="1">
      <c r="A39" s="300" t="s">
        <v>544</v>
      </c>
      <c r="B39" s="312" t="s">
        <v>545</v>
      </c>
      <c r="C39" s="129">
        <v>61900000</v>
      </c>
      <c r="D39" s="313">
        <v>61116695</v>
      </c>
      <c r="E39" s="314">
        <v>61116695</v>
      </c>
      <c r="F39" s="232" t="s">
        <v>145</v>
      </c>
    </row>
    <row r="40" spans="1:6" s="237" customFormat="1" ht="15" customHeight="1">
      <c r="A40" s="315" t="s">
        <v>364</v>
      </c>
      <c r="B40" s="316" t="s">
        <v>546</v>
      </c>
      <c r="C40" s="116">
        <f>C35+C36</f>
        <v>74965458</v>
      </c>
      <c r="D40" s="116">
        <f>D35+D36</f>
        <v>77513311</v>
      </c>
      <c r="E40" s="116">
        <f>E35+E36</f>
        <v>77513311</v>
      </c>
      <c r="F40" s="232" t="s">
        <v>148</v>
      </c>
    </row>
    <row r="41" spans="1:6" s="237" customFormat="1" ht="15" customHeight="1">
      <c r="A41" s="251"/>
      <c r="B41" s="252"/>
      <c r="C41" s="253"/>
      <c r="D41" s="253"/>
      <c r="E41" s="253"/>
      <c r="F41" s="232"/>
    </row>
    <row r="42" spans="1:6" ht="15">
      <c r="A42" s="255"/>
      <c r="B42" s="256"/>
      <c r="C42" s="257"/>
      <c r="D42" s="257"/>
      <c r="E42" s="257"/>
      <c r="F42" s="232"/>
    </row>
    <row r="43" spans="1:5" s="233" customFormat="1" ht="16.5" customHeight="1">
      <c r="A43" s="657" t="s">
        <v>373</v>
      </c>
      <c r="B43" s="657"/>
      <c r="C43" s="657"/>
      <c r="D43" s="657"/>
      <c r="E43" s="657"/>
    </row>
    <row r="44" spans="1:6" s="261" customFormat="1" ht="12" customHeight="1">
      <c r="A44" s="228" t="s">
        <v>50</v>
      </c>
      <c r="B44" s="20" t="s">
        <v>547</v>
      </c>
      <c r="C44" s="116">
        <f>SUM(C45:C49)</f>
        <v>69500000</v>
      </c>
      <c r="D44" s="116">
        <f>SUM(D45:D49)</f>
        <v>72047853</v>
      </c>
      <c r="E44" s="116">
        <f>SUM(E45:E49)</f>
        <v>67598590</v>
      </c>
      <c r="F44" s="232" t="s">
        <v>52</v>
      </c>
    </row>
    <row r="45" spans="1:6" ht="12" customHeight="1">
      <c r="A45" s="300" t="s">
        <v>53</v>
      </c>
      <c r="B45" s="76" t="s">
        <v>294</v>
      </c>
      <c r="C45" s="102">
        <v>55500000</v>
      </c>
      <c r="D45" s="102">
        <v>58322254</v>
      </c>
      <c r="E45" s="311">
        <v>54348904</v>
      </c>
      <c r="F45" s="232" t="s">
        <v>55</v>
      </c>
    </row>
    <row r="46" spans="1:6" ht="12" customHeight="1">
      <c r="A46" s="300" t="s">
        <v>56</v>
      </c>
      <c r="B46" s="62" t="s">
        <v>295</v>
      </c>
      <c r="C46" s="105">
        <v>11500000</v>
      </c>
      <c r="D46" s="105">
        <v>10640722</v>
      </c>
      <c r="E46" s="130">
        <v>10640722</v>
      </c>
      <c r="F46" s="232" t="s">
        <v>58</v>
      </c>
    </row>
    <row r="47" spans="1:6" ht="12" customHeight="1">
      <c r="A47" s="300" t="s">
        <v>59</v>
      </c>
      <c r="B47" s="62" t="s">
        <v>296</v>
      </c>
      <c r="C47" s="105">
        <v>2500000</v>
      </c>
      <c r="D47" s="105">
        <v>3084877</v>
      </c>
      <c r="E47" s="130">
        <v>2608964</v>
      </c>
      <c r="F47" s="232" t="s">
        <v>61</v>
      </c>
    </row>
    <row r="48" spans="1:6" ht="12" customHeight="1">
      <c r="A48" s="300" t="s">
        <v>62</v>
      </c>
      <c r="B48" s="62" t="s">
        <v>297</v>
      </c>
      <c r="C48" s="105">
        <v>0</v>
      </c>
      <c r="D48" s="105">
        <v>0</v>
      </c>
      <c r="E48" s="130">
        <v>0</v>
      </c>
      <c r="F48" s="232" t="s">
        <v>64</v>
      </c>
    </row>
    <row r="49" spans="1:6" ht="12" customHeight="1">
      <c r="A49" s="300" t="s">
        <v>65</v>
      </c>
      <c r="B49" s="62" t="s">
        <v>299</v>
      </c>
      <c r="C49" s="105"/>
      <c r="D49" s="105"/>
      <c r="E49" s="130">
        <v>0</v>
      </c>
      <c r="F49" s="232" t="s">
        <v>67</v>
      </c>
    </row>
    <row r="50" spans="1:6" ht="12" customHeight="1">
      <c r="A50" s="228" t="s">
        <v>71</v>
      </c>
      <c r="B50" s="20" t="s">
        <v>548</v>
      </c>
      <c r="C50" s="116">
        <v>0</v>
      </c>
      <c r="D50" s="116"/>
      <c r="E50" s="295"/>
      <c r="F50" s="232" t="s">
        <v>70</v>
      </c>
    </row>
    <row r="51" spans="1:6" s="261" customFormat="1" ht="12" customHeight="1">
      <c r="A51" s="300" t="s">
        <v>74</v>
      </c>
      <c r="B51" s="76" t="s">
        <v>320</v>
      </c>
      <c r="C51" s="102"/>
      <c r="D51" s="102"/>
      <c r="E51" s="311">
        <v>0</v>
      </c>
      <c r="F51" s="232" t="s">
        <v>73</v>
      </c>
    </row>
    <row r="52" spans="1:6" ht="12" customHeight="1">
      <c r="A52" s="300" t="s">
        <v>77</v>
      </c>
      <c r="B52" s="62" t="s">
        <v>322</v>
      </c>
      <c r="C52" s="105">
        <v>0</v>
      </c>
      <c r="D52" s="105">
        <v>0</v>
      </c>
      <c r="E52" s="130">
        <v>0</v>
      </c>
      <c r="F52" s="232" t="s">
        <v>76</v>
      </c>
    </row>
    <row r="53" spans="1:6" ht="12" customHeight="1">
      <c r="A53" s="300" t="s">
        <v>80</v>
      </c>
      <c r="B53" s="62" t="s">
        <v>549</v>
      </c>
      <c r="C53" s="105">
        <v>0</v>
      </c>
      <c r="D53" s="105">
        <v>0</v>
      </c>
      <c r="E53" s="130">
        <v>0</v>
      </c>
      <c r="F53" s="232" t="s">
        <v>79</v>
      </c>
    </row>
    <row r="54" spans="1:6" ht="12" customHeight="1">
      <c r="A54" s="300" t="s">
        <v>83</v>
      </c>
      <c r="B54" s="62" t="s">
        <v>550</v>
      </c>
      <c r="C54" s="105">
        <v>0</v>
      </c>
      <c r="D54" s="105">
        <v>0</v>
      </c>
      <c r="E54" s="130">
        <v>0</v>
      </c>
      <c r="F54" s="232" t="s">
        <v>82</v>
      </c>
    </row>
    <row r="55" spans="1:6" ht="12" customHeight="1">
      <c r="A55" s="228" t="s">
        <v>92</v>
      </c>
      <c r="B55" s="317" t="s">
        <v>551</v>
      </c>
      <c r="C55" s="116">
        <f>C44+C50</f>
        <v>69500000</v>
      </c>
      <c r="D55" s="116">
        <f>D44+D50</f>
        <v>72047853</v>
      </c>
      <c r="E55" s="116">
        <f>E44+E50</f>
        <v>67598590</v>
      </c>
      <c r="F55" s="232" t="s">
        <v>85</v>
      </c>
    </row>
    <row r="56" spans="3:6" ht="15">
      <c r="C56" s="207"/>
      <c r="D56" s="207"/>
      <c r="E56" s="207"/>
      <c r="F56" s="232"/>
    </row>
    <row r="57" spans="1:6" ht="15" customHeight="1">
      <c r="A57" s="274" t="s">
        <v>515</v>
      </c>
      <c r="B57" s="275"/>
      <c r="C57" s="276">
        <v>11</v>
      </c>
      <c r="D57" s="276">
        <v>11</v>
      </c>
      <c r="E57" s="318">
        <v>11</v>
      </c>
      <c r="F57" s="232"/>
    </row>
    <row r="58" spans="1:6" ht="14.25" customHeight="1">
      <c r="A58" s="274" t="s">
        <v>516</v>
      </c>
      <c r="B58" s="275"/>
      <c r="C58" s="276"/>
      <c r="D58" s="276"/>
      <c r="E58" s="318"/>
      <c r="F58" s="232"/>
    </row>
    <row r="59" ht="15">
      <c r="F59" s="232"/>
    </row>
    <row r="60" ht="15">
      <c r="F60" s="232"/>
    </row>
    <row r="61" ht="15">
      <c r="F61" s="232"/>
    </row>
    <row r="62" ht="15">
      <c r="F62" s="232"/>
    </row>
    <row r="63" spans="6:8" ht="15">
      <c r="F63" s="232"/>
      <c r="H63" s="84"/>
    </row>
    <row r="64" ht="15">
      <c r="F64" s="232"/>
    </row>
    <row r="65" ht="15">
      <c r="F65" s="232"/>
    </row>
    <row r="66" ht="15">
      <c r="F66" s="232"/>
    </row>
    <row r="67" ht="15">
      <c r="F67" s="232"/>
    </row>
    <row r="68" ht="15">
      <c r="F68" s="232"/>
    </row>
    <row r="69" ht="15">
      <c r="F69" s="232"/>
    </row>
    <row r="70" ht="15">
      <c r="F70" s="232"/>
    </row>
    <row r="71" ht="15">
      <c r="F71" s="232"/>
    </row>
    <row r="72" ht="15">
      <c r="F72" s="232"/>
    </row>
    <row r="73" ht="15">
      <c r="F73" s="232"/>
    </row>
    <row r="74" ht="15">
      <c r="F74" s="232"/>
    </row>
    <row r="75" ht="15">
      <c r="F75" s="232"/>
    </row>
    <row r="76" ht="15">
      <c r="F76" s="232"/>
    </row>
    <row r="77" ht="15">
      <c r="F77" s="232"/>
    </row>
    <row r="78" ht="15">
      <c r="F78" s="232"/>
    </row>
    <row r="79" ht="15">
      <c r="F79" s="232"/>
    </row>
    <row r="80" ht="15">
      <c r="F80" s="232"/>
    </row>
    <row r="81" ht="15">
      <c r="F81" s="232"/>
    </row>
    <row r="82" ht="15">
      <c r="F82" s="232"/>
    </row>
    <row r="83" ht="15">
      <c r="F83" s="232"/>
    </row>
    <row r="84" ht="15">
      <c r="F84" s="232"/>
    </row>
    <row r="85" ht="15">
      <c r="F85" s="232"/>
    </row>
    <row r="86" ht="15">
      <c r="F86" s="232"/>
    </row>
    <row r="87" ht="15">
      <c r="F87" s="232"/>
    </row>
    <row r="88" ht="13.5">
      <c r="F88" s="254"/>
    </row>
    <row r="90" ht="15">
      <c r="F90" s="232"/>
    </row>
    <row r="91" ht="12.75">
      <c r="F91" s="260"/>
    </row>
    <row r="92" ht="12.75">
      <c r="F92" s="260"/>
    </row>
    <row r="93" ht="12.75">
      <c r="F93" s="260"/>
    </row>
    <row r="94" ht="12.75">
      <c r="F94" s="260"/>
    </row>
    <row r="95" ht="12.75">
      <c r="F95" s="260"/>
    </row>
    <row r="96" ht="12.75">
      <c r="F96" s="260"/>
    </row>
    <row r="97" ht="12.75">
      <c r="F97" s="260"/>
    </row>
    <row r="98" ht="12.75">
      <c r="F98" s="260"/>
    </row>
    <row r="99" ht="12.75">
      <c r="F99" s="260"/>
    </row>
    <row r="100" ht="12.75">
      <c r="F100" s="260"/>
    </row>
    <row r="101" ht="12.75">
      <c r="F101" s="260"/>
    </row>
    <row r="102" ht="12.75">
      <c r="F102" s="260"/>
    </row>
    <row r="103" ht="12.75">
      <c r="F103" s="260"/>
    </row>
    <row r="104" ht="12.75">
      <c r="F104" s="260"/>
    </row>
    <row r="105" ht="12.75">
      <c r="F105" s="260"/>
    </row>
    <row r="106" ht="12.75">
      <c r="F106" s="260"/>
    </row>
    <row r="107" ht="12.75">
      <c r="F107" s="260"/>
    </row>
    <row r="108" ht="12.75">
      <c r="F108" s="260"/>
    </row>
    <row r="109" ht="12.75">
      <c r="F109" s="260"/>
    </row>
    <row r="110" ht="12.75">
      <c r="F110" s="260"/>
    </row>
    <row r="111" ht="12.75">
      <c r="F111" s="260"/>
    </row>
    <row r="112" ht="12.75">
      <c r="F112" s="260"/>
    </row>
    <row r="113" ht="12.75">
      <c r="F113" s="260"/>
    </row>
    <row r="114" ht="12.75">
      <c r="F114" s="260"/>
    </row>
    <row r="115" ht="12.75">
      <c r="F115" s="260"/>
    </row>
    <row r="116" ht="12.75">
      <c r="F116" s="260"/>
    </row>
    <row r="117" ht="12.75">
      <c r="F117" s="260"/>
    </row>
    <row r="118" ht="12.75">
      <c r="F118" s="260"/>
    </row>
    <row r="119" ht="12.75">
      <c r="F119" s="260"/>
    </row>
    <row r="120" ht="12.75">
      <c r="F120" s="260"/>
    </row>
    <row r="121" ht="12.75">
      <c r="F121" s="260"/>
    </row>
    <row r="122" ht="12.75">
      <c r="F122" s="260"/>
    </row>
    <row r="123" ht="12.75">
      <c r="F123" s="260"/>
    </row>
    <row r="124" ht="12.75">
      <c r="F124" s="260"/>
    </row>
    <row r="125" ht="12.75">
      <c r="F125" s="260"/>
    </row>
    <row r="126" ht="12.75">
      <c r="F126" s="260"/>
    </row>
    <row r="127" ht="12.75">
      <c r="F127" s="260"/>
    </row>
    <row r="128" ht="12.75">
      <c r="F128" s="260"/>
    </row>
    <row r="129" ht="12.75">
      <c r="F129" s="260"/>
    </row>
    <row r="130" ht="12.75">
      <c r="F130" s="260"/>
    </row>
    <row r="131" ht="12.75">
      <c r="F131" s="260"/>
    </row>
    <row r="132" ht="12.75">
      <c r="F132" s="260"/>
    </row>
    <row r="133" ht="12.75">
      <c r="F133" s="260"/>
    </row>
    <row r="134" ht="12.75">
      <c r="F134" s="260"/>
    </row>
    <row r="135" ht="12.75">
      <c r="F135" s="260"/>
    </row>
    <row r="136" ht="12.75">
      <c r="F136" s="260"/>
    </row>
    <row r="137" ht="12.75">
      <c r="F137" s="260"/>
    </row>
    <row r="138" ht="12.75">
      <c r="F138" s="260"/>
    </row>
    <row r="139" ht="12.75">
      <c r="F139" s="260"/>
    </row>
    <row r="140" ht="12.75">
      <c r="F140" s="260"/>
    </row>
    <row r="141" ht="12.75">
      <c r="F141" s="260"/>
    </row>
    <row r="142" ht="12.75">
      <c r="F142" s="260"/>
    </row>
    <row r="143" ht="12.75">
      <c r="F143" s="260"/>
    </row>
    <row r="144" ht="12.75">
      <c r="F144" s="260"/>
    </row>
    <row r="145" ht="12.75">
      <c r="F145" s="260"/>
    </row>
    <row r="146" ht="12.75">
      <c r="F146" s="260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15" zoomScalePageLayoutView="0" workbookViewId="0" topLeftCell="A1">
      <selection activeCell="E2" sqref="E2"/>
    </sheetView>
  </sheetViews>
  <sheetFormatPr defaultColWidth="9.375" defaultRowHeight="12.75"/>
  <cols>
    <col min="1" max="1" width="16.00390625" style="205" customWidth="1"/>
    <col min="2" max="2" width="59.375" style="206" customWidth="1"/>
    <col min="3" max="5" width="15.75390625" style="206" customWidth="1"/>
    <col min="6" max="16384" width="9.375" style="206" customWidth="1"/>
  </cols>
  <sheetData>
    <row r="1" spans="1:5" s="213" customFormat="1" ht="21" customHeight="1">
      <c r="A1" s="208"/>
      <c r="B1" s="209"/>
      <c r="C1" s="210"/>
      <c r="D1" s="210"/>
      <c r="E1" s="290" t="str">
        <f>+CONCATENATE("7.3. melléklet a 6/",LEFT(ÖSSZEFÜGGÉSEK!A4,4)+1,". (VII.17.) önkormányzati rendelethez")</f>
        <v>7.3. melléklet a 6/2020. (VII.17.) önkormányzati rendelethez</v>
      </c>
    </row>
    <row r="2" spans="1:5" s="217" customFormat="1" ht="25.5" customHeight="1">
      <c r="A2" s="214" t="s">
        <v>524</v>
      </c>
      <c r="B2" s="655" t="s">
        <v>525</v>
      </c>
      <c r="C2" s="655"/>
      <c r="D2" s="655"/>
      <c r="E2" s="291" t="s">
        <v>518</v>
      </c>
    </row>
    <row r="3" spans="1:5" s="217" customFormat="1" ht="22.5">
      <c r="A3" s="218" t="s">
        <v>526</v>
      </c>
      <c r="B3" s="656" t="s">
        <v>552</v>
      </c>
      <c r="C3" s="656"/>
      <c r="D3" s="656"/>
      <c r="E3" s="292" t="s">
        <v>521</v>
      </c>
    </row>
    <row r="4" spans="1:5" s="223" customFormat="1" ht="15.75" customHeight="1">
      <c r="A4" s="220"/>
      <c r="B4" s="220"/>
      <c r="C4" s="221"/>
      <c r="D4" s="221"/>
      <c r="E4" s="221" t="s">
        <v>502</v>
      </c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5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</row>
    <row r="7" spans="1:5" s="233" customFormat="1" ht="15.75" customHeight="1">
      <c r="A7" s="657" t="s">
        <v>372</v>
      </c>
      <c r="B7" s="657"/>
      <c r="C7" s="657"/>
      <c r="D7" s="657"/>
      <c r="E7" s="657"/>
    </row>
    <row r="8" spans="1:5" s="235" customFormat="1" ht="12" customHeight="1">
      <c r="A8" s="228" t="s">
        <v>50</v>
      </c>
      <c r="B8" s="293" t="s">
        <v>527</v>
      </c>
      <c r="C8" s="116">
        <f>SUM(C9:C18)</f>
        <v>0</v>
      </c>
      <c r="D8" s="116">
        <f>SUM(D9:D18)</f>
        <v>0</v>
      </c>
      <c r="E8" s="295">
        <f>SUM(E9:E18)</f>
        <v>0</v>
      </c>
    </row>
    <row r="9" spans="1:5" s="235" customFormat="1" ht="12" customHeight="1">
      <c r="A9" s="296" t="s">
        <v>53</v>
      </c>
      <c r="B9" s="60" t="s">
        <v>138</v>
      </c>
      <c r="C9" s="297"/>
      <c r="D9" s="297"/>
      <c r="E9" s="299"/>
    </row>
    <row r="10" spans="1:5" s="235" customFormat="1" ht="12" customHeight="1">
      <c r="A10" s="300" t="s">
        <v>56</v>
      </c>
      <c r="B10" s="62" t="s">
        <v>141</v>
      </c>
      <c r="C10" s="105"/>
      <c r="D10" s="105"/>
      <c r="E10" s="130"/>
    </row>
    <row r="11" spans="1:5" s="235" customFormat="1" ht="12" customHeight="1">
      <c r="A11" s="300" t="s">
        <v>59</v>
      </c>
      <c r="B11" s="62" t="s">
        <v>144</v>
      </c>
      <c r="C11" s="105"/>
      <c r="D11" s="105"/>
      <c r="E11" s="130"/>
    </row>
    <row r="12" spans="1:5" s="235" customFormat="1" ht="12" customHeight="1">
      <c r="A12" s="300" t="s">
        <v>62</v>
      </c>
      <c r="B12" s="62" t="s">
        <v>147</v>
      </c>
      <c r="C12" s="105"/>
      <c r="D12" s="105"/>
      <c r="E12" s="130"/>
    </row>
    <row r="13" spans="1:5" s="235" customFormat="1" ht="12" customHeight="1">
      <c r="A13" s="300" t="s">
        <v>65</v>
      </c>
      <c r="B13" s="62" t="s">
        <v>150</v>
      </c>
      <c r="C13" s="105"/>
      <c r="D13" s="105"/>
      <c r="E13" s="130"/>
    </row>
    <row r="14" spans="1:5" s="235" customFormat="1" ht="12" customHeight="1">
      <c r="A14" s="300" t="s">
        <v>68</v>
      </c>
      <c r="B14" s="62" t="s">
        <v>528</v>
      </c>
      <c r="C14" s="105"/>
      <c r="D14" s="105"/>
      <c r="E14" s="130"/>
    </row>
    <row r="15" spans="1:5" s="237" customFormat="1" ht="12" customHeight="1">
      <c r="A15" s="300" t="s">
        <v>301</v>
      </c>
      <c r="B15" s="77" t="s">
        <v>529</v>
      </c>
      <c r="C15" s="105"/>
      <c r="D15" s="105"/>
      <c r="E15" s="130"/>
    </row>
    <row r="16" spans="1:5" s="237" customFormat="1" ht="12" customHeight="1">
      <c r="A16" s="300" t="s">
        <v>303</v>
      </c>
      <c r="B16" s="62" t="s">
        <v>159</v>
      </c>
      <c r="C16" s="120"/>
      <c r="D16" s="120"/>
      <c r="E16" s="303"/>
    </row>
    <row r="17" spans="1:5" s="235" customFormat="1" ht="12" customHeight="1">
      <c r="A17" s="300" t="s">
        <v>305</v>
      </c>
      <c r="B17" s="62" t="s">
        <v>162</v>
      </c>
      <c r="C17" s="105"/>
      <c r="D17" s="105"/>
      <c r="E17" s="130"/>
    </row>
    <row r="18" spans="1:5" s="237" customFormat="1" ht="12" customHeight="1">
      <c r="A18" s="300" t="s">
        <v>307</v>
      </c>
      <c r="B18" s="77" t="s">
        <v>165</v>
      </c>
      <c r="C18" s="112"/>
      <c r="D18" s="112"/>
      <c r="E18" s="305"/>
    </row>
    <row r="19" spans="1:5" s="237" customFormat="1" ht="12" customHeight="1">
      <c r="A19" s="228" t="s">
        <v>71</v>
      </c>
      <c r="B19" s="293" t="s">
        <v>530</v>
      </c>
      <c r="C19" s="116">
        <f>SUM(C20:C22)</f>
        <v>0</v>
      </c>
      <c r="D19" s="116">
        <f>SUM(D20:D22)</f>
        <v>0</v>
      </c>
      <c r="E19" s="295">
        <f>SUM(E20:E22)</f>
        <v>0</v>
      </c>
    </row>
    <row r="20" spans="1:5" s="237" customFormat="1" ht="12" customHeight="1">
      <c r="A20" s="300" t="s">
        <v>74</v>
      </c>
      <c r="B20" s="76" t="s">
        <v>75</v>
      </c>
      <c r="C20" s="105"/>
      <c r="D20" s="105"/>
      <c r="E20" s="130"/>
    </row>
    <row r="21" spans="1:5" s="237" customFormat="1" ht="12" customHeight="1">
      <c r="A21" s="300" t="s">
        <v>77</v>
      </c>
      <c r="B21" s="62" t="s">
        <v>531</v>
      </c>
      <c r="C21" s="105"/>
      <c r="D21" s="105"/>
      <c r="E21" s="130"/>
    </row>
    <row r="22" spans="1:5" s="237" customFormat="1" ht="12" customHeight="1">
      <c r="A22" s="300" t="s">
        <v>80</v>
      </c>
      <c r="B22" s="62" t="s">
        <v>532</v>
      </c>
      <c r="C22" s="105"/>
      <c r="D22" s="105"/>
      <c r="E22" s="130"/>
    </row>
    <row r="23" spans="1:5" s="237" customFormat="1" ht="12" customHeight="1">
      <c r="A23" s="300" t="s">
        <v>83</v>
      </c>
      <c r="B23" s="62" t="s">
        <v>533</v>
      </c>
      <c r="C23" s="105"/>
      <c r="D23" s="105"/>
      <c r="E23" s="130"/>
    </row>
    <row r="24" spans="1:5" s="237" customFormat="1" ht="12" customHeight="1">
      <c r="A24" s="228" t="s">
        <v>92</v>
      </c>
      <c r="B24" s="20" t="s">
        <v>384</v>
      </c>
      <c r="C24" s="306"/>
      <c r="D24" s="306"/>
      <c r="E24" s="308"/>
    </row>
    <row r="25" spans="1:5" s="237" customFormat="1" ht="12" customHeight="1">
      <c r="A25" s="228" t="s">
        <v>341</v>
      </c>
      <c r="B25" s="20" t="s">
        <v>534</v>
      </c>
      <c r="C25" s="116">
        <f>SUM(C26:C27)</f>
        <v>0</v>
      </c>
      <c r="D25" s="116">
        <f>SUM(D26:D27)</f>
        <v>0</v>
      </c>
      <c r="E25" s="295">
        <f>SUM(E26:E27)</f>
        <v>0</v>
      </c>
    </row>
    <row r="26" spans="1:5" s="237" customFormat="1" ht="12" customHeight="1">
      <c r="A26" s="309" t="s">
        <v>116</v>
      </c>
      <c r="B26" s="76" t="s">
        <v>531</v>
      </c>
      <c r="C26" s="102"/>
      <c r="D26" s="102"/>
      <c r="E26" s="311"/>
    </row>
    <row r="27" spans="1:5" s="237" customFormat="1" ht="12" customHeight="1">
      <c r="A27" s="309" t="s">
        <v>125</v>
      </c>
      <c r="B27" s="62" t="s">
        <v>535</v>
      </c>
      <c r="C27" s="120"/>
      <c r="D27" s="120"/>
      <c r="E27" s="303"/>
    </row>
    <row r="28" spans="1:5" s="237" customFormat="1" ht="12" customHeight="1">
      <c r="A28" s="300" t="s">
        <v>128</v>
      </c>
      <c r="B28" s="312" t="s">
        <v>536</v>
      </c>
      <c r="C28" s="129"/>
      <c r="D28" s="129"/>
      <c r="E28" s="314"/>
    </row>
    <row r="29" spans="1:5" s="237" customFormat="1" ht="12" customHeight="1">
      <c r="A29" s="228" t="s">
        <v>134</v>
      </c>
      <c r="B29" s="20" t="s">
        <v>537</v>
      </c>
      <c r="C29" s="116">
        <f>SUM(C30:C32)</f>
        <v>0</v>
      </c>
      <c r="D29" s="116">
        <f>SUM(D30:D32)</f>
        <v>0</v>
      </c>
      <c r="E29" s="295">
        <f>SUM(E30:E32)</f>
        <v>0</v>
      </c>
    </row>
    <row r="30" spans="1:5" s="237" customFormat="1" ht="12" customHeight="1">
      <c r="A30" s="309" t="s">
        <v>137</v>
      </c>
      <c r="B30" s="76" t="s">
        <v>171</v>
      </c>
      <c r="C30" s="102"/>
      <c r="D30" s="102"/>
      <c r="E30" s="311"/>
    </row>
    <row r="31" spans="1:5" s="237" customFormat="1" ht="12" customHeight="1">
      <c r="A31" s="309" t="s">
        <v>140</v>
      </c>
      <c r="B31" s="62" t="s">
        <v>174</v>
      </c>
      <c r="C31" s="120"/>
      <c r="D31" s="120"/>
      <c r="E31" s="303"/>
    </row>
    <row r="32" spans="1:5" s="237" customFormat="1" ht="12" customHeight="1">
      <c r="A32" s="300" t="s">
        <v>143</v>
      </c>
      <c r="B32" s="312" t="s">
        <v>177</v>
      </c>
      <c r="C32" s="129"/>
      <c r="D32" s="129"/>
      <c r="E32" s="314"/>
    </row>
    <row r="33" spans="1:5" s="237" customFormat="1" ht="12" customHeight="1">
      <c r="A33" s="228" t="s">
        <v>167</v>
      </c>
      <c r="B33" s="20" t="s">
        <v>385</v>
      </c>
      <c r="C33" s="306"/>
      <c r="D33" s="306"/>
      <c r="E33" s="308"/>
    </row>
    <row r="34" spans="1:5" s="235" customFormat="1" ht="12" customHeight="1">
      <c r="A34" s="228" t="s">
        <v>352</v>
      </c>
      <c r="B34" s="20" t="s">
        <v>538</v>
      </c>
      <c r="C34" s="306"/>
      <c r="D34" s="306"/>
      <c r="E34" s="308"/>
    </row>
    <row r="35" spans="1:5" s="235" customFormat="1" ht="12" customHeight="1">
      <c r="A35" s="228" t="s">
        <v>200</v>
      </c>
      <c r="B35" s="20" t="s">
        <v>539</v>
      </c>
      <c r="C35" s="116">
        <f>+C8+C19+C24+C25+C29+C33+C34</f>
        <v>0</v>
      </c>
      <c r="D35" s="116">
        <f>+D8+D19+D24+D25+D29+D33+D34</f>
        <v>0</v>
      </c>
      <c r="E35" s="295">
        <f>+E8+E19+E24+E25+E29+E33+E34</f>
        <v>0</v>
      </c>
    </row>
    <row r="36" spans="1:5" s="235" customFormat="1" ht="12" customHeight="1">
      <c r="A36" s="315" t="s">
        <v>215</v>
      </c>
      <c r="B36" s="20" t="s">
        <v>540</v>
      </c>
      <c r="C36" s="116">
        <f>+C37+C38+C39</f>
        <v>0</v>
      </c>
      <c r="D36" s="116">
        <f>+D37+D38+D39</f>
        <v>0</v>
      </c>
      <c r="E36" s="295">
        <f>+E37+E38+E39</f>
        <v>0</v>
      </c>
    </row>
    <row r="37" spans="1:5" s="235" customFormat="1" ht="12" customHeight="1">
      <c r="A37" s="309" t="s">
        <v>541</v>
      </c>
      <c r="B37" s="76" t="s">
        <v>440</v>
      </c>
      <c r="C37" s="102"/>
      <c r="D37" s="102"/>
      <c r="E37" s="311"/>
    </row>
    <row r="38" spans="1:5" s="237" customFormat="1" ht="12" customHeight="1">
      <c r="A38" s="309" t="s">
        <v>542</v>
      </c>
      <c r="B38" s="62" t="s">
        <v>543</v>
      </c>
      <c r="C38" s="120"/>
      <c r="D38" s="120"/>
      <c r="E38" s="303"/>
    </row>
    <row r="39" spans="1:5" s="237" customFormat="1" ht="12" customHeight="1">
      <c r="A39" s="300" t="s">
        <v>544</v>
      </c>
      <c r="B39" s="312" t="s">
        <v>545</v>
      </c>
      <c r="C39" s="129"/>
      <c r="D39" s="129"/>
      <c r="E39" s="314"/>
    </row>
    <row r="40" spans="1:5" s="237" customFormat="1" ht="15" customHeight="1">
      <c r="A40" s="315" t="s">
        <v>364</v>
      </c>
      <c r="B40" s="316" t="s">
        <v>546</v>
      </c>
      <c r="C40" s="116">
        <f>+C35+C36</f>
        <v>0</v>
      </c>
      <c r="D40" s="116">
        <f>+D35+D36</f>
        <v>0</v>
      </c>
      <c r="E40" s="295">
        <f>+E35+E36</f>
        <v>0</v>
      </c>
    </row>
    <row r="41" spans="1:5" s="237" customFormat="1" ht="15" customHeight="1">
      <c r="A41" s="251"/>
      <c r="B41" s="252"/>
      <c r="C41" s="253"/>
      <c r="D41" s="253"/>
      <c r="E41" s="253"/>
    </row>
    <row r="42" spans="1:5" ht="12.75">
      <c r="A42" s="255"/>
      <c r="B42" s="256"/>
      <c r="C42" s="257"/>
      <c r="D42" s="257"/>
      <c r="E42" s="257"/>
    </row>
    <row r="43" spans="1:5" s="233" customFormat="1" ht="16.5" customHeight="1">
      <c r="A43" s="657" t="s">
        <v>373</v>
      </c>
      <c r="B43" s="657"/>
      <c r="C43" s="657"/>
      <c r="D43" s="657"/>
      <c r="E43" s="657"/>
    </row>
    <row r="44" spans="1:5" s="261" customFormat="1" ht="12" customHeight="1">
      <c r="A44" s="228" t="s">
        <v>50</v>
      </c>
      <c r="B44" s="20" t="s">
        <v>547</v>
      </c>
      <c r="C44" s="116">
        <f>SUM(C45:C49)</f>
        <v>0</v>
      </c>
      <c r="D44" s="116">
        <f>SUM(D45:D49)</f>
        <v>0</v>
      </c>
      <c r="E44" s="131">
        <f>SUM(E45:E49)</f>
        <v>0</v>
      </c>
    </row>
    <row r="45" spans="1:5" ht="12" customHeight="1">
      <c r="A45" s="300" t="s">
        <v>53</v>
      </c>
      <c r="B45" s="76" t="s">
        <v>294</v>
      </c>
      <c r="C45" s="102"/>
      <c r="D45" s="102"/>
      <c r="E45" s="134"/>
    </row>
    <row r="46" spans="1:5" ht="12" customHeight="1">
      <c r="A46" s="300" t="s">
        <v>56</v>
      </c>
      <c r="B46" s="62" t="s">
        <v>295</v>
      </c>
      <c r="C46" s="105"/>
      <c r="D46" s="105"/>
      <c r="E46" s="109"/>
    </row>
    <row r="47" spans="1:5" ht="12" customHeight="1">
      <c r="A47" s="300" t="s">
        <v>59</v>
      </c>
      <c r="B47" s="62" t="s">
        <v>296</v>
      </c>
      <c r="C47" s="105"/>
      <c r="D47" s="105"/>
      <c r="E47" s="109"/>
    </row>
    <row r="48" spans="1:5" ht="12" customHeight="1">
      <c r="A48" s="300" t="s">
        <v>62</v>
      </c>
      <c r="B48" s="62" t="s">
        <v>297</v>
      </c>
      <c r="C48" s="105"/>
      <c r="D48" s="105"/>
      <c r="E48" s="109"/>
    </row>
    <row r="49" spans="1:5" ht="12" customHeight="1">
      <c r="A49" s="300" t="s">
        <v>65</v>
      </c>
      <c r="B49" s="62" t="s">
        <v>299</v>
      </c>
      <c r="C49" s="105"/>
      <c r="D49" s="105"/>
      <c r="E49" s="109"/>
    </row>
    <row r="50" spans="1:5" ht="12" customHeight="1">
      <c r="A50" s="228" t="s">
        <v>71</v>
      </c>
      <c r="B50" s="20" t="s">
        <v>548</v>
      </c>
      <c r="C50" s="116">
        <f>SUM(C51:C53)</f>
        <v>0</v>
      </c>
      <c r="D50" s="116">
        <f>SUM(D51:D53)</f>
        <v>0</v>
      </c>
      <c r="E50" s="131">
        <f>SUM(E51:E53)</f>
        <v>0</v>
      </c>
    </row>
    <row r="51" spans="1:5" s="261" customFormat="1" ht="12" customHeight="1">
      <c r="A51" s="300" t="s">
        <v>74</v>
      </c>
      <c r="B51" s="76" t="s">
        <v>320</v>
      </c>
      <c r="C51" s="102"/>
      <c r="D51" s="102"/>
      <c r="E51" s="134"/>
    </row>
    <row r="52" spans="1:5" ht="12" customHeight="1">
      <c r="A52" s="300" t="s">
        <v>77</v>
      </c>
      <c r="B52" s="62" t="s">
        <v>322</v>
      </c>
      <c r="C52" s="105"/>
      <c r="D52" s="105"/>
      <c r="E52" s="109"/>
    </row>
    <row r="53" spans="1:5" ht="12" customHeight="1">
      <c r="A53" s="300" t="s">
        <v>80</v>
      </c>
      <c r="B53" s="62" t="s">
        <v>549</v>
      </c>
      <c r="C53" s="105"/>
      <c r="D53" s="105"/>
      <c r="E53" s="109"/>
    </row>
    <row r="54" spans="1:5" ht="12" customHeight="1">
      <c r="A54" s="300" t="s">
        <v>83</v>
      </c>
      <c r="B54" s="62" t="s">
        <v>550</v>
      </c>
      <c r="C54" s="105"/>
      <c r="D54" s="105"/>
      <c r="E54" s="109"/>
    </row>
    <row r="55" spans="1:5" ht="12" customHeight="1">
      <c r="A55" s="228" t="s">
        <v>92</v>
      </c>
      <c r="B55" s="317" t="s">
        <v>551</v>
      </c>
      <c r="C55" s="116">
        <f>+C44+C50</f>
        <v>0</v>
      </c>
      <c r="D55" s="116">
        <f>+D44+D50</f>
        <v>0</v>
      </c>
      <c r="E55" s="131">
        <f>+E44+E50</f>
        <v>0</v>
      </c>
    </row>
    <row r="56" spans="3:5" ht="12.75">
      <c r="C56" s="207"/>
      <c r="D56" s="207"/>
      <c r="E56" s="207"/>
    </row>
    <row r="57" spans="1:5" ht="15" customHeight="1">
      <c r="A57" s="274" t="s">
        <v>515</v>
      </c>
      <c r="B57" s="275"/>
      <c r="C57" s="276"/>
      <c r="D57" s="276"/>
      <c r="E57" s="318"/>
    </row>
    <row r="58" spans="1:5" ht="14.25" customHeight="1">
      <c r="A58" s="274" t="s">
        <v>516</v>
      </c>
      <c r="B58" s="275"/>
      <c r="C58" s="276"/>
      <c r="D58" s="276"/>
      <c r="E58" s="31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15" zoomScalePageLayoutView="0" workbookViewId="0" topLeftCell="A1">
      <selection activeCell="E2" sqref="E2"/>
    </sheetView>
  </sheetViews>
  <sheetFormatPr defaultColWidth="9.375" defaultRowHeight="12.75"/>
  <cols>
    <col min="1" max="1" width="16.00390625" style="205" customWidth="1"/>
    <col min="2" max="2" width="59.375" style="206" customWidth="1"/>
    <col min="3" max="5" width="15.75390625" style="206" customWidth="1"/>
    <col min="6" max="16384" width="9.375" style="206" customWidth="1"/>
  </cols>
  <sheetData>
    <row r="1" spans="1:5" s="213" customFormat="1" ht="21" customHeight="1">
      <c r="A1" s="208"/>
      <c r="B1" s="209"/>
      <c r="C1" s="210"/>
      <c r="D1" s="210"/>
      <c r="E1" s="290" t="str">
        <f>+CONCATENATE("7.4. melléklet a 6/",LEFT(ÖSSZEFÜGGÉSEK!A4,4)+1,". (VII.17.) önkormányzati rendelethez")</f>
        <v>7.4. melléklet a 6/2020. (VII.17.) önkormányzati rendelethez</v>
      </c>
    </row>
    <row r="2" spans="1:5" s="217" customFormat="1" ht="25.5" customHeight="1">
      <c r="A2" s="214" t="s">
        <v>524</v>
      </c>
      <c r="B2" s="655" t="s">
        <v>525</v>
      </c>
      <c r="C2" s="655"/>
      <c r="D2" s="655"/>
      <c r="E2" s="291" t="s">
        <v>518</v>
      </c>
    </row>
    <row r="3" spans="1:5" s="217" customFormat="1" ht="22.5">
      <c r="A3" s="218" t="s">
        <v>526</v>
      </c>
      <c r="B3" s="656" t="s">
        <v>522</v>
      </c>
      <c r="C3" s="656"/>
      <c r="D3" s="656"/>
      <c r="E3" s="292" t="s">
        <v>523</v>
      </c>
    </row>
    <row r="4" spans="1:5" s="223" customFormat="1" ht="15.75" customHeight="1">
      <c r="A4" s="220"/>
      <c r="B4" s="220"/>
      <c r="C4" s="221"/>
      <c r="D4" s="221"/>
      <c r="E4" s="221" t="s">
        <v>502</v>
      </c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5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</row>
    <row r="7" spans="1:5" s="233" customFormat="1" ht="15.75" customHeight="1">
      <c r="A7" s="657" t="s">
        <v>372</v>
      </c>
      <c r="B7" s="657"/>
      <c r="C7" s="657"/>
      <c r="D7" s="657"/>
      <c r="E7" s="657"/>
    </row>
    <row r="8" spans="1:5" s="235" customFormat="1" ht="12" customHeight="1">
      <c r="A8" s="228" t="s">
        <v>50</v>
      </c>
      <c r="B8" s="293" t="s">
        <v>527</v>
      </c>
      <c r="C8" s="116">
        <f>SUM(C9:C18)</f>
        <v>0</v>
      </c>
      <c r="D8" s="116">
        <f>SUM(D9:D18)</f>
        <v>0</v>
      </c>
      <c r="E8" s="295">
        <f>SUM(E9:E18)</f>
        <v>0</v>
      </c>
    </row>
    <row r="9" spans="1:5" s="235" customFormat="1" ht="12" customHeight="1">
      <c r="A9" s="296" t="s">
        <v>53</v>
      </c>
      <c r="B9" s="60" t="s">
        <v>138</v>
      </c>
      <c r="C9" s="297"/>
      <c r="D9" s="297"/>
      <c r="E9" s="299"/>
    </row>
    <row r="10" spans="1:5" s="235" customFormat="1" ht="12" customHeight="1">
      <c r="A10" s="300" t="s">
        <v>56</v>
      </c>
      <c r="B10" s="62" t="s">
        <v>141</v>
      </c>
      <c r="C10" s="105"/>
      <c r="D10" s="105"/>
      <c r="E10" s="130"/>
    </row>
    <row r="11" spans="1:5" s="235" customFormat="1" ht="12" customHeight="1">
      <c r="A11" s="300" t="s">
        <v>59</v>
      </c>
      <c r="B11" s="62" t="s">
        <v>144</v>
      </c>
      <c r="C11" s="105"/>
      <c r="D11" s="105"/>
      <c r="E11" s="130"/>
    </row>
    <row r="12" spans="1:5" s="235" customFormat="1" ht="12" customHeight="1">
      <c r="A12" s="300" t="s">
        <v>62</v>
      </c>
      <c r="B12" s="62" t="s">
        <v>147</v>
      </c>
      <c r="C12" s="105"/>
      <c r="D12" s="105"/>
      <c r="E12" s="130"/>
    </row>
    <row r="13" spans="1:5" s="235" customFormat="1" ht="12" customHeight="1">
      <c r="A13" s="300" t="s">
        <v>65</v>
      </c>
      <c r="B13" s="62" t="s">
        <v>150</v>
      </c>
      <c r="C13" s="105"/>
      <c r="D13" s="105"/>
      <c r="E13" s="130"/>
    </row>
    <row r="14" spans="1:5" s="235" customFormat="1" ht="12" customHeight="1">
      <c r="A14" s="300" t="s">
        <v>68</v>
      </c>
      <c r="B14" s="62" t="s">
        <v>528</v>
      </c>
      <c r="C14" s="105"/>
      <c r="D14" s="105"/>
      <c r="E14" s="130"/>
    </row>
    <row r="15" spans="1:5" s="237" customFormat="1" ht="12" customHeight="1">
      <c r="A15" s="300" t="s">
        <v>301</v>
      </c>
      <c r="B15" s="77" t="s">
        <v>529</v>
      </c>
      <c r="C15" s="105"/>
      <c r="D15" s="105"/>
      <c r="E15" s="130"/>
    </row>
    <row r="16" spans="1:5" s="237" customFormat="1" ht="12" customHeight="1">
      <c r="A16" s="300" t="s">
        <v>303</v>
      </c>
      <c r="B16" s="62" t="s">
        <v>159</v>
      </c>
      <c r="C16" s="120"/>
      <c r="D16" s="120"/>
      <c r="E16" s="303"/>
    </row>
    <row r="17" spans="1:5" s="235" customFormat="1" ht="12" customHeight="1">
      <c r="A17" s="300" t="s">
        <v>305</v>
      </c>
      <c r="B17" s="62" t="s">
        <v>162</v>
      </c>
      <c r="C17" s="105"/>
      <c r="D17" s="105"/>
      <c r="E17" s="130"/>
    </row>
    <row r="18" spans="1:5" s="237" customFormat="1" ht="12" customHeight="1">
      <c r="A18" s="300" t="s">
        <v>307</v>
      </c>
      <c r="B18" s="77" t="s">
        <v>165</v>
      </c>
      <c r="C18" s="112"/>
      <c r="D18" s="112"/>
      <c r="E18" s="305"/>
    </row>
    <row r="19" spans="1:5" s="237" customFormat="1" ht="12" customHeight="1">
      <c r="A19" s="228" t="s">
        <v>71</v>
      </c>
      <c r="B19" s="293" t="s">
        <v>530</v>
      </c>
      <c r="C19" s="116">
        <f>SUM(C20:C22)</f>
        <v>0</v>
      </c>
      <c r="D19" s="116">
        <f>SUM(D20:D22)</f>
        <v>0</v>
      </c>
      <c r="E19" s="295">
        <f>SUM(E20:E22)</f>
        <v>0</v>
      </c>
    </row>
    <row r="20" spans="1:5" s="237" customFormat="1" ht="12" customHeight="1">
      <c r="A20" s="300" t="s">
        <v>74</v>
      </c>
      <c r="B20" s="76" t="s">
        <v>75</v>
      </c>
      <c r="C20" s="105"/>
      <c r="D20" s="105"/>
      <c r="E20" s="130"/>
    </row>
    <row r="21" spans="1:5" s="237" customFormat="1" ht="12" customHeight="1">
      <c r="A21" s="300" t="s">
        <v>77</v>
      </c>
      <c r="B21" s="62" t="s">
        <v>531</v>
      </c>
      <c r="C21" s="105"/>
      <c r="D21" s="105"/>
      <c r="E21" s="130"/>
    </row>
    <row r="22" spans="1:5" s="237" customFormat="1" ht="12" customHeight="1">
      <c r="A22" s="300" t="s">
        <v>80</v>
      </c>
      <c r="B22" s="62" t="s">
        <v>532</v>
      </c>
      <c r="C22" s="105"/>
      <c r="D22" s="105"/>
      <c r="E22" s="130"/>
    </row>
    <row r="23" spans="1:5" s="237" customFormat="1" ht="12" customHeight="1">
      <c r="A23" s="300" t="s">
        <v>83</v>
      </c>
      <c r="B23" s="62" t="s">
        <v>533</v>
      </c>
      <c r="C23" s="105"/>
      <c r="D23" s="105"/>
      <c r="E23" s="130"/>
    </row>
    <row r="24" spans="1:5" s="237" customFormat="1" ht="12" customHeight="1">
      <c r="A24" s="228" t="s">
        <v>92</v>
      </c>
      <c r="B24" s="20" t="s">
        <v>384</v>
      </c>
      <c r="C24" s="306"/>
      <c r="D24" s="306"/>
      <c r="E24" s="308"/>
    </row>
    <row r="25" spans="1:5" s="237" customFormat="1" ht="12" customHeight="1">
      <c r="A25" s="228" t="s">
        <v>341</v>
      </c>
      <c r="B25" s="20" t="s">
        <v>534</v>
      </c>
      <c r="C25" s="116">
        <f>SUM(C26:C27)</f>
        <v>0</v>
      </c>
      <c r="D25" s="116">
        <f>SUM(D26:D27)</f>
        <v>0</v>
      </c>
      <c r="E25" s="295">
        <f>SUM(E26:E27)</f>
        <v>0</v>
      </c>
    </row>
    <row r="26" spans="1:5" s="237" customFormat="1" ht="12" customHeight="1">
      <c r="A26" s="309" t="s">
        <v>116</v>
      </c>
      <c r="B26" s="76" t="s">
        <v>531</v>
      </c>
      <c r="C26" s="102"/>
      <c r="D26" s="102"/>
      <c r="E26" s="311"/>
    </row>
    <row r="27" spans="1:5" s="237" customFormat="1" ht="12" customHeight="1">
      <c r="A27" s="309" t="s">
        <v>125</v>
      </c>
      <c r="B27" s="62" t="s">
        <v>535</v>
      </c>
      <c r="C27" s="120"/>
      <c r="D27" s="120"/>
      <c r="E27" s="303"/>
    </row>
    <row r="28" spans="1:5" s="237" customFormat="1" ht="12" customHeight="1">
      <c r="A28" s="300" t="s">
        <v>128</v>
      </c>
      <c r="B28" s="312" t="s">
        <v>536</v>
      </c>
      <c r="C28" s="129"/>
      <c r="D28" s="129"/>
      <c r="E28" s="314"/>
    </row>
    <row r="29" spans="1:5" s="237" customFormat="1" ht="12" customHeight="1">
      <c r="A29" s="228" t="s">
        <v>134</v>
      </c>
      <c r="B29" s="20" t="s">
        <v>537</v>
      </c>
      <c r="C29" s="116">
        <f>SUM(C30:C32)</f>
        <v>0</v>
      </c>
      <c r="D29" s="116">
        <f>SUM(D30:D32)</f>
        <v>0</v>
      </c>
      <c r="E29" s="295">
        <f>SUM(E30:E32)</f>
        <v>0</v>
      </c>
    </row>
    <row r="30" spans="1:5" s="237" customFormat="1" ht="12" customHeight="1">
      <c r="A30" s="309" t="s">
        <v>137</v>
      </c>
      <c r="B30" s="76" t="s">
        <v>171</v>
      </c>
      <c r="C30" s="102"/>
      <c r="D30" s="102"/>
      <c r="E30" s="311"/>
    </row>
    <row r="31" spans="1:5" s="237" customFormat="1" ht="12" customHeight="1">
      <c r="A31" s="309" t="s">
        <v>140</v>
      </c>
      <c r="B31" s="62" t="s">
        <v>174</v>
      </c>
      <c r="C31" s="120"/>
      <c r="D31" s="120"/>
      <c r="E31" s="303"/>
    </row>
    <row r="32" spans="1:5" s="237" customFormat="1" ht="12" customHeight="1">
      <c r="A32" s="300" t="s">
        <v>143</v>
      </c>
      <c r="B32" s="312" t="s">
        <v>177</v>
      </c>
      <c r="C32" s="129"/>
      <c r="D32" s="129"/>
      <c r="E32" s="314"/>
    </row>
    <row r="33" spans="1:5" s="237" customFormat="1" ht="12" customHeight="1">
      <c r="A33" s="228" t="s">
        <v>167</v>
      </c>
      <c r="B33" s="20" t="s">
        <v>385</v>
      </c>
      <c r="C33" s="306"/>
      <c r="D33" s="306"/>
      <c r="E33" s="308"/>
    </row>
    <row r="34" spans="1:5" s="235" customFormat="1" ht="12" customHeight="1">
      <c r="A34" s="228" t="s">
        <v>352</v>
      </c>
      <c r="B34" s="20" t="s">
        <v>538</v>
      </c>
      <c r="C34" s="306"/>
      <c r="D34" s="306"/>
      <c r="E34" s="308"/>
    </row>
    <row r="35" spans="1:5" s="235" customFormat="1" ht="12" customHeight="1">
      <c r="A35" s="228" t="s">
        <v>200</v>
      </c>
      <c r="B35" s="20" t="s">
        <v>539</v>
      </c>
      <c r="C35" s="116">
        <f>+C8+C19+C24+C25+C29+C33+C34</f>
        <v>0</v>
      </c>
      <c r="D35" s="116">
        <f>+D8+D19+D24+D25+D29+D33+D34</f>
        <v>0</v>
      </c>
      <c r="E35" s="295">
        <f>+E8+E19+E24+E25+E29+E33+E34</f>
        <v>0</v>
      </c>
    </row>
    <row r="36" spans="1:5" s="235" customFormat="1" ht="12" customHeight="1">
      <c r="A36" s="315" t="s">
        <v>215</v>
      </c>
      <c r="B36" s="20" t="s">
        <v>540</v>
      </c>
      <c r="C36" s="116">
        <f>+C37+C38+C39</f>
        <v>0</v>
      </c>
      <c r="D36" s="116">
        <f>+D37+D38+D39</f>
        <v>0</v>
      </c>
      <c r="E36" s="295">
        <f>+E37+E38+E39</f>
        <v>0</v>
      </c>
    </row>
    <row r="37" spans="1:5" s="235" customFormat="1" ht="12" customHeight="1">
      <c r="A37" s="309" t="s">
        <v>541</v>
      </c>
      <c r="B37" s="76" t="s">
        <v>440</v>
      </c>
      <c r="C37" s="102"/>
      <c r="D37" s="102"/>
      <c r="E37" s="311"/>
    </row>
    <row r="38" spans="1:5" s="237" customFormat="1" ht="12" customHeight="1">
      <c r="A38" s="309" t="s">
        <v>542</v>
      </c>
      <c r="B38" s="62" t="s">
        <v>543</v>
      </c>
      <c r="C38" s="120"/>
      <c r="D38" s="120"/>
      <c r="E38" s="303"/>
    </row>
    <row r="39" spans="1:5" s="237" customFormat="1" ht="12" customHeight="1">
      <c r="A39" s="300" t="s">
        <v>544</v>
      </c>
      <c r="B39" s="312" t="s">
        <v>545</v>
      </c>
      <c r="C39" s="129"/>
      <c r="D39" s="129"/>
      <c r="E39" s="314"/>
    </row>
    <row r="40" spans="1:5" s="237" customFormat="1" ht="15" customHeight="1">
      <c r="A40" s="315" t="s">
        <v>364</v>
      </c>
      <c r="B40" s="316" t="s">
        <v>546</v>
      </c>
      <c r="C40" s="116">
        <f>+C35+C36</f>
        <v>0</v>
      </c>
      <c r="D40" s="116">
        <f>+D35+D36</f>
        <v>0</v>
      </c>
      <c r="E40" s="295">
        <f>+E35+E36</f>
        <v>0</v>
      </c>
    </row>
    <row r="41" spans="1:5" s="237" customFormat="1" ht="15" customHeight="1">
      <c r="A41" s="251"/>
      <c r="B41" s="252"/>
      <c r="C41" s="253"/>
      <c r="D41" s="253"/>
      <c r="E41" s="253"/>
    </row>
    <row r="42" spans="1:5" ht="12.75">
      <c r="A42" s="255"/>
      <c r="B42" s="256"/>
      <c r="C42" s="257"/>
      <c r="D42" s="257"/>
      <c r="E42" s="257"/>
    </row>
    <row r="43" spans="1:5" s="233" customFormat="1" ht="16.5" customHeight="1">
      <c r="A43" s="657" t="s">
        <v>373</v>
      </c>
      <c r="B43" s="657"/>
      <c r="C43" s="657"/>
      <c r="D43" s="657"/>
      <c r="E43" s="657"/>
    </row>
    <row r="44" spans="1:5" s="261" customFormat="1" ht="12" customHeight="1">
      <c r="A44" s="228" t="s">
        <v>50</v>
      </c>
      <c r="B44" s="20" t="s">
        <v>547</v>
      </c>
      <c r="C44" s="116">
        <f>SUM(C45:C49)</f>
        <v>0</v>
      </c>
      <c r="D44" s="116">
        <f>SUM(D45:D49)</f>
        <v>0</v>
      </c>
      <c r="E44" s="131">
        <f>SUM(E45:E49)</f>
        <v>0</v>
      </c>
    </row>
    <row r="45" spans="1:5" ht="12" customHeight="1">
      <c r="A45" s="300" t="s">
        <v>53</v>
      </c>
      <c r="B45" s="76" t="s">
        <v>294</v>
      </c>
      <c r="C45" s="102"/>
      <c r="D45" s="102"/>
      <c r="E45" s="134"/>
    </row>
    <row r="46" spans="1:5" ht="12" customHeight="1">
      <c r="A46" s="300" t="s">
        <v>56</v>
      </c>
      <c r="B46" s="62" t="s">
        <v>295</v>
      </c>
      <c r="C46" s="105"/>
      <c r="D46" s="105"/>
      <c r="E46" s="109"/>
    </row>
    <row r="47" spans="1:5" ht="12" customHeight="1">
      <c r="A47" s="300" t="s">
        <v>59</v>
      </c>
      <c r="B47" s="62" t="s">
        <v>296</v>
      </c>
      <c r="C47" s="105"/>
      <c r="D47" s="105"/>
      <c r="E47" s="109"/>
    </row>
    <row r="48" spans="1:5" ht="12" customHeight="1">
      <c r="A48" s="300" t="s">
        <v>62</v>
      </c>
      <c r="B48" s="62" t="s">
        <v>297</v>
      </c>
      <c r="C48" s="105"/>
      <c r="D48" s="105"/>
      <c r="E48" s="109"/>
    </row>
    <row r="49" spans="1:5" ht="12" customHeight="1">
      <c r="A49" s="300" t="s">
        <v>65</v>
      </c>
      <c r="B49" s="62" t="s">
        <v>299</v>
      </c>
      <c r="C49" s="105"/>
      <c r="D49" s="105"/>
      <c r="E49" s="109"/>
    </row>
    <row r="50" spans="1:5" ht="12" customHeight="1">
      <c r="A50" s="228" t="s">
        <v>71</v>
      </c>
      <c r="B50" s="20" t="s">
        <v>548</v>
      </c>
      <c r="C50" s="116">
        <f>SUM(C51:C53)</f>
        <v>0</v>
      </c>
      <c r="D50" s="116">
        <f>SUM(D51:D53)</f>
        <v>0</v>
      </c>
      <c r="E50" s="131">
        <f>SUM(E51:E53)</f>
        <v>0</v>
      </c>
    </row>
    <row r="51" spans="1:5" s="261" customFormat="1" ht="12" customHeight="1">
      <c r="A51" s="300" t="s">
        <v>74</v>
      </c>
      <c r="B51" s="76" t="s">
        <v>320</v>
      </c>
      <c r="C51" s="102"/>
      <c r="D51" s="102"/>
      <c r="E51" s="134"/>
    </row>
    <row r="52" spans="1:5" ht="12" customHeight="1">
      <c r="A52" s="300" t="s">
        <v>77</v>
      </c>
      <c r="B52" s="62" t="s">
        <v>322</v>
      </c>
      <c r="C52" s="105"/>
      <c r="D52" s="105"/>
      <c r="E52" s="109"/>
    </row>
    <row r="53" spans="1:5" ht="12" customHeight="1">
      <c r="A53" s="300" t="s">
        <v>80</v>
      </c>
      <c r="B53" s="62" t="s">
        <v>549</v>
      </c>
      <c r="C53" s="105"/>
      <c r="D53" s="105"/>
      <c r="E53" s="109"/>
    </row>
    <row r="54" spans="1:5" ht="12" customHeight="1">
      <c r="A54" s="300" t="s">
        <v>83</v>
      </c>
      <c r="B54" s="62" t="s">
        <v>550</v>
      </c>
      <c r="C54" s="105"/>
      <c r="D54" s="105"/>
      <c r="E54" s="109"/>
    </row>
    <row r="55" spans="1:5" ht="12" customHeight="1">
      <c r="A55" s="228" t="s">
        <v>92</v>
      </c>
      <c r="B55" s="317" t="s">
        <v>551</v>
      </c>
      <c r="C55" s="116">
        <f>+C44+C50</f>
        <v>0</v>
      </c>
      <c r="D55" s="116">
        <f>+D44+D50</f>
        <v>0</v>
      </c>
      <c r="E55" s="131">
        <f>+E44+E50</f>
        <v>0</v>
      </c>
    </row>
    <row r="56" spans="3:5" ht="12.75">
      <c r="C56" s="207"/>
      <c r="D56" s="207"/>
      <c r="E56" s="207"/>
    </row>
    <row r="57" spans="1:5" ht="15" customHeight="1">
      <c r="A57" s="274" t="s">
        <v>515</v>
      </c>
      <c r="B57" s="275"/>
      <c r="C57" s="276"/>
      <c r="D57" s="276"/>
      <c r="E57" s="318"/>
    </row>
    <row r="58" spans="1:5" ht="14.25" customHeight="1">
      <c r="A58" s="274" t="s">
        <v>516</v>
      </c>
      <c r="B58" s="275"/>
      <c r="C58" s="276"/>
      <c r="D58" s="276"/>
      <c r="E58" s="318"/>
    </row>
  </sheetData>
  <sheetProtection sheet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zoomScaleSheetLayoutView="145" zoomScalePageLayoutView="0" workbookViewId="0" topLeftCell="A1">
      <selection activeCell="E2" sqref="E2"/>
    </sheetView>
  </sheetViews>
  <sheetFormatPr defaultColWidth="9.375" defaultRowHeight="12.75"/>
  <cols>
    <col min="1" max="1" width="18.625" style="205" customWidth="1"/>
    <col min="2" max="2" width="62.00390625" style="206" customWidth="1"/>
    <col min="3" max="5" width="15.75390625" style="206" customWidth="1"/>
    <col min="6" max="6" width="0" style="86" hidden="1" customWidth="1"/>
    <col min="7" max="9" width="9.375" style="206" customWidth="1"/>
    <col min="10" max="10" width="11.625" style="206" bestFit="1" customWidth="1"/>
    <col min="11" max="16384" width="9.375" style="206" customWidth="1"/>
  </cols>
  <sheetData>
    <row r="1" spans="1:6" s="213" customFormat="1" ht="21" customHeight="1">
      <c r="A1" s="208"/>
      <c r="B1" s="209"/>
      <c r="C1" s="210"/>
      <c r="D1" s="210"/>
      <c r="E1" s="290" t="str">
        <f>+CONCATENATE("8.1. melléklet a 6/",LEFT(ÖSSZEFÜGGÉSEK!A4,4)+1,". (VII.17.) önkormányzati rendelethez")</f>
        <v>8.1. melléklet a 6/2020. (VII.17.) önkormányzati rendelethez</v>
      </c>
      <c r="F1" s="212"/>
    </row>
    <row r="2" spans="1:6" s="217" customFormat="1" ht="25.5" customHeight="1">
      <c r="A2" s="214" t="s">
        <v>524</v>
      </c>
      <c r="B2" s="655" t="s">
        <v>821</v>
      </c>
      <c r="C2" s="655"/>
      <c r="D2" s="655"/>
      <c r="E2" s="291" t="s">
        <v>521</v>
      </c>
      <c r="F2" s="216"/>
    </row>
    <row r="3" spans="1:6" s="217" customFormat="1" ht="15">
      <c r="A3" s="218" t="s">
        <v>553</v>
      </c>
      <c r="B3" s="656" t="s">
        <v>501</v>
      </c>
      <c r="C3" s="656"/>
      <c r="D3" s="656"/>
      <c r="E3" s="292" t="s">
        <v>499</v>
      </c>
      <c r="F3" s="216"/>
    </row>
    <row r="4" spans="1:6" s="223" customFormat="1" ht="15.75" customHeight="1">
      <c r="A4" s="220"/>
      <c r="B4" s="220"/>
      <c r="C4" s="221"/>
      <c r="D4" s="221"/>
      <c r="E4" s="221" t="s">
        <v>502</v>
      </c>
      <c r="F4" s="222"/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6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  <c r="F6" s="232"/>
    </row>
    <row r="7" spans="1:6" s="233" customFormat="1" ht="15.75" customHeight="1">
      <c r="A7" s="657" t="s">
        <v>372</v>
      </c>
      <c r="B7" s="657"/>
      <c r="C7" s="657"/>
      <c r="D7" s="657"/>
      <c r="E7" s="657"/>
      <c r="F7" s="232"/>
    </row>
    <row r="8" spans="1:6" s="235" customFormat="1" ht="12" customHeight="1">
      <c r="A8" s="228" t="s">
        <v>50</v>
      </c>
      <c r="B8" s="293" t="s">
        <v>527</v>
      </c>
      <c r="C8" s="116">
        <v>0</v>
      </c>
      <c r="D8" s="294">
        <v>7117</v>
      </c>
      <c r="E8" s="295">
        <v>7117</v>
      </c>
      <c r="F8" s="232" t="s">
        <v>52</v>
      </c>
    </row>
    <row r="9" spans="1:6" s="235" customFormat="1" ht="12" customHeight="1">
      <c r="A9" s="296" t="s">
        <v>53</v>
      </c>
      <c r="B9" s="60" t="s">
        <v>138</v>
      </c>
      <c r="C9" s="297">
        <v>0</v>
      </c>
      <c r="D9" s="298">
        <v>0</v>
      </c>
      <c r="E9" s="299">
        <v>0</v>
      </c>
      <c r="F9" s="232" t="s">
        <v>55</v>
      </c>
    </row>
    <row r="10" spans="1:6" s="235" customFormat="1" ht="12" customHeight="1">
      <c r="A10" s="300" t="s">
        <v>56</v>
      </c>
      <c r="B10" s="62" t="s">
        <v>141</v>
      </c>
      <c r="C10" s="105">
        <v>0</v>
      </c>
      <c r="D10" s="301">
        <v>0</v>
      </c>
      <c r="E10" s="130">
        <v>0</v>
      </c>
      <c r="F10" s="232" t="s">
        <v>58</v>
      </c>
    </row>
    <row r="11" spans="1:6" s="235" customFormat="1" ht="12" customHeight="1">
      <c r="A11" s="300" t="s">
        <v>59</v>
      </c>
      <c r="B11" s="62" t="s">
        <v>144</v>
      </c>
      <c r="C11" s="105">
        <v>0</v>
      </c>
      <c r="D11" s="301">
        <v>0</v>
      </c>
      <c r="E11" s="130">
        <v>0</v>
      </c>
      <c r="F11" s="232" t="s">
        <v>61</v>
      </c>
    </row>
    <row r="12" spans="1:6" s="235" customFormat="1" ht="12" customHeight="1">
      <c r="A12" s="300" t="s">
        <v>62</v>
      </c>
      <c r="B12" s="62" t="s">
        <v>147</v>
      </c>
      <c r="C12" s="105"/>
      <c r="D12" s="301">
        <v>0</v>
      </c>
      <c r="E12" s="130"/>
      <c r="F12" s="232" t="s">
        <v>64</v>
      </c>
    </row>
    <row r="13" spans="1:6" s="235" customFormat="1" ht="12" customHeight="1">
      <c r="A13" s="300" t="s">
        <v>65</v>
      </c>
      <c r="B13" s="62" t="s">
        <v>150</v>
      </c>
      <c r="C13" s="105">
        <v>0</v>
      </c>
      <c r="D13" s="301">
        <v>0</v>
      </c>
      <c r="E13" s="130">
        <v>0</v>
      </c>
      <c r="F13" s="232" t="s">
        <v>67</v>
      </c>
    </row>
    <row r="14" spans="1:6" s="235" customFormat="1" ht="12" customHeight="1">
      <c r="A14" s="300" t="s">
        <v>68</v>
      </c>
      <c r="B14" s="62" t="s">
        <v>528</v>
      </c>
      <c r="C14" s="105">
        <v>0</v>
      </c>
      <c r="D14" s="301">
        <v>0</v>
      </c>
      <c r="E14" s="130">
        <v>0</v>
      </c>
      <c r="F14" s="232" t="s">
        <v>70</v>
      </c>
    </row>
    <row r="15" spans="1:6" s="237" customFormat="1" ht="12" customHeight="1">
      <c r="A15" s="300" t="s">
        <v>301</v>
      </c>
      <c r="B15" s="77" t="s">
        <v>529</v>
      </c>
      <c r="C15" s="105">
        <v>0</v>
      </c>
      <c r="D15" s="301">
        <v>0</v>
      </c>
      <c r="E15" s="130">
        <v>0</v>
      </c>
      <c r="F15" s="232" t="s">
        <v>73</v>
      </c>
    </row>
    <row r="16" spans="1:6" s="237" customFormat="1" ht="12" customHeight="1">
      <c r="A16" s="300" t="s">
        <v>303</v>
      </c>
      <c r="B16" s="62" t="s">
        <v>159</v>
      </c>
      <c r="C16" s="120">
        <v>0</v>
      </c>
      <c r="D16" s="302">
        <v>27</v>
      </c>
      <c r="E16" s="303">
        <v>27</v>
      </c>
      <c r="F16" s="232" t="s">
        <v>76</v>
      </c>
    </row>
    <row r="17" spans="1:6" s="235" customFormat="1" ht="12" customHeight="1">
      <c r="A17" s="300" t="s">
        <v>305</v>
      </c>
      <c r="B17" s="62" t="s">
        <v>162</v>
      </c>
      <c r="C17" s="105">
        <v>0</v>
      </c>
      <c r="D17" s="301">
        <v>0</v>
      </c>
      <c r="E17" s="130">
        <v>0</v>
      </c>
      <c r="F17" s="232" t="s">
        <v>79</v>
      </c>
    </row>
    <row r="18" spans="1:6" s="237" customFormat="1" ht="12" customHeight="1">
      <c r="A18" s="300" t="s">
        <v>307</v>
      </c>
      <c r="B18" s="77" t="s">
        <v>165</v>
      </c>
      <c r="C18" s="112">
        <v>0</v>
      </c>
      <c r="D18" s="304">
        <v>7090</v>
      </c>
      <c r="E18" s="305">
        <v>7090</v>
      </c>
      <c r="F18" s="232" t="s">
        <v>82</v>
      </c>
    </row>
    <row r="19" spans="1:6" s="237" customFormat="1" ht="12" customHeight="1">
      <c r="A19" s="228" t="s">
        <v>71</v>
      </c>
      <c r="B19" s="293" t="s">
        <v>530</v>
      </c>
      <c r="C19" s="116">
        <v>0</v>
      </c>
      <c r="D19" s="294">
        <v>0</v>
      </c>
      <c r="E19" s="295">
        <v>0</v>
      </c>
      <c r="F19" s="232" t="s">
        <v>85</v>
      </c>
    </row>
    <row r="20" spans="1:6" s="237" customFormat="1" ht="12" customHeight="1">
      <c r="A20" s="300" t="s">
        <v>74</v>
      </c>
      <c r="B20" s="76" t="s">
        <v>75</v>
      </c>
      <c r="C20" s="105">
        <v>0</v>
      </c>
      <c r="D20" s="301">
        <v>0</v>
      </c>
      <c r="E20" s="130">
        <v>0</v>
      </c>
      <c r="F20" s="232" t="s">
        <v>88</v>
      </c>
    </row>
    <row r="21" spans="1:6" s="237" customFormat="1" ht="12" customHeight="1">
      <c r="A21" s="300" t="s">
        <v>77</v>
      </c>
      <c r="B21" s="62" t="s">
        <v>531</v>
      </c>
      <c r="C21" s="105">
        <v>0</v>
      </c>
      <c r="D21" s="301">
        <v>0</v>
      </c>
      <c r="E21" s="130">
        <v>0</v>
      </c>
      <c r="F21" s="232" t="s">
        <v>91</v>
      </c>
    </row>
    <row r="22" spans="1:6" s="237" customFormat="1" ht="12" customHeight="1">
      <c r="A22" s="300" t="s">
        <v>80</v>
      </c>
      <c r="B22" s="62" t="s">
        <v>532</v>
      </c>
      <c r="C22" s="105">
        <v>0</v>
      </c>
      <c r="D22" s="301">
        <v>0</v>
      </c>
      <c r="E22" s="130">
        <v>0</v>
      </c>
      <c r="F22" s="232" t="s">
        <v>94</v>
      </c>
    </row>
    <row r="23" spans="1:6" s="235" customFormat="1" ht="12" customHeight="1">
      <c r="A23" s="300" t="s">
        <v>83</v>
      </c>
      <c r="B23" s="62" t="s">
        <v>554</v>
      </c>
      <c r="C23" s="105">
        <v>0</v>
      </c>
      <c r="D23" s="301">
        <v>0</v>
      </c>
      <c r="E23" s="130">
        <v>0</v>
      </c>
      <c r="F23" s="232" t="s">
        <v>97</v>
      </c>
    </row>
    <row r="24" spans="1:6" s="235" customFormat="1" ht="12" customHeight="1">
      <c r="A24" s="228" t="s">
        <v>92</v>
      </c>
      <c r="B24" s="20" t="s">
        <v>384</v>
      </c>
      <c r="C24" s="306">
        <v>0</v>
      </c>
      <c r="D24" s="307">
        <v>0</v>
      </c>
      <c r="E24" s="308">
        <v>0</v>
      </c>
      <c r="F24" s="232" t="s">
        <v>100</v>
      </c>
    </row>
    <row r="25" spans="1:6" s="235" customFormat="1" ht="12" customHeight="1">
      <c r="A25" s="228" t="s">
        <v>341</v>
      </c>
      <c r="B25" s="20" t="s">
        <v>534</v>
      </c>
      <c r="C25" s="116"/>
      <c r="D25" s="294"/>
      <c r="E25" s="295"/>
      <c r="F25" s="232" t="s">
        <v>103</v>
      </c>
    </row>
    <row r="26" spans="1:6" s="235" customFormat="1" ht="12" customHeight="1">
      <c r="A26" s="309" t="s">
        <v>116</v>
      </c>
      <c r="B26" s="76" t="s">
        <v>531</v>
      </c>
      <c r="C26" s="102">
        <v>0</v>
      </c>
      <c r="D26" s="310">
        <v>0</v>
      </c>
      <c r="E26" s="311">
        <v>0</v>
      </c>
      <c r="F26" s="232" t="s">
        <v>106</v>
      </c>
    </row>
    <row r="27" spans="1:6" s="235" customFormat="1" ht="12" customHeight="1">
      <c r="A27" s="309" t="s">
        <v>125</v>
      </c>
      <c r="B27" s="62" t="s">
        <v>535</v>
      </c>
      <c r="C27" s="120">
        <v>0</v>
      </c>
      <c r="D27" s="302">
        <v>0</v>
      </c>
      <c r="E27" s="303">
        <v>0</v>
      </c>
      <c r="F27" s="232" t="s">
        <v>109</v>
      </c>
    </row>
    <row r="28" spans="1:6" s="235" customFormat="1" ht="12" customHeight="1">
      <c r="A28" s="300" t="s">
        <v>128</v>
      </c>
      <c r="B28" s="312" t="s">
        <v>555</v>
      </c>
      <c r="C28" s="129">
        <v>0</v>
      </c>
      <c r="D28" s="313">
        <v>0</v>
      </c>
      <c r="E28" s="314">
        <v>0</v>
      </c>
      <c r="F28" s="232" t="s">
        <v>112</v>
      </c>
    </row>
    <row r="29" spans="1:6" s="235" customFormat="1" ht="12" customHeight="1">
      <c r="A29" s="228" t="s">
        <v>134</v>
      </c>
      <c r="B29" s="20" t="s">
        <v>537</v>
      </c>
      <c r="C29" s="116"/>
      <c r="D29" s="294"/>
      <c r="E29" s="295"/>
      <c r="F29" s="232" t="s">
        <v>115</v>
      </c>
    </row>
    <row r="30" spans="1:6" s="235" customFormat="1" ht="12" customHeight="1">
      <c r="A30" s="309" t="s">
        <v>137</v>
      </c>
      <c r="B30" s="76" t="s">
        <v>171</v>
      </c>
      <c r="C30" s="102">
        <v>0</v>
      </c>
      <c r="D30" s="310">
        <v>0</v>
      </c>
      <c r="E30" s="311">
        <v>0</v>
      </c>
      <c r="F30" s="232" t="s">
        <v>118</v>
      </c>
    </row>
    <row r="31" spans="1:6" s="235" customFormat="1" ht="12" customHeight="1">
      <c r="A31" s="309" t="s">
        <v>140</v>
      </c>
      <c r="B31" s="62" t="s">
        <v>174</v>
      </c>
      <c r="C31" s="120">
        <v>0</v>
      </c>
      <c r="D31" s="302">
        <v>0</v>
      </c>
      <c r="E31" s="303">
        <v>0</v>
      </c>
      <c r="F31" s="232" t="s">
        <v>121</v>
      </c>
    </row>
    <row r="32" spans="1:6" s="235" customFormat="1" ht="12" customHeight="1">
      <c r="A32" s="300" t="s">
        <v>143</v>
      </c>
      <c r="B32" s="312" t="s">
        <v>177</v>
      </c>
      <c r="C32" s="129">
        <v>0</v>
      </c>
      <c r="D32" s="313">
        <v>0</v>
      </c>
      <c r="E32" s="314">
        <v>0</v>
      </c>
      <c r="F32" s="232" t="s">
        <v>124</v>
      </c>
    </row>
    <row r="33" spans="1:6" s="235" customFormat="1" ht="12" customHeight="1">
      <c r="A33" s="228" t="s">
        <v>167</v>
      </c>
      <c r="B33" s="20" t="s">
        <v>385</v>
      </c>
      <c r="C33" s="306">
        <v>0</v>
      </c>
      <c r="D33" s="307">
        <v>0</v>
      </c>
      <c r="E33" s="308">
        <v>0</v>
      </c>
      <c r="F33" s="232" t="s">
        <v>127</v>
      </c>
    </row>
    <row r="34" spans="1:6" s="235" customFormat="1" ht="12" customHeight="1">
      <c r="A34" s="228" t="s">
        <v>352</v>
      </c>
      <c r="B34" s="20" t="s">
        <v>538</v>
      </c>
      <c r="C34" s="306">
        <v>0</v>
      </c>
      <c r="D34" s="307">
        <v>0</v>
      </c>
      <c r="E34" s="308">
        <v>0</v>
      </c>
      <c r="F34" s="232" t="s">
        <v>130</v>
      </c>
    </row>
    <row r="35" spans="1:6" s="235" customFormat="1" ht="12" customHeight="1">
      <c r="A35" s="228" t="s">
        <v>200</v>
      </c>
      <c r="B35" s="20" t="s">
        <v>556</v>
      </c>
      <c r="C35" s="116">
        <f>C8+C19</f>
        <v>0</v>
      </c>
      <c r="D35" s="116">
        <f>D8+D19</f>
        <v>7117</v>
      </c>
      <c r="E35" s="116">
        <f>E8+E19</f>
        <v>7117</v>
      </c>
      <c r="F35" s="232" t="s">
        <v>133</v>
      </c>
    </row>
    <row r="36" spans="1:6" s="237" customFormat="1" ht="12" customHeight="1">
      <c r="A36" s="315" t="s">
        <v>215</v>
      </c>
      <c r="B36" s="20" t="s">
        <v>540</v>
      </c>
      <c r="C36" s="116">
        <f>C37+C39</f>
        <v>3000000</v>
      </c>
      <c r="D36" s="116">
        <f>D37+D39</f>
        <v>1952053</v>
      </c>
      <c r="E36" s="116">
        <f>E37+E39</f>
        <v>1952053</v>
      </c>
      <c r="F36" s="232" t="s">
        <v>136</v>
      </c>
    </row>
    <row r="37" spans="1:6" s="237" customFormat="1" ht="15" customHeight="1">
      <c r="A37" s="309" t="s">
        <v>541</v>
      </c>
      <c r="B37" s="76" t="s">
        <v>440</v>
      </c>
      <c r="C37" s="102">
        <v>85776</v>
      </c>
      <c r="D37" s="310">
        <v>85776</v>
      </c>
      <c r="E37" s="311">
        <v>85776</v>
      </c>
      <c r="F37" s="232" t="s">
        <v>139</v>
      </c>
    </row>
    <row r="38" spans="1:6" s="237" customFormat="1" ht="15" customHeight="1">
      <c r="A38" s="309" t="s">
        <v>542</v>
      </c>
      <c r="B38" s="62" t="s">
        <v>543</v>
      </c>
      <c r="C38" s="120">
        <v>0</v>
      </c>
      <c r="D38" s="302">
        <v>0</v>
      </c>
      <c r="E38" s="303">
        <v>0</v>
      </c>
      <c r="F38" s="232" t="s">
        <v>142</v>
      </c>
    </row>
    <row r="39" spans="1:6" ht="15">
      <c r="A39" s="300" t="s">
        <v>544</v>
      </c>
      <c r="B39" s="312" t="s">
        <v>545</v>
      </c>
      <c r="C39" s="129">
        <v>2914224</v>
      </c>
      <c r="D39" s="313">
        <v>1866277</v>
      </c>
      <c r="E39" s="314">
        <v>1866277</v>
      </c>
      <c r="F39" s="232" t="s">
        <v>145</v>
      </c>
    </row>
    <row r="40" spans="1:6" s="233" customFormat="1" ht="16.5" customHeight="1">
      <c r="A40" s="315" t="s">
        <v>364</v>
      </c>
      <c r="B40" s="316" t="s">
        <v>546</v>
      </c>
      <c r="C40" s="116">
        <f>C35+C36</f>
        <v>3000000</v>
      </c>
      <c r="D40" s="116">
        <f>D35+D36</f>
        <v>1959170</v>
      </c>
      <c r="E40" s="116">
        <f>E35+E36</f>
        <v>1959170</v>
      </c>
      <c r="F40" s="116">
        <f>F35+F36</f>
        <v>57</v>
      </c>
    </row>
    <row r="41" spans="1:6" s="261" customFormat="1" ht="12" customHeight="1">
      <c r="A41" s="251"/>
      <c r="B41" s="252"/>
      <c r="C41" s="253"/>
      <c r="D41" s="253"/>
      <c r="E41" s="253"/>
      <c r="F41" s="232"/>
    </row>
    <row r="42" spans="1:6" ht="12" customHeight="1">
      <c r="A42" s="255"/>
      <c r="B42" s="256"/>
      <c r="C42" s="257"/>
      <c r="D42" s="257"/>
      <c r="E42" s="257"/>
      <c r="F42" s="232"/>
    </row>
    <row r="43" spans="1:6" ht="12" customHeight="1">
      <c r="A43" s="657" t="s">
        <v>373</v>
      </c>
      <c r="B43" s="657"/>
      <c r="C43" s="657"/>
      <c r="D43" s="657"/>
      <c r="E43" s="657"/>
      <c r="F43" s="233"/>
    </row>
    <row r="44" spans="1:6" ht="12" customHeight="1">
      <c r="A44" s="228" t="s">
        <v>50</v>
      </c>
      <c r="B44" s="20" t="s">
        <v>547</v>
      </c>
      <c r="C44" s="116">
        <f>SUM(C45:C49)</f>
        <v>3000000</v>
      </c>
      <c r="D44" s="116">
        <f>SUM(D45:D49)</f>
        <v>1959170</v>
      </c>
      <c r="E44" s="116">
        <f>SUM(E45:E49)</f>
        <v>1876209</v>
      </c>
      <c r="F44" s="232" t="s">
        <v>52</v>
      </c>
    </row>
    <row r="45" spans="1:6" ht="12" customHeight="1">
      <c r="A45" s="300" t="s">
        <v>53</v>
      </c>
      <c r="B45" s="76" t="s">
        <v>294</v>
      </c>
      <c r="C45" s="102">
        <v>1500000</v>
      </c>
      <c r="D45" s="102">
        <v>558726</v>
      </c>
      <c r="E45" s="311">
        <v>558726</v>
      </c>
      <c r="F45" s="232" t="s">
        <v>55</v>
      </c>
    </row>
    <row r="46" spans="1:6" ht="12" customHeight="1">
      <c r="A46" s="300" t="s">
        <v>56</v>
      </c>
      <c r="B46" s="62" t="s">
        <v>295</v>
      </c>
      <c r="C46" s="105">
        <v>300000</v>
      </c>
      <c r="D46" s="105">
        <v>373626</v>
      </c>
      <c r="E46" s="130">
        <v>373626</v>
      </c>
      <c r="F46" s="232" t="s">
        <v>58</v>
      </c>
    </row>
    <row r="47" spans="1:6" ht="12" customHeight="1">
      <c r="A47" s="300" t="s">
        <v>59</v>
      </c>
      <c r="B47" s="62" t="s">
        <v>296</v>
      </c>
      <c r="C47" s="105">
        <v>1200000</v>
      </c>
      <c r="D47" s="105">
        <v>1026818</v>
      </c>
      <c r="E47" s="130">
        <v>943857</v>
      </c>
      <c r="F47" s="232" t="s">
        <v>61</v>
      </c>
    </row>
    <row r="48" spans="1:6" s="261" customFormat="1" ht="12" customHeight="1">
      <c r="A48" s="300" t="s">
        <v>62</v>
      </c>
      <c r="B48" s="62" t="s">
        <v>297</v>
      </c>
      <c r="C48" s="105">
        <v>0</v>
      </c>
      <c r="D48" s="105">
        <v>0</v>
      </c>
      <c r="E48" s="130">
        <v>0</v>
      </c>
      <c r="F48" s="232" t="s">
        <v>64</v>
      </c>
    </row>
    <row r="49" spans="1:6" ht="12" customHeight="1">
      <c r="A49" s="300" t="s">
        <v>65</v>
      </c>
      <c r="B49" s="62" t="s">
        <v>299</v>
      </c>
      <c r="C49" s="105"/>
      <c r="D49" s="105"/>
      <c r="E49" s="130">
        <v>0</v>
      </c>
      <c r="F49" s="232" t="s">
        <v>67</v>
      </c>
    </row>
    <row r="50" spans="1:6" ht="12" customHeight="1">
      <c r="A50" s="228" t="s">
        <v>71</v>
      </c>
      <c r="B50" s="20" t="s">
        <v>548</v>
      </c>
      <c r="C50" s="116">
        <v>0</v>
      </c>
      <c r="D50" s="116"/>
      <c r="E50" s="295"/>
      <c r="F50" s="232" t="s">
        <v>70</v>
      </c>
    </row>
    <row r="51" spans="1:6" ht="12" customHeight="1">
      <c r="A51" s="300" t="s">
        <v>74</v>
      </c>
      <c r="B51" s="76" t="s">
        <v>320</v>
      </c>
      <c r="C51" s="102"/>
      <c r="D51" s="102"/>
      <c r="E51" s="311">
        <v>0</v>
      </c>
      <c r="F51" s="232" t="s">
        <v>73</v>
      </c>
    </row>
    <row r="52" spans="1:6" ht="12" customHeight="1">
      <c r="A52" s="300" t="s">
        <v>77</v>
      </c>
      <c r="B52" s="62" t="s">
        <v>322</v>
      </c>
      <c r="C52" s="105">
        <v>0</v>
      </c>
      <c r="D52" s="105">
        <v>0</v>
      </c>
      <c r="E52" s="130">
        <v>0</v>
      </c>
      <c r="F52" s="232" t="s">
        <v>76</v>
      </c>
    </row>
    <row r="53" spans="1:6" ht="15" customHeight="1">
      <c r="A53" s="300" t="s">
        <v>80</v>
      </c>
      <c r="B53" s="62" t="s">
        <v>549</v>
      </c>
      <c r="C53" s="105">
        <v>0</v>
      </c>
      <c r="D53" s="105">
        <v>0</v>
      </c>
      <c r="E53" s="130">
        <v>0</v>
      </c>
      <c r="F53" s="232" t="s">
        <v>79</v>
      </c>
    </row>
    <row r="54" spans="1:6" ht="15">
      <c r="A54" s="300" t="s">
        <v>83</v>
      </c>
      <c r="B54" s="62" t="s">
        <v>557</v>
      </c>
      <c r="C54" s="105">
        <v>0</v>
      </c>
      <c r="D54" s="105">
        <v>0</v>
      </c>
      <c r="E54" s="130">
        <v>0</v>
      </c>
      <c r="F54" s="232" t="s">
        <v>82</v>
      </c>
    </row>
    <row r="55" spans="1:6" ht="15" customHeight="1">
      <c r="A55" s="228" t="s">
        <v>92</v>
      </c>
      <c r="B55" s="317" t="s">
        <v>551</v>
      </c>
      <c r="C55" s="116">
        <f>C44+C50</f>
        <v>3000000</v>
      </c>
      <c r="D55" s="116">
        <f>D44+D50</f>
        <v>1959170</v>
      </c>
      <c r="E55" s="116">
        <f>E44+E50</f>
        <v>1876209</v>
      </c>
      <c r="F55" s="232" t="s">
        <v>85</v>
      </c>
    </row>
    <row r="56" spans="3:6" ht="15">
      <c r="C56" s="207"/>
      <c r="D56" s="207"/>
      <c r="E56" s="207"/>
      <c r="F56" s="232"/>
    </row>
    <row r="57" spans="1:6" ht="15">
      <c r="A57" s="274" t="s">
        <v>515</v>
      </c>
      <c r="B57" s="275"/>
      <c r="C57" s="276"/>
      <c r="D57" s="276">
        <v>1</v>
      </c>
      <c r="E57" s="318">
        <v>1</v>
      </c>
      <c r="F57" s="232"/>
    </row>
    <row r="58" spans="1:6" ht="15">
      <c r="A58" s="274" t="s">
        <v>516</v>
      </c>
      <c r="B58" s="275"/>
      <c r="C58" s="276"/>
      <c r="D58" s="276"/>
      <c r="E58" s="318"/>
      <c r="F58" s="232"/>
    </row>
    <row r="59" ht="15">
      <c r="F59" s="232"/>
    </row>
    <row r="60" ht="15">
      <c r="F60" s="232"/>
    </row>
    <row r="61" ht="15">
      <c r="F61" s="232"/>
    </row>
    <row r="62" ht="15">
      <c r="F62" s="232"/>
    </row>
    <row r="63" ht="15">
      <c r="F63" s="232"/>
    </row>
    <row r="64" ht="15">
      <c r="F64" s="232"/>
    </row>
    <row r="65" ht="15">
      <c r="F65" s="232"/>
    </row>
    <row r="66" ht="15">
      <c r="F66" s="232"/>
    </row>
    <row r="67" ht="15">
      <c r="F67" s="232"/>
    </row>
    <row r="68" ht="15">
      <c r="F68" s="232"/>
    </row>
    <row r="69" ht="15">
      <c r="F69" s="232"/>
    </row>
    <row r="70" ht="15">
      <c r="F70" s="232"/>
    </row>
    <row r="71" ht="15">
      <c r="F71" s="232"/>
    </row>
    <row r="72" ht="15">
      <c r="F72" s="232"/>
    </row>
    <row r="73" ht="15">
      <c r="F73" s="232"/>
    </row>
    <row r="74" ht="15">
      <c r="F74" s="232"/>
    </row>
    <row r="75" ht="15">
      <c r="F75" s="232"/>
    </row>
    <row r="76" ht="15">
      <c r="F76" s="232"/>
    </row>
    <row r="77" ht="15">
      <c r="F77" s="232"/>
    </row>
    <row r="78" ht="15">
      <c r="F78" s="232"/>
    </row>
    <row r="79" ht="15">
      <c r="F79" s="232"/>
    </row>
    <row r="80" ht="15">
      <c r="F80" s="232"/>
    </row>
    <row r="81" ht="15">
      <c r="F81" s="232"/>
    </row>
    <row r="82" ht="15">
      <c r="F82" s="232"/>
    </row>
    <row r="83" ht="15">
      <c r="F83" s="232"/>
    </row>
    <row r="84" ht="15">
      <c r="F84" s="232"/>
    </row>
    <row r="85" ht="15">
      <c r="F85" s="232"/>
    </row>
    <row r="86" ht="15">
      <c r="F86" s="232"/>
    </row>
    <row r="87" ht="15">
      <c r="F87" s="232"/>
    </row>
    <row r="88" ht="13.5">
      <c r="F88" s="254"/>
    </row>
    <row r="90" ht="15">
      <c r="F90" s="232"/>
    </row>
    <row r="91" ht="12.75">
      <c r="F91" s="260"/>
    </row>
    <row r="92" ht="12.75">
      <c r="F92" s="260"/>
    </row>
    <row r="93" ht="12.75">
      <c r="F93" s="260"/>
    </row>
    <row r="94" ht="12.75">
      <c r="F94" s="260"/>
    </row>
    <row r="95" ht="12.75">
      <c r="F95" s="260"/>
    </row>
    <row r="96" ht="12.75">
      <c r="F96" s="260"/>
    </row>
    <row r="97" ht="12.75">
      <c r="F97" s="260"/>
    </row>
    <row r="98" ht="12.75">
      <c r="F98" s="260"/>
    </row>
    <row r="99" ht="12.75">
      <c r="F99" s="260"/>
    </row>
    <row r="100" ht="12.75">
      <c r="F100" s="260"/>
    </row>
    <row r="101" ht="12.75">
      <c r="F101" s="260"/>
    </row>
    <row r="102" ht="12.75">
      <c r="F102" s="260"/>
    </row>
    <row r="103" ht="12.75">
      <c r="F103" s="260"/>
    </row>
    <row r="104" ht="12.75">
      <c r="F104" s="260"/>
    </row>
    <row r="105" ht="12.75">
      <c r="F105" s="260"/>
    </row>
    <row r="106" ht="12.75">
      <c r="F106" s="260"/>
    </row>
    <row r="107" ht="12.75">
      <c r="F107" s="260"/>
    </row>
    <row r="108" ht="12.75">
      <c r="F108" s="260"/>
    </row>
    <row r="109" ht="12.75">
      <c r="F109" s="260"/>
    </row>
    <row r="110" ht="12.75">
      <c r="F110" s="260"/>
    </row>
    <row r="111" ht="12.75">
      <c r="F111" s="260"/>
    </row>
    <row r="112" ht="12.75">
      <c r="F112" s="260"/>
    </row>
    <row r="113" ht="12.75">
      <c r="F113" s="260"/>
    </row>
    <row r="114" ht="12.75">
      <c r="F114" s="260"/>
    </row>
    <row r="115" ht="12.75">
      <c r="F115" s="260"/>
    </row>
    <row r="116" ht="12.75">
      <c r="F116" s="260"/>
    </row>
    <row r="117" ht="12.75">
      <c r="F117" s="260"/>
    </row>
    <row r="118" ht="12.75">
      <c r="F118" s="260"/>
    </row>
    <row r="119" ht="12.75">
      <c r="F119" s="260"/>
    </row>
    <row r="120" ht="12.75">
      <c r="F120" s="260"/>
    </row>
    <row r="121" ht="12.75">
      <c r="F121" s="260"/>
    </row>
    <row r="122" ht="12.75">
      <c r="F122" s="260"/>
    </row>
    <row r="123" ht="12.75">
      <c r="F123" s="260"/>
    </row>
    <row r="124" ht="12.75">
      <c r="F124" s="260"/>
    </row>
    <row r="125" ht="12.75">
      <c r="F125" s="260"/>
    </row>
    <row r="126" ht="12.75">
      <c r="F126" s="260"/>
    </row>
    <row r="127" ht="12.75">
      <c r="F127" s="260"/>
    </row>
    <row r="128" ht="12.75">
      <c r="F128" s="260"/>
    </row>
    <row r="129" ht="12.75">
      <c r="F129" s="260"/>
    </row>
    <row r="130" ht="12.75">
      <c r="F130" s="260"/>
    </row>
    <row r="131" ht="12.75">
      <c r="F131" s="260"/>
    </row>
    <row r="132" ht="12.75">
      <c r="F132" s="260"/>
    </row>
    <row r="133" ht="12.75">
      <c r="F133" s="260"/>
    </row>
    <row r="134" ht="12.75">
      <c r="F134" s="260"/>
    </row>
    <row r="135" ht="12.75">
      <c r="F135" s="260"/>
    </row>
    <row r="136" ht="12.75">
      <c r="F136" s="260"/>
    </row>
    <row r="137" ht="12.75">
      <c r="F137" s="260"/>
    </row>
    <row r="138" ht="12.75">
      <c r="F138" s="260"/>
    </row>
    <row r="139" ht="12.75">
      <c r="F139" s="260"/>
    </row>
    <row r="140" ht="12.75">
      <c r="F140" s="260"/>
    </row>
    <row r="141" ht="12.75">
      <c r="F141" s="260"/>
    </row>
    <row r="142" ht="12.75">
      <c r="F142" s="260"/>
    </row>
    <row r="143" ht="12.75">
      <c r="F143" s="260"/>
    </row>
    <row r="144" ht="12.75">
      <c r="F144" s="260"/>
    </row>
    <row r="145" ht="12.75">
      <c r="F145" s="260"/>
    </row>
    <row r="146" ht="12.75">
      <c r="F146" s="260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zoomScaleSheetLayoutView="145" zoomScalePageLayoutView="0" workbookViewId="0" topLeftCell="A1">
      <selection activeCell="E2" sqref="E2"/>
    </sheetView>
  </sheetViews>
  <sheetFormatPr defaultColWidth="9.375" defaultRowHeight="12.75"/>
  <cols>
    <col min="1" max="1" width="18.625" style="205" customWidth="1"/>
    <col min="2" max="2" width="62.00390625" style="206" customWidth="1"/>
    <col min="3" max="5" width="15.75390625" style="206" customWidth="1"/>
    <col min="6" max="6" width="0" style="86" hidden="1" customWidth="1"/>
    <col min="7" max="16384" width="9.375" style="206" customWidth="1"/>
  </cols>
  <sheetData>
    <row r="1" spans="1:6" s="213" customFormat="1" ht="21" customHeight="1">
      <c r="A1" s="208"/>
      <c r="B1" s="209"/>
      <c r="C1" s="210"/>
      <c r="D1" s="210"/>
      <c r="E1" s="290" t="str">
        <f>+CONCATENATE("8.2. melléklet a 6/",LEFT(ÖSSZEFÜGGÉSEK!A4,4)+1,". (VII.17.) önkormányzati rendelethez")</f>
        <v>8.2. melléklet a 6/2020. (VII.17.) önkormányzati rendelethez</v>
      </c>
      <c r="F1" s="212"/>
    </row>
    <row r="2" spans="1:6" s="217" customFormat="1" ht="25.5" customHeight="1">
      <c r="A2" s="214" t="s">
        <v>524</v>
      </c>
      <c r="B2" s="655" t="s">
        <v>821</v>
      </c>
      <c r="C2" s="655"/>
      <c r="D2" s="655"/>
      <c r="E2" s="291" t="s">
        <v>521</v>
      </c>
      <c r="F2" s="216"/>
    </row>
    <row r="3" spans="1:6" s="217" customFormat="1" ht="15">
      <c r="A3" s="218" t="s">
        <v>553</v>
      </c>
      <c r="B3" s="656" t="s">
        <v>558</v>
      </c>
      <c r="C3" s="656"/>
      <c r="D3" s="656"/>
      <c r="E3" s="292" t="s">
        <v>518</v>
      </c>
      <c r="F3" s="216"/>
    </row>
    <row r="4" spans="1:6" s="223" customFormat="1" ht="15.75" customHeight="1">
      <c r="A4" s="220"/>
      <c r="B4" s="220"/>
      <c r="C4" s="221"/>
      <c r="D4" s="221"/>
      <c r="E4" s="221" t="s">
        <v>502</v>
      </c>
      <c r="F4" s="222"/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6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  <c r="F6" s="232"/>
    </row>
    <row r="7" spans="1:6" s="233" customFormat="1" ht="15.75" customHeight="1">
      <c r="A7" s="657" t="s">
        <v>372</v>
      </c>
      <c r="B7" s="657"/>
      <c r="C7" s="657"/>
      <c r="D7" s="657"/>
      <c r="E7" s="657"/>
      <c r="F7" s="232"/>
    </row>
    <row r="8" spans="1:6" s="235" customFormat="1" ht="12" customHeight="1">
      <c r="A8" s="228" t="s">
        <v>50</v>
      </c>
      <c r="B8" s="293" t="s">
        <v>527</v>
      </c>
      <c r="C8" s="116">
        <v>0</v>
      </c>
      <c r="D8" s="294">
        <v>7117</v>
      </c>
      <c r="E8" s="295">
        <v>7117</v>
      </c>
      <c r="F8" s="232" t="s">
        <v>52</v>
      </c>
    </row>
    <row r="9" spans="1:6" s="235" customFormat="1" ht="12" customHeight="1">
      <c r="A9" s="296" t="s">
        <v>53</v>
      </c>
      <c r="B9" s="60" t="s">
        <v>138</v>
      </c>
      <c r="C9" s="297">
        <v>0</v>
      </c>
      <c r="D9" s="298">
        <v>0</v>
      </c>
      <c r="E9" s="299">
        <v>0</v>
      </c>
      <c r="F9" s="232" t="s">
        <v>55</v>
      </c>
    </row>
    <row r="10" spans="1:6" s="235" customFormat="1" ht="12" customHeight="1">
      <c r="A10" s="300" t="s">
        <v>56</v>
      </c>
      <c r="B10" s="62" t="s">
        <v>141</v>
      </c>
      <c r="C10" s="105">
        <v>0</v>
      </c>
      <c r="D10" s="301">
        <v>0</v>
      </c>
      <c r="E10" s="130">
        <v>0</v>
      </c>
      <c r="F10" s="232" t="s">
        <v>58</v>
      </c>
    </row>
    <row r="11" spans="1:6" s="235" customFormat="1" ht="12" customHeight="1">
      <c r="A11" s="300" t="s">
        <v>59</v>
      </c>
      <c r="B11" s="62" t="s">
        <v>144</v>
      </c>
      <c r="C11" s="105">
        <v>0</v>
      </c>
      <c r="D11" s="301">
        <v>0</v>
      </c>
      <c r="E11" s="130">
        <v>0</v>
      </c>
      <c r="F11" s="232" t="s">
        <v>61</v>
      </c>
    </row>
    <row r="12" spans="1:6" s="235" customFormat="1" ht="12" customHeight="1">
      <c r="A12" s="300" t="s">
        <v>62</v>
      </c>
      <c r="B12" s="62" t="s">
        <v>147</v>
      </c>
      <c r="C12" s="105"/>
      <c r="D12" s="301">
        <v>0</v>
      </c>
      <c r="E12" s="130"/>
      <c r="F12" s="232" t="s">
        <v>64</v>
      </c>
    </row>
    <row r="13" spans="1:6" s="235" customFormat="1" ht="12" customHeight="1">
      <c r="A13" s="300" t="s">
        <v>65</v>
      </c>
      <c r="B13" s="62" t="s">
        <v>150</v>
      </c>
      <c r="C13" s="105">
        <v>0</v>
      </c>
      <c r="D13" s="301">
        <v>0</v>
      </c>
      <c r="E13" s="130">
        <v>0</v>
      </c>
      <c r="F13" s="232" t="s">
        <v>67</v>
      </c>
    </row>
    <row r="14" spans="1:6" s="235" customFormat="1" ht="12" customHeight="1">
      <c r="A14" s="300" t="s">
        <v>68</v>
      </c>
      <c r="B14" s="62" t="s">
        <v>528</v>
      </c>
      <c r="C14" s="105">
        <v>0</v>
      </c>
      <c r="D14" s="301">
        <v>0</v>
      </c>
      <c r="E14" s="130">
        <v>0</v>
      </c>
      <c r="F14" s="232" t="s">
        <v>70</v>
      </c>
    </row>
    <row r="15" spans="1:6" s="237" customFormat="1" ht="12" customHeight="1">
      <c r="A15" s="300" t="s">
        <v>301</v>
      </c>
      <c r="B15" s="77" t="s">
        <v>529</v>
      </c>
      <c r="C15" s="105">
        <v>0</v>
      </c>
      <c r="D15" s="301">
        <v>0</v>
      </c>
      <c r="E15" s="130">
        <v>0</v>
      </c>
      <c r="F15" s="232" t="s">
        <v>73</v>
      </c>
    </row>
    <row r="16" spans="1:6" s="237" customFormat="1" ht="12" customHeight="1">
      <c r="A16" s="300" t="s">
        <v>303</v>
      </c>
      <c r="B16" s="62" t="s">
        <v>159</v>
      </c>
      <c r="C16" s="120">
        <v>0</v>
      </c>
      <c r="D16" s="302">
        <v>27</v>
      </c>
      <c r="E16" s="303">
        <v>27</v>
      </c>
      <c r="F16" s="232" t="s">
        <v>76</v>
      </c>
    </row>
    <row r="17" spans="1:6" s="235" customFormat="1" ht="12" customHeight="1">
      <c r="A17" s="300" t="s">
        <v>305</v>
      </c>
      <c r="B17" s="62" t="s">
        <v>162</v>
      </c>
      <c r="C17" s="105">
        <v>0</v>
      </c>
      <c r="D17" s="301">
        <v>0</v>
      </c>
      <c r="E17" s="130">
        <v>0</v>
      </c>
      <c r="F17" s="232" t="s">
        <v>79</v>
      </c>
    </row>
    <row r="18" spans="1:6" s="237" customFormat="1" ht="12" customHeight="1">
      <c r="A18" s="300" t="s">
        <v>307</v>
      </c>
      <c r="B18" s="77" t="s">
        <v>165</v>
      </c>
      <c r="C18" s="112">
        <v>0</v>
      </c>
      <c r="D18" s="304">
        <v>7090</v>
      </c>
      <c r="E18" s="305">
        <v>7090</v>
      </c>
      <c r="F18" s="232" t="s">
        <v>82</v>
      </c>
    </row>
    <row r="19" spans="1:6" s="237" customFormat="1" ht="12" customHeight="1">
      <c r="A19" s="228" t="s">
        <v>71</v>
      </c>
      <c r="B19" s="293" t="s">
        <v>530</v>
      </c>
      <c r="C19" s="116">
        <v>0</v>
      </c>
      <c r="D19" s="294">
        <v>0</v>
      </c>
      <c r="E19" s="295">
        <v>0</v>
      </c>
      <c r="F19" s="232" t="s">
        <v>85</v>
      </c>
    </row>
    <row r="20" spans="1:6" s="237" customFormat="1" ht="12" customHeight="1">
      <c r="A20" s="300" t="s">
        <v>74</v>
      </c>
      <c r="B20" s="76" t="s">
        <v>75</v>
      </c>
      <c r="C20" s="105">
        <v>0</v>
      </c>
      <c r="D20" s="301">
        <v>0</v>
      </c>
      <c r="E20" s="130">
        <v>0</v>
      </c>
      <c r="F20" s="232" t="s">
        <v>88</v>
      </c>
    </row>
    <row r="21" spans="1:6" s="237" customFormat="1" ht="12" customHeight="1">
      <c r="A21" s="300" t="s">
        <v>77</v>
      </c>
      <c r="B21" s="62" t="s">
        <v>531</v>
      </c>
      <c r="C21" s="105">
        <v>0</v>
      </c>
      <c r="D21" s="301">
        <v>0</v>
      </c>
      <c r="E21" s="130">
        <v>0</v>
      </c>
      <c r="F21" s="232" t="s">
        <v>91</v>
      </c>
    </row>
    <row r="22" spans="1:6" s="237" customFormat="1" ht="12" customHeight="1">
      <c r="A22" s="300" t="s">
        <v>80</v>
      </c>
      <c r="B22" s="62" t="s">
        <v>532</v>
      </c>
      <c r="C22" s="105">
        <v>0</v>
      </c>
      <c r="D22" s="301">
        <v>0</v>
      </c>
      <c r="E22" s="130">
        <v>0</v>
      </c>
      <c r="F22" s="232" t="s">
        <v>94</v>
      </c>
    </row>
    <row r="23" spans="1:6" s="235" customFormat="1" ht="12" customHeight="1">
      <c r="A23" s="300" t="s">
        <v>83</v>
      </c>
      <c r="B23" s="62" t="s">
        <v>554</v>
      </c>
      <c r="C23" s="105">
        <v>0</v>
      </c>
      <c r="D23" s="301">
        <v>0</v>
      </c>
      <c r="E23" s="130">
        <v>0</v>
      </c>
      <c r="F23" s="232" t="s">
        <v>97</v>
      </c>
    </row>
    <row r="24" spans="1:6" s="235" customFormat="1" ht="12" customHeight="1">
      <c r="A24" s="228" t="s">
        <v>92</v>
      </c>
      <c r="B24" s="20" t="s">
        <v>384</v>
      </c>
      <c r="C24" s="306">
        <v>0</v>
      </c>
      <c r="D24" s="307">
        <v>0</v>
      </c>
      <c r="E24" s="308">
        <v>0</v>
      </c>
      <c r="F24" s="232" t="s">
        <v>100</v>
      </c>
    </row>
    <row r="25" spans="1:6" s="235" customFormat="1" ht="12" customHeight="1">
      <c r="A25" s="228" t="s">
        <v>341</v>
      </c>
      <c r="B25" s="20" t="s">
        <v>534</v>
      </c>
      <c r="C25" s="116"/>
      <c r="D25" s="294"/>
      <c r="E25" s="295"/>
      <c r="F25" s="232" t="s">
        <v>103</v>
      </c>
    </row>
    <row r="26" spans="1:6" s="235" customFormat="1" ht="12" customHeight="1">
      <c r="A26" s="309" t="s">
        <v>116</v>
      </c>
      <c r="B26" s="76" t="s">
        <v>531</v>
      </c>
      <c r="C26" s="102">
        <v>0</v>
      </c>
      <c r="D26" s="310">
        <v>0</v>
      </c>
      <c r="E26" s="311">
        <v>0</v>
      </c>
      <c r="F26" s="232" t="s">
        <v>106</v>
      </c>
    </row>
    <row r="27" spans="1:6" s="235" customFormat="1" ht="12" customHeight="1">
      <c r="A27" s="309" t="s">
        <v>125</v>
      </c>
      <c r="B27" s="62" t="s">
        <v>535</v>
      </c>
      <c r="C27" s="120">
        <v>0</v>
      </c>
      <c r="D27" s="302">
        <v>0</v>
      </c>
      <c r="E27" s="303">
        <v>0</v>
      </c>
      <c r="F27" s="232" t="s">
        <v>109</v>
      </c>
    </row>
    <row r="28" spans="1:6" s="235" customFormat="1" ht="12" customHeight="1">
      <c r="A28" s="300" t="s">
        <v>128</v>
      </c>
      <c r="B28" s="312" t="s">
        <v>555</v>
      </c>
      <c r="C28" s="129">
        <v>0</v>
      </c>
      <c r="D28" s="313">
        <v>0</v>
      </c>
      <c r="E28" s="314">
        <v>0</v>
      </c>
      <c r="F28" s="232" t="s">
        <v>112</v>
      </c>
    </row>
    <row r="29" spans="1:6" s="235" customFormat="1" ht="12" customHeight="1">
      <c r="A29" s="228" t="s">
        <v>134</v>
      </c>
      <c r="B29" s="20" t="s">
        <v>537</v>
      </c>
      <c r="C29" s="116"/>
      <c r="D29" s="294"/>
      <c r="E29" s="295"/>
      <c r="F29" s="232" t="s">
        <v>115</v>
      </c>
    </row>
    <row r="30" spans="1:6" s="235" customFormat="1" ht="12" customHeight="1">
      <c r="A30" s="309" t="s">
        <v>137</v>
      </c>
      <c r="B30" s="76" t="s">
        <v>171</v>
      </c>
      <c r="C30" s="102">
        <v>0</v>
      </c>
      <c r="D30" s="310">
        <v>0</v>
      </c>
      <c r="E30" s="311">
        <v>0</v>
      </c>
      <c r="F30" s="232" t="s">
        <v>118</v>
      </c>
    </row>
    <row r="31" spans="1:6" s="235" customFormat="1" ht="12" customHeight="1">
      <c r="A31" s="309" t="s">
        <v>140</v>
      </c>
      <c r="B31" s="62" t="s">
        <v>174</v>
      </c>
      <c r="C31" s="120">
        <v>0</v>
      </c>
      <c r="D31" s="302">
        <v>0</v>
      </c>
      <c r="E31" s="303">
        <v>0</v>
      </c>
      <c r="F31" s="232" t="s">
        <v>121</v>
      </c>
    </row>
    <row r="32" spans="1:6" s="235" customFormat="1" ht="12" customHeight="1">
      <c r="A32" s="300" t="s">
        <v>143</v>
      </c>
      <c r="B32" s="312" t="s">
        <v>177</v>
      </c>
      <c r="C32" s="129">
        <v>0</v>
      </c>
      <c r="D32" s="313">
        <v>0</v>
      </c>
      <c r="E32" s="314">
        <v>0</v>
      </c>
      <c r="F32" s="232" t="s">
        <v>124</v>
      </c>
    </row>
    <row r="33" spans="1:6" s="235" customFormat="1" ht="12" customHeight="1">
      <c r="A33" s="228" t="s">
        <v>167</v>
      </c>
      <c r="B33" s="20" t="s">
        <v>385</v>
      </c>
      <c r="C33" s="306">
        <v>0</v>
      </c>
      <c r="D33" s="307">
        <v>0</v>
      </c>
      <c r="E33" s="308">
        <v>0</v>
      </c>
      <c r="F33" s="232" t="s">
        <v>127</v>
      </c>
    </row>
    <row r="34" spans="1:6" s="235" customFormat="1" ht="12" customHeight="1">
      <c r="A34" s="228" t="s">
        <v>352</v>
      </c>
      <c r="B34" s="20" t="s">
        <v>538</v>
      </c>
      <c r="C34" s="306">
        <v>0</v>
      </c>
      <c r="D34" s="307">
        <v>0</v>
      </c>
      <c r="E34" s="308">
        <v>0</v>
      </c>
      <c r="F34" s="232" t="s">
        <v>130</v>
      </c>
    </row>
    <row r="35" spans="1:6" s="235" customFormat="1" ht="12" customHeight="1">
      <c r="A35" s="228" t="s">
        <v>200</v>
      </c>
      <c r="B35" s="20" t="s">
        <v>556</v>
      </c>
      <c r="C35" s="116">
        <f>C8+C19</f>
        <v>0</v>
      </c>
      <c r="D35" s="116">
        <f>D8+D19</f>
        <v>7117</v>
      </c>
      <c r="E35" s="116">
        <f>E8+E19</f>
        <v>7117</v>
      </c>
      <c r="F35" s="232" t="s">
        <v>133</v>
      </c>
    </row>
    <row r="36" spans="1:6" s="237" customFormat="1" ht="12" customHeight="1">
      <c r="A36" s="315" t="s">
        <v>215</v>
      </c>
      <c r="B36" s="20" t="s">
        <v>540</v>
      </c>
      <c r="C36" s="116">
        <f>C37+C39</f>
        <v>3000000</v>
      </c>
      <c r="D36" s="116">
        <f>D37+D39</f>
        <v>1952053</v>
      </c>
      <c r="E36" s="116">
        <f>E37+E39</f>
        <v>1952053</v>
      </c>
      <c r="F36" s="232" t="s">
        <v>136</v>
      </c>
    </row>
    <row r="37" spans="1:6" s="237" customFormat="1" ht="15" customHeight="1">
      <c r="A37" s="309" t="s">
        <v>541</v>
      </c>
      <c r="B37" s="76" t="s">
        <v>440</v>
      </c>
      <c r="C37" s="102">
        <v>85776</v>
      </c>
      <c r="D37" s="310">
        <v>85776</v>
      </c>
      <c r="E37" s="311">
        <v>85776</v>
      </c>
      <c r="F37" s="232" t="s">
        <v>139</v>
      </c>
    </row>
    <row r="38" spans="1:6" s="237" customFormat="1" ht="15" customHeight="1">
      <c r="A38" s="309" t="s">
        <v>542</v>
      </c>
      <c r="B38" s="62" t="s">
        <v>543</v>
      </c>
      <c r="C38" s="120">
        <v>0</v>
      </c>
      <c r="D38" s="302">
        <v>0</v>
      </c>
      <c r="E38" s="303">
        <v>0</v>
      </c>
      <c r="F38" s="232" t="s">
        <v>142</v>
      </c>
    </row>
    <row r="39" spans="1:6" ht="15">
      <c r="A39" s="300" t="s">
        <v>544</v>
      </c>
      <c r="B39" s="312" t="s">
        <v>545</v>
      </c>
      <c r="C39" s="129">
        <v>2914224</v>
      </c>
      <c r="D39" s="313">
        <v>1866277</v>
      </c>
      <c r="E39" s="314">
        <v>1866277</v>
      </c>
      <c r="F39" s="232" t="s">
        <v>145</v>
      </c>
    </row>
    <row r="40" spans="1:6" s="233" customFormat="1" ht="16.5" customHeight="1">
      <c r="A40" s="315" t="s">
        <v>364</v>
      </c>
      <c r="B40" s="316" t="s">
        <v>546</v>
      </c>
      <c r="C40" s="116">
        <f>C35+C36</f>
        <v>3000000</v>
      </c>
      <c r="D40" s="116">
        <f>D35+D36</f>
        <v>1959170</v>
      </c>
      <c r="E40" s="116">
        <f>E35+E36</f>
        <v>1959170</v>
      </c>
      <c r="F40" s="232" t="s">
        <v>148</v>
      </c>
    </row>
    <row r="41" spans="1:6" s="261" customFormat="1" ht="12" customHeight="1">
      <c r="A41" s="251"/>
      <c r="B41" s="252"/>
      <c r="C41" s="253"/>
      <c r="D41" s="253"/>
      <c r="E41" s="253"/>
      <c r="F41" s="232"/>
    </row>
    <row r="42" spans="1:6" ht="12" customHeight="1">
      <c r="A42" s="255"/>
      <c r="B42" s="256"/>
      <c r="C42" s="257"/>
      <c r="D42" s="257"/>
      <c r="E42" s="257"/>
      <c r="F42" s="232"/>
    </row>
    <row r="43" spans="1:6" ht="12" customHeight="1">
      <c r="A43" s="657" t="s">
        <v>373</v>
      </c>
      <c r="B43" s="657"/>
      <c r="C43" s="657"/>
      <c r="D43" s="657"/>
      <c r="E43" s="657"/>
      <c r="F43" s="233"/>
    </row>
    <row r="44" spans="1:6" ht="12" customHeight="1">
      <c r="A44" s="228" t="s">
        <v>50</v>
      </c>
      <c r="B44" s="20" t="s">
        <v>547</v>
      </c>
      <c r="C44" s="116">
        <f>SUM(C45:C49)</f>
        <v>3000000</v>
      </c>
      <c r="D44" s="116">
        <f>SUM(D45:D49)</f>
        <v>1959170</v>
      </c>
      <c r="E44" s="116">
        <f>SUM(E45:E49)</f>
        <v>1876209</v>
      </c>
      <c r="F44" s="232" t="s">
        <v>52</v>
      </c>
    </row>
    <row r="45" spans="1:6" ht="12" customHeight="1">
      <c r="A45" s="300" t="s">
        <v>53</v>
      </c>
      <c r="B45" s="76" t="s">
        <v>294</v>
      </c>
      <c r="C45" s="102">
        <v>1500000</v>
      </c>
      <c r="D45" s="102">
        <v>558726</v>
      </c>
      <c r="E45" s="311">
        <v>558726</v>
      </c>
      <c r="F45" s="232" t="s">
        <v>55</v>
      </c>
    </row>
    <row r="46" spans="1:6" ht="12" customHeight="1">
      <c r="A46" s="300" t="s">
        <v>56</v>
      </c>
      <c r="B46" s="62" t="s">
        <v>295</v>
      </c>
      <c r="C46" s="105">
        <v>300000</v>
      </c>
      <c r="D46" s="105">
        <v>373626</v>
      </c>
      <c r="E46" s="130">
        <v>373626</v>
      </c>
      <c r="F46" s="232" t="s">
        <v>58</v>
      </c>
    </row>
    <row r="47" spans="1:6" ht="12" customHeight="1">
      <c r="A47" s="300" t="s">
        <v>59</v>
      </c>
      <c r="B47" s="62" t="s">
        <v>296</v>
      </c>
      <c r="C47" s="105">
        <v>1200000</v>
      </c>
      <c r="D47" s="105">
        <v>1026818</v>
      </c>
      <c r="E47" s="130">
        <v>943857</v>
      </c>
      <c r="F47" s="232" t="s">
        <v>61</v>
      </c>
    </row>
    <row r="48" spans="1:6" s="261" customFormat="1" ht="12" customHeight="1">
      <c r="A48" s="300" t="s">
        <v>62</v>
      </c>
      <c r="B48" s="62" t="s">
        <v>297</v>
      </c>
      <c r="C48" s="105">
        <v>0</v>
      </c>
      <c r="D48" s="105">
        <v>0</v>
      </c>
      <c r="E48" s="130">
        <v>0</v>
      </c>
      <c r="F48" s="232" t="s">
        <v>64</v>
      </c>
    </row>
    <row r="49" spans="1:6" ht="12" customHeight="1">
      <c r="A49" s="300" t="s">
        <v>65</v>
      </c>
      <c r="B49" s="62" t="s">
        <v>299</v>
      </c>
      <c r="C49" s="105"/>
      <c r="D49" s="105"/>
      <c r="E49" s="130">
        <v>0</v>
      </c>
      <c r="F49" s="232" t="s">
        <v>67</v>
      </c>
    </row>
    <row r="50" spans="1:6" ht="12" customHeight="1">
      <c r="A50" s="228" t="s">
        <v>71</v>
      </c>
      <c r="B50" s="20" t="s">
        <v>548</v>
      </c>
      <c r="C50" s="116">
        <v>0</v>
      </c>
      <c r="D50" s="116"/>
      <c r="E50" s="295"/>
      <c r="F50" s="232" t="s">
        <v>70</v>
      </c>
    </row>
    <row r="51" spans="1:6" ht="12" customHeight="1">
      <c r="A51" s="300" t="s">
        <v>74</v>
      </c>
      <c r="B51" s="76" t="s">
        <v>320</v>
      </c>
      <c r="C51" s="102"/>
      <c r="D51" s="102"/>
      <c r="E51" s="311">
        <v>0</v>
      </c>
      <c r="F51" s="232" t="s">
        <v>73</v>
      </c>
    </row>
    <row r="52" spans="1:6" ht="12" customHeight="1">
      <c r="A52" s="300" t="s">
        <v>77</v>
      </c>
      <c r="B52" s="62" t="s">
        <v>322</v>
      </c>
      <c r="C52" s="105">
        <v>0</v>
      </c>
      <c r="D52" s="105">
        <v>0</v>
      </c>
      <c r="E52" s="130">
        <v>0</v>
      </c>
      <c r="F52" s="232" t="s">
        <v>76</v>
      </c>
    </row>
    <row r="53" spans="1:6" ht="15" customHeight="1">
      <c r="A53" s="300" t="s">
        <v>80</v>
      </c>
      <c r="B53" s="62" t="s">
        <v>549</v>
      </c>
      <c r="C53" s="105">
        <v>0</v>
      </c>
      <c r="D53" s="105">
        <v>0</v>
      </c>
      <c r="E53" s="130">
        <v>0</v>
      </c>
      <c r="F53" s="232" t="s">
        <v>79</v>
      </c>
    </row>
    <row r="54" spans="1:6" ht="15">
      <c r="A54" s="300" t="s">
        <v>83</v>
      </c>
      <c r="B54" s="62" t="s">
        <v>557</v>
      </c>
      <c r="C54" s="105">
        <v>0</v>
      </c>
      <c r="D54" s="105">
        <v>0</v>
      </c>
      <c r="E54" s="130">
        <v>0</v>
      </c>
      <c r="F54" s="232" t="s">
        <v>82</v>
      </c>
    </row>
    <row r="55" spans="1:6" ht="15" customHeight="1">
      <c r="A55" s="228" t="s">
        <v>92</v>
      </c>
      <c r="B55" s="317" t="s">
        <v>551</v>
      </c>
      <c r="C55" s="116">
        <f>C44+C50</f>
        <v>3000000</v>
      </c>
      <c r="D55" s="116">
        <f>D44+D50</f>
        <v>1959170</v>
      </c>
      <c r="E55" s="116">
        <f>E44+E50</f>
        <v>1876209</v>
      </c>
      <c r="F55" s="232" t="s">
        <v>85</v>
      </c>
    </row>
    <row r="56" spans="3:6" ht="15">
      <c r="C56" s="207"/>
      <c r="D56" s="207"/>
      <c r="E56" s="207"/>
      <c r="F56" s="232"/>
    </row>
    <row r="57" spans="1:6" ht="15">
      <c r="A57" s="274" t="s">
        <v>515</v>
      </c>
      <c r="B57" s="275"/>
      <c r="C57" s="276"/>
      <c r="D57" s="276">
        <v>1</v>
      </c>
      <c r="E57" s="318">
        <v>1</v>
      </c>
      <c r="F57" s="232"/>
    </row>
    <row r="58" spans="1:6" ht="15">
      <c r="A58" s="274" t="s">
        <v>516</v>
      </c>
      <c r="B58" s="275"/>
      <c r="C58" s="276"/>
      <c r="D58" s="276"/>
      <c r="E58" s="318"/>
      <c r="F58" s="232"/>
    </row>
    <row r="59" ht="15">
      <c r="F59" s="232"/>
    </row>
    <row r="60" ht="15">
      <c r="F60" s="232"/>
    </row>
    <row r="61" ht="15">
      <c r="F61" s="232"/>
    </row>
    <row r="62" ht="15">
      <c r="F62" s="232"/>
    </row>
    <row r="63" ht="15">
      <c r="F63" s="232"/>
    </row>
    <row r="64" ht="15">
      <c r="F64" s="232"/>
    </row>
    <row r="65" ht="15">
      <c r="F65" s="232"/>
    </row>
    <row r="66" ht="15">
      <c r="F66" s="232"/>
    </row>
    <row r="67" ht="15">
      <c r="F67" s="232"/>
    </row>
    <row r="68" ht="15">
      <c r="F68" s="232"/>
    </row>
    <row r="69" ht="15">
      <c r="F69" s="232"/>
    </row>
    <row r="70" ht="15">
      <c r="F70" s="232"/>
    </row>
    <row r="71" ht="15">
      <c r="F71" s="232"/>
    </row>
    <row r="72" ht="15">
      <c r="F72" s="232"/>
    </row>
    <row r="73" ht="15">
      <c r="F73" s="232"/>
    </row>
    <row r="74" ht="15">
      <c r="F74" s="232"/>
    </row>
    <row r="75" ht="15">
      <c r="F75" s="232"/>
    </row>
    <row r="76" ht="15">
      <c r="F76" s="232"/>
    </row>
    <row r="77" ht="15">
      <c r="F77" s="232"/>
    </row>
    <row r="78" ht="15">
      <c r="F78" s="232"/>
    </row>
    <row r="79" ht="15">
      <c r="F79" s="232"/>
    </row>
    <row r="80" ht="15">
      <c r="F80" s="232"/>
    </row>
    <row r="81" ht="15">
      <c r="F81" s="232"/>
    </row>
    <row r="82" ht="15">
      <c r="F82" s="232"/>
    </row>
    <row r="83" ht="15">
      <c r="F83" s="232"/>
    </row>
    <row r="84" ht="15">
      <c r="F84" s="232"/>
    </row>
    <row r="85" ht="15">
      <c r="F85" s="232"/>
    </row>
    <row r="86" ht="15">
      <c r="F86" s="232"/>
    </row>
    <row r="87" ht="15">
      <c r="F87" s="232"/>
    </row>
    <row r="88" ht="13.5">
      <c r="F88" s="254"/>
    </row>
    <row r="90" ht="15">
      <c r="F90" s="232"/>
    </row>
    <row r="91" ht="12.75">
      <c r="F91" s="260"/>
    </row>
    <row r="92" ht="12.75">
      <c r="F92" s="260"/>
    </row>
    <row r="93" ht="12.75">
      <c r="F93" s="260"/>
    </row>
    <row r="94" ht="12.75">
      <c r="F94" s="260"/>
    </row>
    <row r="95" ht="12.75">
      <c r="F95" s="260"/>
    </row>
    <row r="96" ht="12.75">
      <c r="F96" s="260"/>
    </row>
    <row r="97" ht="12.75">
      <c r="F97" s="260"/>
    </row>
    <row r="98" ht="12.75">
      <c r="F98" s="260"/>
    </row>
    <row r="99" ht="12.75">
      <c r="F99" s="260"/>
    </row>
    <row r="100" ht="12.75">
      <c r="F100" s="260"/>
    </row>
    <row r="101" ht="12.75">
      <c r="F101" s="260"/>
    </row>
    <row r="102" ht="12.75">
      <c r="F102" s="260"/>
    </row>
    <row r="103" ht="12.75">
      <c r="F103" s="260"/>
    </row>
    <row r="104" ht="12.75">
      <c r="F104" s="260"/>
    </row>
    <row r="105" ht="12.75">
      <c r="F105" s="260"/>
    </row>
    <row r="106" ht="12.75">
      <c r="F106" s="260"/>
    </row>
    <row r="107" ht="12.75">
      <c r="F107" s="260"/>
    </row>
    <row r="108" ht="12.75">
      <c r="F108" s="260"/>
    </row>
    <row r="109" ht="12.75">
      <c r="F109" s="260"/>
    </row>
    <row r="110" ht="12.75">
      <c r="F110" s="260"/>
    </row>
    <row r="111" ht="12.75">
      <c r="F111" s="260"/>
    </row>
    <row r="112" ht="12.75">
      <c r="F112" s="260"/>
    </row>
    <row r="113" ht="12.75">
      <c r="F113" s="260"/>
    </row>
    <row r="114" ht="12.75">
      <c r="F114" s="260"/>
    </row>
    <row r="115" ht="12.75">
      <c r="F115" s="260"/>
    </row>
    <row r="116" ht="12.75">
      <c r="F116" s="260"/>
    </row>
    <row r="117" ht="12.75">
      <c r="F117" s="260"/>
    </row>
    <row r="118" ht="12.75">
      <c r="F118" s="260"/>
    </row>
    <row r="119" ht="12.75">
      <c r="F119" s="260"/>
    </row>
    <row r="120" ht="12.75">
      <c r="F120" s="260"/>
    </row>
    <row r="121" ht="12.75">
      <c r="F121" s="260"/>
    </row>
    <row r="122" ht="12.75">
      <c r="F122" s="260"/>
    </row>
    <row r="123" ht="12.75">
      <c r="F123" s="260"/>
    </row>
    <row r="124" ht="12.75">
      <c r="F124" s="260"/>
    </row>
    <row r="125" ht="12.75">
      <c r="F125" s="260"/>
    </row>
    <row r="126" ht="12.75">
      <c r="F126" s="260"/>
    </row>
    <row r="127" ht="12.75">
      <c r="F127" s="260"/>
    </row>
    <row r="128" ht="12.75">
      <c r="F128" s="260"/>
    </row>
    <row r="129" ht="12.75">
      <c r="F129" s="260"/>
    </row>
    <row r="130" ht="12.75">
      <c r="F130" s="260"/>
    </row>
    <row r="131" ht="12.75">
      <c r="F131" s="260"/>
    </row>
    <row r="132" ht="12.75">
      <c r="F132" s="260"/>
    </row>
    <row r="133" ht="12.75">
      <c r="F133" s="260"/>
    </row>
    <row r="134" ht="12.75">
      <c r="F134" s="260"/>
    </row>
    <row r="135" ht="12.75">
      <c r="F135" s="260"/>
    </row>
    <row r="136" ht="12.75">
      <c r="F136" s="260"/>
    </row>
    <row r="137" ht="12.75">
      <c r="F137" s="260"/>
    </row>
    <row r="138" ht="12.75">
      <c r="F138" s="260"/>
    </row>
    <row r="139" ht="12.75">
      <c r="F139" s="260"/>
    </row>
    <row r="140" ht="12.75">
      <c r="F140" s="260"/>
    </row>
    <row r="141" ht="12.75">
      <c r="F141" s="260"/>
    </row>
    <row r="142" ht="12.75">
      <c r="F142" s="260"/>
    </row>
    <row r="143" ht="12.75">
      <c r="F143" s="260"/>
    </row>
    <row r="144" ht="12.75">
      <c r="F144" s="260"/>
    </row>
    <row r="145" ht="12.75">
      <c r="F145" s="260"/>
    </row>
    <row r="146" ht="12.75">
      <c r="F146" s="260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375" defaultRowHeight="12.75"/>
  <cols>
    <col min="1" max="1" width="18.625" style="205" customWidth="1"/>
    <col min="2" max="2" width="62.00390625" style="206" customWidth="1"/>
    <col min="3" max="5" width="15.75390625" style="206" customWidth="1"/>
    <col min="6" max="16384" width="9.375" style="206" customWidth="1"/>
  </cols>
  <sheetData>
    <row r="1" spans="1:5" s="213" customFormat="1" ht="21" customHeight="1">
      <c r="A1" s="208"/>
      <c r="B1" s="209"/>
      <c r="C1" s="210"/>
      <c r="D1" s="210"/>
      <c r="E1" s="290" t="str">
        <f>+CONCATENATE("8.3. melléklet a 6/",LEFT(ÖSSZEFÜGGÉSEK!A4,4)+1,". (VII.17.) önkormányzati rendelethez")</f>
        <v>8.3. melléklet a 6/2020. (VII.17.) önkormányzati rendelethez</v>
      </c>
    </row>
    <row r="2" spans="1:5" s="217" customFormat="1" ht="25.5" customHeight="1">
      <c r="A2" s="214" t="s">
        <v>524</v>
      </c>
      <c r="B2" s="655" t="s">
        <v>821</v>
      </c>
      <c r="C2" s="655"/>
      <c r="D2" s="655"/>
      <c r="E2" s="291" t="s">
        <v>521</v>
      </c>
    </row>
    <row r="3" spans="1:5" s="217" customFormat="1" ht="15">
      <c r="A3" s="218" t="s">
        <v>553</v>
      </c>
      <c r="B3" s="656" t="s">
        <v>552</v>
      </c>
      <c r="C3" s="656"/>
      <c r="D3" s="656"/>
      <c r="E3" s="292" t="s">
        <v>521</v>
      </c>
    </row>
    <row r="4" spans="1:5" s="223" customFormat="1" ht="15.75" customHeight="1">
      <c r="A4" s="220"/>
      <c r="B4" s="220"/>
      <c r="C4" s="221"/>
      <c r="D4" s="221"/>
      <c r="E4" s="221" t="s">
        <v>502</v>
      </c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5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</row>
    <row r="7" spans="1:5" s="233" customFormat="1" ht="15.75" customHeight="1">
      <c r="A7" s="657" t="s">
        <v>372</v>
      </c>
      <c r="B7" s="657"/>
      <c r="C7" s="657"/>
      <c r="D7" s="657"/>
      <c r="E7" s="657"/>
    </row>
    <row r="8" spans="1:5" s="235" customFormat="1" ht="12" customHeight="1">
      <c r="A8" s="228" t="s">
        <v>50</v>
      </c>
      <c r="B8" s="293" t="s">
        <v>527</v>
      </c>
      <c r="C8" s="116">
        <f>SUM(C9:C18)</f>
        <v>0</v>
      </c>
      <c r="D8" s="294">
        <f>SUM(D9:D18)</f>
        <v>0</v>
      </c>
      <c r="E8" s="295">
        <f>SUM(E9:E18)</f>
        <v>0</v>
      </c>
    </row>
    <row r="9" spans="1:5" s="235" customFormat="1" ht="12" customHeight="1">
      <c r="A9" s="296" t="s">
        <v>53</v>
      </c>
      <c r="B9" s="60" t="s">
        <v>138</v>
      </c>
      <c r="C9" s="297"/>
      <c r="D9" s="298"/>
      <c r="E9" s="299"/>
    </row>
    <row r="10" spans="1:5" s="235" customFormat="1" ht="12" customHeight="1">
      <c r="A10" s="300" t="s">
        <v>56</v>
      </c>
      <c r="B10" s="62" t="s">
        <v>141</v>
      </c>
      <c r="C10" s="105"/>
      <c r="D10" s="301"/>
      <c r="E10" s="130"/>
    </row>
    <row r="11" spans="1:5" s="235" customFormat="1" ht="12" customHeight="1">
      <c r="A11" s="300" t="s">
        <v>59</v>
      </c>
      <c r="B11" s="62" t="s">
        <v>144</v>
      </c>
      <c r="C11" s="105"/>
      <c r="D11" s="301"/>
      <c r="E11" s="130"/>
    </row>
    <row r="12" spans="1:5" s="235" customFormat="1" ht="12" customHeight="1">
      <c r="A12" s="300" t="s">
        <v>62</v>
      </c>
      <c r="B12" s="62" t="s">
        <v>147</v>
      </c>
      <c r="C12" s="105"/>
      <c r="D12" s="301"/>
      <c r="E12" s="130"/>
    </row>
    <row r="13" spans="1:5" s="235" customFormat="1" ht="12" customHeight="1">
      <c r="A13" s="300" t="s">
        <v>65</v>
      </c>
      <c r="B13" s="62" t="s">
        <v>150</v>
      </c>
      <c r="C13" s="105"/>
      <c r="D13" s="301"/>
      <c r="E13" s="130"/>
    </row>
    <row r="14" spans="1:5" s="235" customFormat="1" ht="12" customHeight="1">
      <c r="A14" s="300" t="s">
        <v>68</v>
      </c>
      <c r="B14" s="62" t="s">
        <v>528</v>
      </c>
      <c r="C14" s="105"/>
      <c r="D14" s="301"/>
      <c r="E14" s="130"/>
    </row>
    <row r="15" spans="1:5" s="237" customFormat="1" ht="12" customHeight="1">
      <c r="A15" s="300" t="s">
        <v>301</v>
      </c>
      <c r="B15" s="77" t="s">
        <v>529</v>
      </c>
      <c r="C15" s="105"/>
      <c r="D15" s="301"/>
      <c r="E15" s="130"/>
    </row>
    <row r="16" spans="1:5" s="237" customFormat="1" ht="12" customHeight="1">
      <c r="A16" s="300" t="s">
        <v>303</v>
      </c>
      <c r="B16" s="62" t="s">
        <v>159</v>
      </c>
      <c r="C16" s="120"/>
      <c r="D16" s="302"/>
      <c r="E16" s="303"/>
    </row>
    <row r="17" spans="1:5" s="235" customFormat="1" ht="12" customHeight="1">
      <c r="A17" s="300" t="s">
        <v>305</v>
      </c>
      <c r="B17" s="62" t="s">
        <v>162</v>
      </c>
      <c r="C17" s="105"/>
      <c r="D17" s="301"/>
      <c r="E17" s="130"/>
    </row>
    <row r="18" spans="1:5" s="237" customFormat="1" ht="12" customHeight="1">
      <c r="A18" s="300" t="s">
        <v>307</v>
      </c>
      <c r="B18" s="77" t="s">
        <v>165</v>
      </c>
      <c r="C18" s="112"/>
      <c r="D18" s="304"/>
      <c r="E18" s="305"/>
    </row>
    <row r="19" spans="1:5" s="237" customFormat="1" ht="12" customHeight="1">
      <c r="A19" s="228" t="s">
        <v>71</v>
      </c>
      <c r="B19" s="293" t="s">
        <v>530</v>
      </c>
      <c r="C19" s="116">
        <f>SUM(C20:C22)</f>
        <v>0</v>
      </c>
      <c r="D19" s="294">
        <f>SUM(D20:D22)</f>
        <v>0</v>
      </c>
      <c r="E19" s="295">
        <f>SUM(E20:E22)</f>
        <v>0</v>
      </c>
    </row>
    <row r="20" spans="1:5" s="237" customFormat="1" ht="12" customHeight="1">
      <c r="A20" s="300" t="s">
        <v>74</v>
      </c>
      <c r="B20" s="76" t="s">
        <v>75</v>
      </c>
      <c r="C20" s="105"/>
      <c r="D20" s="301"/>
      <c r="E20" s="130"/>
    </row>
    <row r="21" spans="1:5" s="237" customFormat="1" ht="12" customHeight="1">
      <c r="A21" s="300" t="s">
        <v>77</v>
      </c>
      <c r="B21" s="62" t="s">
        <v>531</v>
      </c>
      <c r="C21" s="105"/>
      <c r="D21" s="301"/>
      <c r="E21" s="130"/>
    </row>
    <row r="22" spans="1:5" s="237" customFormat="1" ht="12" customHeight="1">
      <c r="A22" s="300" t="s">
        <v>80</v>
      </c>
      <c r="B22" s="62" t="s">
        <v>532</v>
      </c>
      <c r="C22" s="105"/>
      <c r="D22" s="301"/>
      <c r="E22" s="130"/>
    </row>
    <row r="23" spans="1:5" s="235" customFormat="1" ht="12" customHeight="1">
      <c r="A23" s="300" t="s">
        <v>83</v>
      </c>
      <c r="B23" s="62" t="s">
        <v>554</v>
      </c>
      <c r="C23" s="105"/>
      <c r="D23" s="301"/>
      <c r="E23" s="130"/>
    </row>
    <row r="24" spans="1:5" s="235" customFormat="1" ht="12" customHeight="1">
      <c r="A24" s="228" t="s">
        <v>92</v>
      </c>
      <c r="B24" s="20" t="s">
        <v>384</v>
      </c>
      <c r="C24" s="306"/>
      <c r="D24" s="307"/>
      <c r="E24" s="308"/>
    </row>
    <row r="25" spans="1:5" s="235" customFormat="1" ht="12" customHeight="1">
      <c r="A25" s="228" t="s">
        <v>341</v>
      </c>
      <c r="B25" s="20" t="s">
        <v>534</v>
      </c>
      <c r="C25" s="116">
        <f>+C26+C27</f>
        <v>0</v>
      </c>
      <c r="D25" s="294">
        <f>+D26+D27</f>
        <v>0</v>
      </c>
      <c r="E25" s="295">
        <f>+E26+E27</f>
        <v>0</v>
      </c>
    </row>
    <row r="26" spans="1:5" s="235" customFormat="1" ht="12" customHeight="1">
      <c r="A26" s="309" t="s">
        <v>116</v>
      </c>
      <c r="B26" s="76" t="s">
        <v>531</v>
      </c>
      <c r="C26" s="102"/>
      <c r="D26" s="310"/>
      <c r="E26" s="311"/>
    </row>
    <row r="27" spans="1:5" s="235" customFormat="1" ht="12" customHeight="1">
      <c r="A27" s="309" t="s">
        <v>125</v>
      </c>
      <c r="B27" s="62" t="s">
        <v>535</v>
      </c>
      <c r="C27" s="120"/>
      <c r="D27" s="302"/>
      <c r="E27" s="303"/>
    </row>
    <row r="28" spans="1:5" s="235" customFormat="1" ht="12" customHeight="1">
      <c r="A28" s="300" t="s">
        <v>128</v>
      </c>
      <c r="B28" s="312" t="s">
        <v>555</v>
      </c>
      <c r="C28" s="129"/>
      <c r="D28" s="313"/>
      <c r="E28" s="314"/>
    </row>
    <row r="29" spans="1:5" s="235" customFormat="1" ht="12" customHeight="1">
      <c r="A29" s="228" t="s">
        <v>134</v>
      </c>
      <c r="B29" s="20" t="s">
        <v>537</v>
      </c>
      <c r="C29" s="116">
        <f>+C30+C31+C32</f>
        <v>0</v>
      </c>
      <c r="D29" s="294">
        <f>+D30+D31+D32</f>
        <v>0</v>
      </c>
      <c r="E29" s="295">
        <f>+E30+E31+E32</f>
        <v>0</v>
      </c>
    </row>
    <row r="30" spans="1:5" s="235" customFormat="1" ht="12" customHeight="1">
      <c r="A30" s="309" t="s">
        <v>137</v>
      </c>
      <c r="B30" s="76" t="s">
        <v>171</v>
      </c>
      <c r="C30" s="102"/>
      <c r="D30" s="310"/>
      <c r="E30" s="311"/>
    </row>
    <row r="31" spans="1:5" s="235" customFormat="1" ht="12" customHeight="1">
      <c r="A31" s="309" t="s">
        <v>140</v>
      </c>
      <c r="B31" s="62" t="s">
        <v>174</v>
      </c>
      <c r="C31" s="120"/>
      <c r="D31" s="302"/>
      <c r="E31" s="303"/>
    </row>
    <row r="32" spans="1:5" s="235" customFormat="1" ht="12" customHeight="1">
      <c r="A32" s="300" t="s">
        <v>143</v>
      </c>
      <c r="B32" s="312" t="s">
        <v>177</v>
      </c>
      <c r="C32" s="129"/>
      <c r="D32" s="313"/>
      <c r="E32" s="314"/>
    </row>
    <row r="33" spans="1:5" s="235" customFormat="1" ht="12" customHeight="1">
      <c r="A33" s="228" t="s">
        <v>167</v>
      </c>
      <c r="B33" s="20" t="s">
        <v>385</v>
      </c>
      <c r="C33" s="306"/>
      <c r="D33" s="307"/>
      <c r="E33" s="308"/>
    </row>
    <row r="34" spans="1:5" s="235" customFormat="1" ht="12" customHeight="1">
      <c r="A34" s="228" t="s">
        <v>352</v>
      </c>
      <c r="B34" s="20" t="s">
        <v>538</v>
      </c>
      <c r="C34" s="306"/>
      <c r="D34" s="307"/>
      <c r="E34" s="308"/>
    </row>
    <row r="35" spans="1:5" s="235" customFormat="1" ht="12" customHeight="1">
      <c r="A35" s="228" t="s">
        <v>200</v>
      </c>
      <c r="B35" s="20" t="s">
        <v>556</v>
      </c>
      <c r="C35" s="116">
        <f>+C8+C19+C24+C25+C29+C33+C34</f>
        <v>0</v>
      </c>
      <c r="D35" s="294">
        <f>+D8+D19+D24+D25+D29+D33+D34</f>
        <v>0</v>
      </c>
      <c r="E35" s="295">
        <f>+E8+E19+E24+E25+E29+E33+E34</f>
        <v>0</v>
      </c>
    </row>
    <row r="36" spans="1:5" s="237" customFormat="1" ht="12" customHeight="1">
      <c r="A36" s="315" t="s">
        <v>215</v>
      </c>
      <c r="B36" s="20" t="s">
        <v>540</v>
      </c>
      <c r="C36" s="116">
        <f>+C37+C38+C39</f>
        <v>0</v>
      </c>
      <c r="D36" s="294">
        <f>+D37+D38+D39</f>
        <v>0</v>
      </c>
      <c r="E36" s="295">
        <f>+E37+E38+E39</f>
        <v>0</v>
      </c>
    </row>
    <row r="37" spans="1:5" s="237" customFormat="1" ht="15" customHeight="1">
      <c r="A37" s="309" t="s">
        <v>541</v>
      </c>
      <c r="B37" s="76" t="s">
        <v>440</v>
      </c>
      <c r="C37" s="102"/>
      <c r="D37" s="310"/>
      <c r="E37" s="311"/>
    </row>
    <row r="38" spans="1:5" s="237" customFormat="1" ht="15" customHeight="1">
      <c r="A38" s="309" t="s">
        <v>542</v>
      </c>
      <c r="B38" s="62" t="s">
        <v>543</v>
      </c>
      <c r="C38" s="120"/>
      <c r="D38" s="302"/>
      <c r="E38" s="303"/>
    </row>
    <row r="39" spans="1:5" ht="12.75">
      <c r="A39" s="300" t="s">
        <v>544</v>
      </c>
      <c r="B39" s="312" t="s">
        <v>545</v>
      </c>
      <c r="C39" s="129"/>
      <c r="D39" s="313"/>
      <c r="E39" s="314"/>
    </row>
    <row r="40" spans="1:5" s="233" customFormat="1" ht="16.5" customHeight="1">
      <c r="A40" s="315" t="s">
        <v>364</v>
      </c>
      <c r="B40" s="316" t="s">
        <v>546</v>
      </c>
      <c r="C40" s="116">
        <f>+C35+C36</f>
        <v>0</v>
      </c>
      <c r="D40" s="294">
        <f>+D35+D36</f>
        <v>0</v>
      </c>
      <c r="E40" s="295">
        <f>+E35+E36</f>
        <v>0</v>
      </c>
    </row>
    <row r="41" spans="1:5" s="261" customFormat="1" ht="12" customHeight="1">
      <c r="A41" s="251"/>
      <c r="B41" s="252"/>
      <c r="C41" s="253"/>
      <c r="D41" s="253"/>
      <c r="E41" s="253"/>
    </row>
    <row r="42" spans="1:5" ht="12" customHeight="1">
      <c r="A42" s="255"/>
      <c r="B42" s="256"/>
      <c r="C42" s="257"/>
      <c r="D42" s="257"/>
      <c r="E42" s="257"/>
    </row>
    <row r="43" spans="1:5" ht="12" customHeight="1">
      <c r="A43" s="657" t="s">
        <v>373</v>
      </c>
      <c r="B43" s="657"/>
      <c r="C43" s="657"/>
      <c r="D43" s="657"/>
      <c r="E43" s="657"/>
    </row>
    <row r="44" spans="1:5" ht="12" customHeight="1">
      <c r="A44" s="228" t="s">
        <v>50</v>
      </c>
      <c r="B44" s="20" t="s">
        <v>547</v>
      </c>
      <c r="C44" s="116">
        <f>SUM(C45:C49)</f>
        <v>0</v>
      </c>
      <c r="D44" s="116">
        <f>SUM(D45:D49)</f>
        <v>0</v>
      </c>
      <c r="E44" s="295">
        <f>SUM(E45:E49)</f>
        <v>0</v>
      </c>
    </row>
    <row r="45" spans="1:5" ht="12" customHeight="1">
      <c r="A45" s="300" t="s">
        <v>53</v>
      </c>
      <c r="B45" s="76" t="s">
        <v>294</v>
      </c>
      <c r="C45" s="102"/>
      <c r="D45" s="102"/>
      <c r="E45" s="311"/>
    </row>
    <row r="46" spans="1:5" ht="12" customHeight="1">
      <c r="A46" s="300" t="s">
        <v>56</v>
      </c>
      <c r="B46" s="62" t="s">
        <v>295</v>
      </c>
      <c r="C46" s="105"/>
      <c r="D46" s="105"/>
      <c r="E46" s="130"/>
    </row>
    <row r="47" spans="1:5" ht="12" customHeight="1">
      <c r="A47" s="300" t="s">
        <v>59</v>
      </c>
      <c r="B47" s="62" t="s">
        <v>296</v>
      </c>
      <c r="C47" s="105"/>
      <c r="D47" s="105"/>
      <c r="E47" s="130"/>
    </row>
    <row r="48" spans="1:5" s="261" customFormat="1" ht="12" customHeight="1">
      <c r="A48" s="300" t="s">
        <v>62</v>
      </c>
      <c r="B48" s="62" t="s">
        <v>297</v>
      </c>
      <c r="C48" s="105"/>
      <c r="D48" s="105"/>
      <c r="E48" s="130"/>
    </row>
    <row r="49" spans="1:5" ht="12" customHeight="1">
      <c r="A49" s="300" t="s">
        <v>65</v>
      </c>
      <c r="B49" s="62" t="s">
        <v>299</v>
      </c>
      <c r="C49" s="105"/>
      <c r="D49" s="105"/>
      <c r="E49" s="130"/>
    </row>
    <row r="50" spans="1:5" ht="12" customHeight="1">
      <c r="A50" s="228" t="s">
        <v>71</v>
      </c>
      <c r="B50" s="20" t="s">
        <v>548</v>
      </c>
      <c r="C50" s="116">
        <f>SUM(C51:C53)</f>
        <v>0</v>
      </c>
      <c r="D50" s="116">
        <f>SUM(D51:D53)</f>
        <v>0</v>
      </c>
      <c r="E50" s="295">
        <f>SUM(E51:E53)</f>
        <v>0</v>
      </c>
    </row>
    <row r="51" spans="1:5" ht="12" customHeight="1">
      <c r="A51" s="300" t="s">
        <v>74</v>
      </c>
      <c r="B51" s="76" t="s">
        <v>320</v>
      </c>
      <c r="C51" s="102"/>
      <c r="D51" s="102"/>
      <c r="E51" s="311"/>
    </row>
    <row r="52" spans="1:5" ht="12" customHeight="1">
      <c r="A52" s="300" t="s">
        <v>77</v>
      </c>
      <c r="B52" s="62" t="s">
        <v>322</v>
      </c>
      <c r="C52" s="105"/>
      <c r="D52" s="105"/>
      <c r="E52" s="130"/>
    </row>
    <row r="53" spans="1:5" ht="15" customHeight="1">
      <c r="A53" s="300" t="s">
        <v>80</v>
      </c>
      <c r="B53" s="62" t="s">
        <v>549</v>
      </c>
      <c r="C53" s="105"/>
      <c r="D53" s="105"/>
      <c r="E53" s="130"/>
    </row>
    <row r="54" spans="1:5" ht="12.75">
      <c r="A54" s="300" t="s">
        <v>83</v>
      </c>
      <c r="B54" s="62" t="s">
        <v>557</v>
      </c>
      <c r="C54" s="105"/>
      <c r="D54" s="105"/>
      <c r="E54" s="130"/>
    </row>
    <row r="55" spans="1:5" ht="15" customHeight="1">
      <c r="A55" s="228" t="s">
        <v>92</v>
      </c>
      <c r="B55" s="317" t="s">
        <v>551</v>
      </c>
      <c r="C55" s="116">
        <f>+C44+C50</f>
        <v>0</v>
      </c>
      <c r="D55" s="116">
        <f>+D44+D50</f>
        <v>0</v>
      </c>
      <c r="E55" s="295">
        <f>+E44+E50</f>
        <v>0</v>
      </c>
    </row>
    <row r="56" spans="3:5" ht="12.75">
      <c r="C56" s="207"/>
      <c r="D56" s="207"/>
      <c r="E56" s="207"/>
    </row>
    <row r="57" spans="1:5" ht="12.75">
      <c r="A57" s="274" t="s">
        <v>515</v>
      </c>
      <c r="B57" s="275"/>
      <c r="C57" s="276"/>
      <c r="D57" s="276"/>
      <c r="E57" s="318"/>
    </row>
    <row r="58" spans="1:5" ht="12.75">
      <c r="A58" s="274" t="s">
        <v>516</v>
      </c>
      <c r="B58" s="275"/>
      <c r="C58" s="276"/>
      <c r="D58" s="276"/>
      <c r="E58" s="318"/>
    </row>
  </sheetData>
  <sheetProtection sheet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375" defaultRowHeight="12.75"/>
  <cols>
    <col min="1" max="1" width="18.625" style="205" customWidth="1"/>
    <col min="2" max="2" width="62.00390625" style="206" customWidth="1"/>
    <col min="3" max="5" width="15.75390625" style="206" customWidth="1"/>
    <col min="6" max="16384" width="9.375" style="206" customWidth="1"/>
  </cols>
  <sheetData>
    <row r="1" spans="1:5" s="213" customFormat="1" ht="21" customHeight="1">
      <c r="A1" s="208"/>
      <c r="B1" s="209"/>
      <c r="C1" s="210"/>
      <c r="D1" s="210"/>
      <c r="E1" s="290" t="str">
        <f>+CONCATENATE("8.4. melléklet a 6/",LEFT(ÖSSZEFÜGGÉSEK!A4,4)+1,". (VII.17.) önkormányzati rendelethez")</f>
        <v>8.4. melléklet a 6/2020. (VII.17.) önkormányzati rendelethez</v>
      </c>
    </row>
    <row r="2" spans="1:5" s="217" customFormat="1" ht="25.5" customHeight="1">
      <c r="A2" s="214" t="s">
        <v>524</v>
      </c>
      <c r="B2" s="655" t="s">
        <v>821</v>
      </c>
      <c r="C2" s="655"/>
      <c r="D2" s="655"/>
      <c r="E2" s="291" t="s">
        <v>521</v>
      </c>
    </row>
    <row r="3" spans="1:5" s="217" customFormat="1" ht="15">
      <c r="A3" s="218" t="s">
        <v>553</v>
      </c>
      <c r="B3" s="656" t="s">
        <v>559</v>
      </c>
      <c r="C3" s="656"/>
      <c r="D3" s="656"/>
      <c r="E3" s="292" t="s">
        <v>523</v>
      </c>
    </row>
    <row r="4" spans="1:5" s="223" customFormat="1" ht="15.75" customHeight="1">
      <c r="A4" s="220"/>
      <c r="B4" s="220"/>
      <c r="C4" s="221"/>
      <c r="D4" s="221"/>
      <c r="E4" s="221" t="s">
        <v>502</v>
      </c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5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</row>
    <row r="7" spans="1:5" s="233" customFormat="1" ht="15.75" customHeight="1">
      <c r="A7" s="657" t="s">
        <v>372</v>
      </c>
      <c r="B7" s="657"/>
      <c r="C7" s="657"/>
      <c r="D7" s="657"/>
      <c r="E7" s="657"/>
    </row>
    <row r="8" spans="1:5" s="235" customFormat="1" ht="12" customHeight="1">
      <c r="A8" s="228" t="s">
        <v>50</v>
      </c>
      <c r="B8" s="293" t="s">
        <v>527</v>
      </c>
      <c r="C8" s="116">
        <f>SUM(C9:C18)</f>
        <v>0</v>
      </c>
      <c r="D8" s="294">
        <f>SUM(D9:D18)</f>
        <v>0</v>
      </c>
      <c r="E8" s="295">
        <f>SUM(E9:E18)</f>
        <v>0</v>
      </c>
    </row>
    <row r="9" spans="1:5" s="235" customFormat="1" ht="12" customHeight="1">
      <c r="A9" s="296" t="s">
        <v>53</v>
      </c>
      <c r="B9" s="60" t="s">
        <v>138</v>
      </c>
      <c r="C9" s="297"/>
      <c r="D9" s="298"/>
      <c r="E9" s="299"/>
    </row>
    <row r="10" spans="1:5" s="235" customFormat="1" ht="12" customHeight="1">
      <c r="A10" s="300" t="s">
        <v>56</v>
      </c>
      <c r="B10" s="62" t="s">
        <v>141</v>
      </c>
      <c r="C10" s="105"/>
      <c r="D10" s="301"/>
      <c r="E10" s="130"/>
    </row>
    <row r="11" spans="1:5" s="235" customFormat="1" ht="12" customHeight="1">
      <c r="A11" s="300" t="s">
        <v>59</v>
      </c>
      <c r="B11" s="62" t="s">
        <v>144</v>
      </c>
      <c r="C11" s="105"/>
      <c r="D11" s="301"/>
      <c r="E11" s="130"/>
    </row>
    <row r="12" spans="1:5" s="235" customFormat="1" ht="12" customHeight="1">
      <c r="A12" s="300" t="s">
        <v>62</v>
      </c>
      <c r="B12" s="62" t="s">
        <v>147</v>
      </c>
      <c r="C12" s="105"/>
      <c r="D12" s="301"/>
      <c r="E12" s="130"/>
    </row>
    <row r="13" spans="1:5" s="235" customFormat="1" ht="12" customHeight="1">
      <c r="A13" s="300" t="s">
        <v>65</v>
      </c>
      <c r="B13" s="62" t="s">
        <v>150</v>
      </c>
      <c r="C13" s="105"/>
      <c r="D13" s="301"/>
      <c r="E13" s="130"/>
    </row>
    <row r="14" spans="1:5" s="235" customFormat="1" ht="12" customHeight="1">
      <c r="A14" s="300" t="s">
        <v>68</v>
      </c>
      <c r="B14" s="62" t="s">
        <v>528</v>
      </c>
      <c r="C14" s="105"/>
      <c r="D14" s="301"/>
      <c r="E14" s="130"/>
    </row>
    <row r="15" spans="1:5" s="237" customFormat="1" ht="12" customHeight="1">
      <c r="A15" s="300" t="s">
        <v>301</v>
      </c>
      <c r="B15" s="77" t="s">
        <v>529</v>
      </c>
      <c r="C15" s="105"/>
      <c r="D15" s="301"/>
      <c r="E15" s="130"/>
    </row>
    <row r="16" spans="1:5" s="237" customFormat="1" ht="12" customHeight="1">
      <c r="A16" s="300" t="s">
        <v>303</v>
      </c>
      <c r="B16" s="62" t="s">
        <v>159</v>
      </c>
      <c r="C16" s="120"/>
      <c r="D16" s="302"/>
      <c r="E16" s="303"/>
    </row>
    <row r="17" spans="1:5" s="235" customFormat="1" ht="12" customHeight="1">
      <c r="A17" s="300" t="s">
        <v>305</v>
      </c>
      <c r="B17" s="62" t="s">
        <v>162</v>
      </c>
      <c r="C17" s="105"/>
      <c r="D17" s="301"/>
      <c r="E17" s="130"/>
    </row>
    <row r="18" spans="1:5" s="237" customFormat="1" ht="12" customHeight="1">
      <c r="A18" s="300" t="s">
        <v>307</v>
      </c>
      <c r="B18" s="77" t="s">
        <v>165</v>
      </c>
      <c r="C18" s="112"/>
      <c r="D18" s="304"/>
      <c r="E18" s="305"/>
    </row>
    <row r="19" spans="1:5" s="237" customFormat="1" ht="12" customHeight="1">
      <c r="A19" s="228" t="s">
        <v>71</v>
      </c>
      <c r="B19" s="293" t="s">
        <v>530</v>
      </c>
      <c r="C19" s="116">
        <f>SUM(C20:C22)</f>
        <v>0</v>
      </c>
      <c r="D19" s="294">
        <f>SUM(D20:D22)</f>
        <v>0</v>
      </c>
      <c r="E19" s="295">
        <f>SUM(E20:E22)</f>
        <v>0</v>
      </c>
    </row>
    <row r="20" spans="1:5" s="237" customFormat="1" ht="12" customHeight="1">
      <c r="A20" s="300" t="s">
        <v>74</v>
      </c>
      <c r="B20" s="76" t="s">
        <v>75</v>
      </c>
      <c r="C20" s="105"/>
      <c r="D20" s="301"/>
      <c r="E20" s="130"/>
    </row>
    <row r="21" spans="1:5" s="237" customFormat="1" ht="12" customHeight="1">
      <c r="A21" s="300" t="s">
        <v>77</v>
      </c>
      <c r="B21" s="62" t="s">
        <v>531</v>
      </c>
      <c r="C21" s="105"/>
      <c r="D21" s="301"/>
      <c r="E21" s="130"/>
    </row>
    <row r="22" spans="1:5" s="237" customFormat="1" ht="12" customHeight="1">
      <c r="A22" s="300" t="s">
        <v>80</v>
      </c>
      <c r="B22" s="62" t="s">
        <v>532</v>
      </c>
      <c r="C22" s="105"/>
      <c r="D22" s="301"/>
      <c r="E22" s="130"/>
    </row>
    <row r="23" spans="1:5" s="235" customFormat="1" ht="12" customHeight="1">
      <c r="A23" s="300" t="s">
        <v>83</v>
      </c>
      <c r="B23" s="62" t="s">
        <v>554</v>
      </c>
      <c r="C23" s="105"/>
      <c r="D23" s="301"/>
      <c r="E23" s="130"/>
    </row>
    <row r="24" spans="1:5" s="235" customFormat="1" ht="12" customHeight="1">
      <c r="A24" s="228" t="s">
        <v>92</v>
      </c>
      <c r="B24" s="20" t="s">
        <v>384</v>
      </c>
      <c r="C24" s="306"/>
      <c r="D24" s="307"/>
      <c r="E24" s="308"/>
    </row>
    <row r="25" spans="1:5" s="235" customFormat="1" ht="12" customHeight="1">
      <c r="A25" s="228" t="s">
        <v>341</v>
      </c>
      <c r="B25" s="20" t="s">
        <v>534</v>
      </c>
      <c r="C25" s="116">
        <f>+C26+C27</f>
        <v>0</v>
      </c>
      <c r="D25" s="294">
        <f>+D26+D27</f>
        <v>0</v>
      </c>
      <c r="E25" s="295">
        <f>+E26+E27</f>
        <v>0</v>
      </c>
    </row>
    <row r="26" spans="1:5" s="235" customFormat="1" ht="12" customHeight="1">
      <c r="A26" s="309" t="s">
        <v>116</v>
      </c>
      <c r="B26" s="76" t="s">
        <v>531</v>
      </c>
      <c r="C26" s="102"/>
      <c r="D26" s="310"/>
      <c r="E26" s="311"/>
    </row>
    <row r="27" spans="1:5" s="235" customFormat="1" ht="12" customHeight="1">
      <c r="A27" s="309" t="s">
        <v>125</v>
      </c>
      <c r="B27" s="62" t="s">
        <v>535</v>
      </c>
      <c r="C27" s="120"/>
      <c r="D27" s="302"/>
      <c r="E27" s="303"/>
    </row>
    <row r="28" spans="1:5" s="235" customFormat="1" ht="12" customHeight="1">
      <c r="A28" s="300" t="s">
        <v>128</v>
      </c>
      <c r="B28" s="312" t="s">
        <v>555</v>
      </c>
      <c r="C28" s="129"/>
      <c r="D28" s="313"/>
      <c r="E28" s="314"/>
    </row>
    <row r="29" spans="1:5" s="235" customFormat="1" ht="12" customHeight="1">
      <c r="A29" s="228" t="s">
        <v>134</v>
      </c>
      <c r="B29" s="20" t="s">
        <v>537</v>
      </c>
      <c r="C29" s="116">
        <f>+C30+C31+C32</f>
        <v>0</v>
      </c>
      <c r="D29" s="294">
        <f>+D30+D31+D32</f>
        <v>0</v>
      </c>
      <c r="E29" s="295">
        <f>+E30+E31+E32</f>
        <v>0</v>
      </c>
    </row>
    <row r="30" spans="1:5" s="235" customFormat="1" ht="12" customHeight="1">
      <c r="A30" s="309" t="s">
        <v>137</v>
      </c>
      <c r="B30" s="76" t="s">
        <v>171</v>
      </c>
      <c r="C30" s="102"/>
      <c r="D30" s="310"/>
      <c r="E30" s="311"/>
    </row>
    <row r="31" spans="1:5" s="235" customFormat="1" ht="12" customHeight="1">
      <c r="A31" s="309" t="s">
        <v>140</v>
      </c>
      <c r="B31" s="62" t="s">
        <v>174</v>
      </c>
      <c r="C31" s="120"/>
      <c r="D31" s="302"/>
      <c r="E31" s="303"/>
    </row>
    <row r="32" spans="1:5" s="235" customFormat="1" ht="12" customHeight="1">
      <c r="A32" s="300" t="s">
        <v>143</v>
      </c>
      <c r="B32" s="312" t="s">
        <v>177</v>
      </c>
      <c r="C32" s="129"/>
      <c r="D32" s="313"/>
      <c r="E32" s="314"/>
    </row>
    <row r="33" spans="1:5" s="235" customFormat="1" ht="12" customHeight="1">
      <c r="A33" s="228" t="s">
        <v>167</v>
      </c>
      <c r="B33" s="20" t="s">
        <v>385</v>
      </c>
      <c r="C33" s="306"/>
      <c r="D33" s="307"/>
      <c r="E33" s="308"/>
    </row>
    <row r="34" spans="1:5" s="235" customFormat="1" ht="12" customHeight="1">
      <c r="A34" s="228" t="s">
        <v>352</v>
      </c>
      <c r="B34" s="20" t="s">
        <v>538</v>
      </c>
      <c r="C34" s="306"/>
      <c r="D34" s="307"/>
      <c r="E34" s="308"/>
    </row>
    <row r="35" spans="1:5" s="235" customFormat="1" ht="12" customHeight="1">
      <c r="A35" s="228" t="s">
        <v>200</v>
      </c>
      <c r="B35" s="20" t="s">
        <v>556</v>
      </c>
      <c r="C35" s="116">
        <f>+C8+C19+C24+C25+C29+C33+C34</f>
        <v>0</v>
      </c>
      <c r="D35" s="294">
        <f>+D8+D19+D24+D25+D29+D33+D34</f>
        <v>0</v>
      </c>
      <c r="E35" s="295">
        <f>+E8+E19+E24+E25+E29+E33+E34</f>
        <v>0</v>
      </c>
    </row>
    <row r="36" spans="1:5" s="237" customFormat="1" ht="12" customHeight="1">
      <c r="A36" s="315" t="s">
        <v>215</v>
      </c>
      <c r="B36" s="20" t="s">
        <v>540</v>
      </c>
      <c r="C36" s="116">
        <f>+C37+C38+C39</f>
        <v>0</v>
      </c>
      <c r="D36" s="294">
        <f>+D37+D38+D39</f>
        <v>0</v>
      </c>
      <c r="E36" s="295">
        <f>+E37+E38+E39</f>
        <v>0</v>
      </c>
    </row>
    <row r="37" spans="1:5" s="237" customFormat="1" ht="15" customHeight="1">
      <c r="A37" s="309" t="s">
        <v>541</v>
      </c>
      <c r="B37" s="76" t="s">
        <v>440</v>
      </c>
      <c r="C37" s="102"/>
      <c r="D37" s="310"/>
      <c r="E37" s="311"/>
    </row>
    <row r="38" spans="1:5" s="237" customFormat="1" ht="15" customHeight="1">
      <c r="A38" s="309" t="s">
        <v>542</v>
      </c>
      <c r="B38" s="62" t="s">
        <v>543</v>
      </c>
      <c r="C38" s="120"/>
      <c r="D38" s="302"/>
      <c r="E38" s="303"/>
    </row>
    <row r="39" spans="1:5" ht="12.75">
      <c r="A39" s="300" t="s">
        <v>544</v>
      </c>
      <c r="B39" s="312" t="s">
        <v>545</v>
      </c>
      <c r="C39" s="129"/>
      <c r="D39" s="313"/>
      <c r="E39" s="314"/>
    </row>
    <row r="40" spans="1:5" s="233" customFormat="1" ht="16.5" customHeight="1">
      <c r="A40" s="315" t="s">
        <v>364</v>
      </c>
      <c r="B40" s="316" t="s">
        <v>546</v>
      </c>
      <c r="C40" s="116">
        <f>+C35+C36</f>
        <v>0</v>
      </c>
      <c r="D40" s="294">
        <f>+D35+D36</f>
        <v>0</v>
      </c>
      <c r="E40" s="295">
        <f>+E35+E36</f>
        <v>0</v>
      </c>
    </row>
    <row r="41" spans="1:5" s="261" customFormat="1" ht="12" customHeight="1">
      <c r="A41" s="251"/>
      <c r="B41" s="252"/>
      <c r="C41" s="253"/>
      <c r="D41" s="253"/>
      <c r="E41" s="253"/>
    </row>
    <row r="42" spans="1:5" ht="12" customHeight="1">
      <c r="A42" s="255"/>
      <c r="B42" s="256"/>
      <c r="C42" s="257"/>
      <c r="D42" s="257"/>
      <c r="E42" s="257"/>
    </row>
    <row r="43" spans="1:5" ht="12" customHeight="1">
      <c r="A43" s="657" t="s">
        <v>373</v>
      </c>
      <c r="B43" s="657"/>
      <c r="C43" s="657"/>
      <c r="D43" s="657"/>
      <c r="E43" s="657"/>
    </row>
    <row r="44" spans="1:5" ht="12" customHeight="1">
      <c r="A44" s="228" t="s">
        <v>50</v>
      </c>
      <c r="B44" s="20" t="s">
        <v>547</v>
      </c>
      <c r="C44" s="116">
        <f>SUM(C45:C49)</f>
        <v>0</v>
      </c>
      <c r="D44" s="116">
        <f>SUM(D45:D49)</f>
        <v>0</v>
      </c>
      <c r="E44" s="295">
        <f>SUM(E45:E49)</f>
        <v>0</v>
      </c>
    </row>
    <row r="45" spans="1:5" ht="12" customHeight="1">
      <c r="A45" s="300" t="s">
        <v>53</v>
      </c>
      <c r="B45" s="76" t="s">
        <v>294</v>
      </c>
      <c r="C45" s="102"/>
      <c r="D45" s="102"/>
      <c r="E45" s="311"/>
    </row>
    <row r="46" spans="1:5" ht="12" customHeight="1">
      <c r="A46" s="300" t="s">
        <v>56</v>
      </c>
      <c r="B46" s="62" t="s">
        <v>295</v>
      </c>
      <c r="C46" s="105"/>
      <c r="D46" s="105"/>
      <c r="E46" s="130"/>
    </row>
    <row r="47" spans="1:5" ht="12" customHeight="1">
      <c r="A47" s="300" t="s">
        <v>59</v>
      </c>
      <c r="B47" s="62" t="s">
        <v>296</v>
      </c>
      <c r="C47" s="105"/>
      <c r="D47" s="105"/>
      <c r="E47" s="130"/>
    </row>
    <row r="48" spans="1:5" s="261" customFormat="1" ht="12" customHeight="1">
      <c r="A48" s="300" t="s">
        <v>62</v>
      </c>
      <c r="B48" s="62" t="s">
        <v>297</v>
      </c>
      <c r="C48" s="105"/>
      <c r="D48" s="105"/>
      <c r="E48" s="130"/>
    </row>
    <row r="49" spans="1:5" ht="12" customHeight="1">
      <c r="A49" s="300" t="s">
        <v>65</v>
      </c>
      <c r="B49" s="62" t="s">
        <v>299</v>
      </c>
      <c r="C49" s="105"/>
      <c r="D49" s="105"/>
      <c r="E49" s="130"/>
    </row>
    <row r="50" spans="1:5" ht="12" customHeight="1">
      <c r="A50" s="228" t="s">
        <v>71</v>
      </c>
      <c r="B50" s="20" t="s">
        <v>548</v>
      </c>
      <c r="C50" s="116">
        <f>SUM(C51:C53)</f>
        <v>0</v>
      </c>
      <c r="D50" s="116">
        <f>SUM(D51:D53)</f>
        <v>0</v>
      </c>
      <c r="E50" s="295">
        <f>SUM(E51:E53)</f>
        <v>0</v>
      </c>
    </row>
    <row r="51" spans="1:5" ht="12" customHeight="1">
      <c r="A51" s="300" t="s">
        <v>74</v>
      </c>
      <c r="B51" s="76" t="s">
        <v>320</v>
      </c>
      <c r="C51" s="102"/>
      <c r="D51" s="102"/>
      <c r="E51" s="311"/>
    </row>
    <row r="52" spans="1:5" ht="12" customHeight="1">
      <c r="A52" s="300" t="s">
        <v>77</v>
      </c>
      <c r="B52" s="62" t="s">
        <v>322</v>
      </c>
      <c r="C52" s="105"/>
      <c r="D52" s="105"/>
      <c r="E52" s="130"/>
    </row>
    <row r="53" spans="1:5" ht="15" customHeight="1">
      <c r="A53" s="300" t="s">
        <v>80</v>
      </c>
      <c r="B53" s="62" t="s">
        <v>549</v>
      </c>
      <c r="C53" s="105"/>
      <c r="D53" s="105"/>
      <c r="E53" s="130"/>
    </row>
    <row r="54" spans="1:5" ht="12.75">
      <c r="A54" s="300" t="s">
        <v>83</v>
      </c>
      <c r="B54" s="62" t="s">
        <v>557</v>
      </c>
      <c r="C54" s="105"/>
      <c r="D54" s="105"/>
      <c r="E54" s="130"/>
    </row>
    <row r="55" spans="1:5" ht="15" customHeight="1">
      <c r="A55" s="228" t="s">
        <v>92</v>
      </c>
      <c r="B55" s="317" t="s">
        <v>551</v>
      </c>
      <c r="C55" s="116">
        <f>+C44+C50</f>
        <v>0</v>
      </c>
      <c r="D55" s="116">
        <f>+D44+D50</f>
        <v>0</v>
      </c>
      <c r="E55" s="295">
        <f>+E44+E50</f>
        <v>0</v>
      </c>
    </row>
    <row r="56" spans="3:5" ht="12.75">
      <c r="C56" s="207"/>
      <c r="D56" s="207"/>
      <c r="E56" s="207"/>
    </row>
    <row r="57" spans="1:5" ht="12.75">
      <c r="A57" s="274" t="s">
        <v>515</v>
      </c>
      <c r="B57" s="275"/>
      <c r="C57" s="276"/>
      <c r="D57" s="276"/>
      <c r="E57" s="318"/>
    </row>
    <row r="58" spans="1:5" ht="12.75">
      <c r="A58" s="274" t="s">
        <v>516</v>
      </c>
      <c r="B58" s="275"/>
      <c r="C58" s="276"/>
      <c r="D58" s="276"/>
      <c r="E58" s="318"/>
    </row>
  </sheetData>
  <sheetProtection sheet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B2" sqref="B2"/>
    </sheetView>
  </sheetViews>
  <sheetFormatPr defaultColWidth="9.375" defaultRowHeight="12.75"/>
  <cols>
    <col min="1" max="1" width="7.00390625" style="319" customWidth="1"/>
    <col min="2" max="2" width="32.00390625" style="206" customWidth="1"/>
    <col min="3" max="3" width="12.50390625" style="206" customWidth="1"/>
    <col min="4" max="6" width="11.75390625" style="206" customWidth="1"/>
    <col min="7" max="7" width="12.75390625" style="206" customWidth="1"/>
    <col min="8" max="16384" width="9.375" style="206" customWidth="1"/>
  </cols>
  <sheetData>
    <row r="1" spans="2:7" ht="13.5">
      <c r="B1" s="658" t="str">
        <f>+CONCATENATE("9. sz. melléklet a 6/",LEFT(ÖSSZEFÜGGÉSEK!A4,4)+1,".(VII.17.)  önkormányzati rendelethez")</f>
        <v>9. sz. melléklet a 6/2020.(VII.17.)  önkormányzati rendelethez</v>
      </c>
      <c r="C1" s="659"/>
      <c r="D1" s="659"/>
      <c r="E1" s="659"/>
      <c r="F1" s="659"/>
      <c r="G1" s="659"/>
    </row>
    <row r="2" spans="2:7" ht="14.25">
      <c r="B2" s="580"/>
      <c r="C2" s="581"/>
      <c r="D2" s="581"/>
      <c r="E2" s="581"/>
      <c r="F2" s="581"/>
      <c r="G2" s="581"/>
    </row>
    <row r="3" ht="14.25" thickBot="1">
      <c r="G3" s="87" t="s">
        <v>817</v>
      </c>
    </row>
    <row r="4" spans="1:7" ht="17.25" customHeight="1">
      <c r="A4" s="662" t="s">
        <v>560</v>
      </c>
      <c r="B4" s="663" t="s">
        <v>561</v>
      </c>
      <c r="C4" s="663" t="s">
        <v>562</v>
      </c>
      <c r="D4" s="663" t="s">
        <v>563</v>
      </c>
      <c r="E4" s="660" t="s">
        <v>564</v>
      </c>
      <c r="F4" s="660"/>
      <c r="G4" s="660"/>
    </row>
    <row r="5" spans="1:7" s="321" customFormat="1" ht="57.75" customHeight="1">
      <c r="A5" s="662"/>
      <c r="B5" s="663"/>
      <c r="C5" s="663"/>
      <c r="D5" s="663"/>
      <c r="E5" s="146" t="s">
        <v>565</v>
      </c>
      <c r="F5" s="146" t="s">
        <v>566</v>
      </c>
      <c r="G5" s="320" t="s">
        <v>567</v>
      </c>
    </row>
    <row r="6" spans="1:7" s="261" customFormat="1" ht="15" customHeight="1">
      <c r="A6" s="228" t="s">
        <v>45</v>
      </c>
      <c r="B6" s="229" t="s">
        <v>46</v>
      </c>
      <c r="C6" s="229" t="s">
        <v>47</v>
      </c>
      <c r="D6" s="229" t="s">
        <v>48</v>
      </c>
      <c r="E6" s="229" t="s">
        <v>568</v>
      </c>
      <c r="F6" s="229" t="s">
        <v>375</v>
      </c>
      <c r="G6" s="322" t="s">
        <v>376</v>
      </c>
    </row>
    <row r="7" spans="1:7" ht="15" customHeight="1">
      <c r="A7" s="323" t="s">
        <v>50</v>
      </c>
      <c r="B7" s="327" t="s">
        <v>569</v>
      </c>
      <c r="C7" s="152">
        <v>4449263</v>
      </c>
      <c r="D7" s="152"/>
      <c r="E7" s="152">
        <v>4449263</v>
      </c>
      <c r="F7" s="152">
        <v>4449263</v>
      </c>
      <c r="G7" s="325"/>
    </row>
    <row r="8" spans="1:7" ht="20.25" customHeight="1">
      <c r="A8" s="326" t="s">
        <v>71</v>
      </c>
      <c r="B8" s="327" t="s">
        <v>823</v>
      </c>
      <c r="C8" s="152">
        <v>82961</v>
      </c>
      <c r="D8" s="152"/>
      <c r="E8" s="152">
        <v>82961</v>
      </c>
      <c r="F8" s="152">
        <v>82961</v>
      </c>
      <c r="G8" s="325"/>
    </row>
    <row r="9" spans="1:7" ht="15" customHeight="1">
      <c r="A9" s="326" t="s">
        <v>92</v>
      </c>
      <c r="B9" s="327"/>
      <c r="C9" s="152"/>
      <c r="D9" s="152"/>
      <c r="E9" s="324">
        <f aca="true" t="shared" si="0" ref="E9:E31">C9+D9</f>
        <v>0</v>
      </c>
      <c r="F9" s="152"/>
      <c r="G9" s="328"/>
    </row>
    <row r="10" spans="1:7" ht="15" customHeight="1">
      <c r="A10" s="326" t="s">
        <v>341</v>
      </c>
      <c r="B10" s="327"/>
      <c r="C10" s="152"/>
      <c r="D10" s="152"/>
      <c r="E10" s="324">
        <f t="shared" si="0"/>
        <v>0</v>
      </c>
      <c r="F10" s="152"/>
      <c r="G10" s="328"/>
    </row>
    <row r="11" spans="1:7" ht="15" customHeight="1">
      <c r="A11" s="326" t="s">
        <v>134</v>
      </c>
      <c r="B11" s="327"/>
      <c r="C11" s="152"/>
      <c r="D11" s="152"/>
      <c r="E11" s="324">
        <f t="shared" si="0"/>
        <v>0</v>
      </c>
      <c r="F11" s="152"/>
      <c r="G11" s="328"/>
    </row>
    <row r="12" spans="1:7" ht="15" customHeight="1">
      <c r="A12" s="326" t="s">
        <v>167</v>
      </c>
      <c r="B12" s="327"/>
      <c r="C12" s="152"/>
      <c r="D12" s="152"/>
      <c r="E12" s="324">
        <f t="shared" si="0"/>
        <v>0</v>
      </c>
      <c r="F12" s="152"/>
      <c r="G12" s="328"/>
    </row>
    <row r="13" spans="1:7" ht="15" customHeight="1">
      <c r="A13" s="326" t="s">
        <v>352</v>
      </c>
      <c r="B13" s="327"/>
      <c r="C13" s="152"/>
      <c r="D13" s="152"/>
      <c r="E13" s="324">
        <f t="shared" si="0"/>
        <v>0</v>
      </c>
      <c r="F13" s="152"/>
      <c r="G13" s="328"/>
    </row>
    <row r="14" spans="1:7" ht="15" customHeight="1">
      <c r="A14" s="326" t="s">
        <v>200</v>
      </c>
      <c r="B14" s="327"/>
      <c r="C14" s="152"/>
      <c r="D14" s="152"/>
      <c r="E14" s="324">
        <f t="shared" si="0"/>
        <v>0</v>
      </c>
      <c r="F14" s="152"/>
      <c r="G14" s="328"/>
    </row>
    <row r="15" spans="1:7" ht="15" customHeight="1">
      <c r="A15" s="326" t="s">
        <v>215</v>
      </c>
      <c r="B15" s="327"/>
      <c r="C15" s="152"/>
      <c r="D15" s="152"/>
      <c r="E15" s="324">
        <f t="shared" si="0"/>
        <v>0</v>
      </c>
      <c r="F15" s="152"/>
      <c r="G15" s="328"/>
    </row>
    <row r="16" spans="1:7" ht="15" customHeight="1">
      <c r="A16" s="326" t="s">
        <v>364</v>
      </c>
      <c r="B16" s="327"/>
      <c r="C16" s="152"/>
      <c r="D16" s="152"/>
      <c r="E16" s="324">
        <f t="shared" si="0"/>
        <v>0</v>
      </c>
      <c r="F16" s="152"/>
      <c r="G16" s="328"/>
    </row>
    <row r="17" spans="1:7" ht="15" customHeight="1">
      <c r="A17" s="326" t="s">
        <v>388</v>
      </c>
      <c r="B17" s="327"/>
      <c r="C17" s="152"/>
      <c r="D17" s="152"/>
      <c r="E17" s="324">
        <f t="shared" si="0"/>
        <v>0</v>
      </c>
      <c r="F17" s="152"/>
      <c r="G17" s="328"/>
    </row>
    <row r="18" spans="1:7" ht="15" customHeight="1">
      <c r="A18" s="326" t="s">
        <v>389</v>
      </c>
      <c r="B18" s="327"/>
      <c r="C18" s="152"/>
      <c r="D18" s="152"/>
      <c r="E18" s="324">
        <f t="shared" si="0"/>
        <v>0</v>
      </c>
      <c r="F18" s="152"/>
      <c r="G18" s="328"/>
    </row>
    <row r="19" spans="1:7" ht="15" customHeight="1">
      <c r="A19" s="326" t="s">
        <v>390</v>
      </c>
      <c r="B19" s="327"/>
      <c r="C19" s="152"/>
      <c r="D19" s="152"/>
      <c r="E19" s="324">
        <f t="shared" si="0"/>
        <v>0</v>
      </c>
      <c r="F19" s="152"/>
      <c r="G19" s="328"/>
    </row>
    <row r="20" spans="1:7" ht="15" customHeight="1">
      <c r="A20" s="326" t="s">
        <v>393</v>
      </c>
      <c r="B20" s="327"/>
      <c r="C20" s="152"/>
      <c r="D20" s="152"/>
      <c r="E20" s="324">
        <f t="shared" si="0"/>
        <v>0</v>
      </c>
      <c r="F20" s="152"/>
      <c r="G20" s="328"/>
    </row>
    <row r="21" spans="1:7" ht="15" customHeight="1">
      <c r="A21" s="326" t="s">
        <v>396</v>
      </c>
      <c r="B21" s="327"/>
      <c r="C21" s="152"/>
      <c r="D21" s="152"/>
      <c r="E21" s="324">
        <f t="shared" si="0"/>
        <v>0</v>
      </c>
      <c r="F21" s="152"/>
      <c r="G21" s="328"/>
    </row>
    <row r="22" spans="1:7" ht="15" customHeight="1">
      <c r="A22" s="326" t="s">
        <v>399</v>
      </c>
      <c r="B22" s="327"/>
      <c r="C22" s="152"/>
      <c r="D22" s="152"/>
      <c r="E22" s="324">
        <f t="shared" si="0"/>
        <v>0</v>
      </c>
      <c r="F22" s="152"/>
      <c r="G22" s="328"/>
    </row>
    <row r="23" spans="1:7" ht="15" customHeight="1">
      <c r="A23" s="326" t="s">
        <v>402</v>
      </c>
      <c r="B23" s="327"/>
      <c r="C23" s="152"/>
      <c r="D23" s="152"/>
      <c r="E23" s="324">
        <f t="shared" si="0"/>
        <v>0</v>
      </c>
      <c r="F23" s="152"/>
      <c r="G23" s="328"/>
    </row>
    <row r="24" spans="1:7" ht="15" customHeight="1">
      <c r="A24" s="326" t="s">
        <v>405</v>
      </c>
      <c r="B24" s="327"/>
      <c r="C24" s="152"/>
      <c r="D24" s="152"/>
      <c r="E24" s="324">
        <f t="shared" si="0"/>
        <v>0</v>
      </c>
      <c r="F24" s="152"/>
      <c r="G24" s="328"/>
    </row>
    <row r="25" spans="1:7" ht="15" customHeight="1">
      <c r="A25" s="326" t="s">
        <v>408</v>
      </c>
      <c r="B25" s="327"/>
      <c r="C25" s="152"/>
      <c r="D25" s="152"/>
      <c r="E25" s="324">
        <f t="shared" si="0"/>
        <v>0</v>
      </c>
      <c r="F25" s="152"/>
      <c r="G25" s="328"/>
    </row>
    <row r="26" spans="1:7" ht="15" customHeight="1">
      <c r="A26" s="326" t="s">
        <v>411</v>
      </c>
      <c r="B26" s="327"/>
      <c r="C26" s="152"/>
      <c r="D26" s="152"/>
      <c r="E26" s="324">
        <f t="shared" si="0"/>
        <v>0</v>
      </c>
      <c r="F26" s="152"/>
      <c r="G26" s="328"/>
    </row>
    <row r="27" spans="1:7" ht="15" customHeight="1">
      <c r="A27" s="326" t="s">
        <v>414</v>
      </c>
      <c r="B27" s="327"/>
      <c r="C27" s="152"/>
      <c r="D27" s="152"/>
      <c r="E27" s="324">
        <f t="shared" si="0"/>
        <v>0</v>
      </c>
      <c r="F27" s="152"/>
      <c r="G27" s="328"/>
    </row>
    <row r="28" spans="1:7" ht="15" customHeight="1">
      <c r="A28" s="326" t="s">
        <v>416</v>
      </c>
      <c r="B28" s="327"/>
      <c r="C28" s="152"/>
      <c r="D28" s="152"/>
      <c r="E28" s="324">
        <f t="shared" si="0"/>
        <v>0</v>
      </c>
      <c r="F28" s="152"/>
      <c r="G28" s="328"/>
    </row>
    <row r="29" spans="1:7" ht="15" customHeight="1">
      <c r="A29" s="326" t="s">
        <v>419</v>
      </c>
      <c r="B29" s="327"/>
      <c r="C29" s="152"/>
      <c r="D29" s="152"/>
      <c r="E29" s="324">
        <f t="shared" si="0"/>
        <v>0</v>
      </c>
      <c r="F29" s="152"/>
      <c r="G29" s="328"/>
    </row>
    <row r="30" spans="1:7" ht="15" customHeight="1">
      <c r="A30" s="326" t="s">
        <v>422</v>
      </c>
      <c r="B30" s="327"/>
      <c r="C30" s="152"/>
      <c r="D30" s="152"/>
      <c r="E30" s="324">
        <f t="shared" si="0"/>
        <v>0</v>
      </c>
      <c r="F30" s="152"/>
      <c r="G30" s="328"/>
    </row>
    <row r="31" spans="1:7" ht="15" customHeight="1">
      <c r="A31" s="326" t="s">
        <v>425</v>
      </c>
      <c r="B31" s="327"/>
      <c r="C31" s="152"/>
      <c r="D31" s="152"/>
      <c r="E31" s="324">
        <f t="shared" si="0"/>
        <v>0</v>
      </c>
      <c r="F31" s="152"/>
      <c r="G31" s="328"/>
    </row>
    <row r="32" spans="1:7" ht="15" customHeight="1">
      <c r="A32" s="326" t="s">
        <v>456</v>
      </c>
      <c r="B32" s="327"/>
      <c r="C32" s="152"/>
      <c r="D32" s="152"/>
      <c r="E32" s="324"/>
      <c r="F32" s="152"/>
      <c r="G32" s="328"/>
    </row>
    <row r="33" spans="1:7" ht="15" customHeight="1">
      <c r="A33" s="326" t="s">
        <v>459</v>
      </c>
      <c r="B33" s="327"/>
      <c r="C33" s="152"/>
      <c r="D33" s="152"/>
      <c r="E33" s="324">
        <f>C33+D33</f>
        <v>0</v>
      </c>
      <c r="F33" s="152"/>
      <c r="G33" s="328"/>
    </row>
    <row r="34" spans="1:7" ht="15" customHeight="1">
      <c r="A34" s="326" t="s">
        <v>460</v>
      </c>
      <c r="B34" s="327"/>
      <c r="C34" s="152"/>
      <c r="D34" s="152"/>
      <c r="E34" s="324">
        <f>C34+D34</f>
        <v>0</v>
      </c>
      <c r="F34" s="152"/>
      <c r="G34" s="328"/>
    </row>
    <row r="35" spans="1:7" ht="15" customHeight="1">
      <c r="A35" s="326" t="s">
        <v>570</v>
      </c>
      <c r="B35" s="327"/>
      <c r="C35" s="152"/>
      <c r="D35" s="152"/>
      <c r="E35" s="324">
        <f>C35+D35</f>
        <v>0</v>
      </c>
      <c r="F35" s="152"/>
      <c r="G35" s="328"/>
    </row>
    <row r="36" spans="1:7" ht="15" customHeight="1">
      <c r="A36" s="326" t="s">
        <v>571</v>
      </c>
      <c r="B36" s="327"/>
      <c r="C36" s="152"/>
      <c r="D36" s="152"/>
      <c r="E36" s="324">
        <f>C36+D36</f>
        <v>0</v>
      </c>
      <c r="F36" s="152"/>
      <c r="G36" s="328"/>
    </row>
    <row r="37" spans="1:7" ht="15" customHeight="1">
      <c r="A37" s="326" t="s">
        <v>572</v>
      </c>
      <c r="B37" s="329"/>
      <c r="C37" s="156"/>
      <c r="D37" s="156"/>
      <c r="E37" s="324">
        <f>C37+D37</f>
        <v>0</v>
      </c>
      <c r="F37" s="156"/>
      <c r="G37" s="330"/>
    </row>
    <row r="38" spans="1:7" ht="15" customHeight="1">
      <c r="A38" s="661" t="s">
        <v>497</v>
      </c>
      <c r="B38" s="661"/>
      <c r="C38" s="158">
        <f>SUM(C7:C37)</f>
        <v>4532224</v>
      </c>
      <c r="D38" s="158">
        <f>SUM(D7:D37)</f>
        <v>0</v>
      </c>
      <c r="E38" s="158">
        <f>SUM(E7:E37)</f>
        <v>4532224</v>
      </c>
      <c r="F38" s="158">
        <f>SUM(F7:F37)</f>
        <v>4532224</v>
      </c>
      <c r="G38" s="160">
        <f>SUM(G7:G37)</f>
        <v>0</v>
      </c>
    </row>
  </sheetData>
  <sheetProtection selectLockedCells="1" selectUnlockedCells="1"/>
  <mergeCells count="7">
    <mergeCell ref="B1:G1"/>
    <mergeCell ref="E4:G4"/>
    <mergeCell ref="A38:B38"/>
    <mergeCell ref="A4:A5"/>
    <mergeCell ref="B4:B5"/>
    <mergeCell ref="C4:C5"/>
    <mergeCell ref="D4:D5"/>
  </mergeCells>
  <printOptions horizontalCentered="1"/>
  <pageMargins left="0.7875" right="0.7875" top="1.575" bottom="0.9840277777777777" header="0.5" footer="0.511805555555555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A2" sqref="A2"/>
    </sheetView>
  </sheetViews>
  <sheetFormatPr defaultColWidth="9.375" defaultRowHeight="12.75"/>
  <cols>
    <col min="1" max="1" width="6.75390625" style="84" customWidth="1"/>
    <col min="2" max="2" width="55.125" style="85" customWidth="1"/>
    <col min="3" max="5" width="16.375" style="84" customWidth="1"/>
    <col min="6" max="6" width="55.125" style="84" customWidth="1"/>
    <col min="7" max="9" width="16.375" style="84" customWidth="1"/>
    <col min="10" max="10" width="0" style="86" hidden="1" customWidth="1"/>
    <col min="11" max="16384" width="9.375" style="84" customWidth="1"/>
  </cols>
  <sheetData>
    <row r="1" spans="1:9" ht="12.75">
      <c r="A1" s="633" t="str">
        <f>+CONCATENATE("2.1. melléklet a 6/",LEFT(ÖSSZEFÜGGÉSEK!A4,4)+1,". (VII.17.) önkormányzati rendelethez")</f>
        <v>2.1. melléklet a 6/2020. (VII.17.) önkormányzati rendelethez</v>
      </c>
      <c r="B1" s="634"/>
      <c r="C1" s="634"/>
      <c r="D1" s="634"/>
      <c r="E1" s="634"/>
      <c r="F1" s="634"/>
      <c r="G1" s="634"/>
      <c r="H1" s="634"/>
      <c r="I1" s="634"/>
    </row>
    <row r="3" spans="2:9" ht="39.75" customHeight="1">
      <c r="B3" s="635" t="s">
        <v>370</v>
      </c>
      <c r="C3" s="635"/>
      <c r="D3" s="635"/>
      <c r="E3" s="635"/>
      <c r="F3" s="635"/>
      <c r="G3" s="635"/>
      <c r="H3" s="635"/>
      <c r="I3" s="635"/>
    </row>
    <row r="4" spans="7:9" ht="13.5">
      <c r="G4" s="87"/>
      <c r="H4" s="87"/>
      <c r="I4" s="87" t="s">
        <v>371</v>
      </c>
    </row>
    <row r="5" spans="1:9" ht="18" customHeight="1">
      <c r="A5" s="636" t="s">
        <v>40</v>
      </c>
      <c r="B5" s="637" t="s">
        <v>372</v>
      </c>
      <c r="C5" s="637"/>
      <c r="D5" s="637"/>
      <c r="E5" s="637"/>
      <c r="F5" s="636" t="s">
        <v>373</v>
      </c>
      <c r="G5" s="636"/>
      <c r="H5" s="636"/>
      <c r="I5" s="636"/>
    </row>
    <row r="6" spans="1:10" s="93" customFormat="1" ht="35.25" customHeight="1">
      <c r="A6" s="636"/>
      <c r="B6" s="88" t="s">
        <v>374</v>
      </c>
      <c r="C6" s="89" t="str">
        <f>+CONCATENATE(LEFT('1.sz.mell.'!C5,4),". évi eredeti előirányzat")</f>
        <v>2019. évi eredeti előirányzat</v>
      </c>
      <c r="D6" s="90" t="str">
        <f>+CONCATENATE(LEFT('1.sz.mell.'!C5,4),". évi módosított előirányzat")</f>
        <v>2019. évi módosított előirányzat</v>
      </c>
      <c r="E6" s="89" t="str">
        <f>+CONCATENATE(LEFT('1.sz.mell.'!C5,4),". évi teljesítés")</f>
        <v>2019. évi teljesítés</v>
      </c>
      <c r="F6" s="88" t="s">
        <v>374</v>
      </c>
      <c r="G6" s="89" t="str">
        <f>+C6</f>
        <v>2019. évi eredeti előirányzat</v>
      </c>
      <c r="H6" s="90" t="str">
        <f>+D6</f>
        <v>2019. évi módosított előirányzat</v>
      </c>
      <c r="I6" s="91" t="str">
        <f>+E6</f>
        <v>2019. évi teljesítés</v>
      </c>
      <c r="J6" s="92"/>
    </row>
    <row r="7" spans="1:10" s="99" customFormat="1" ht="12" customHeight="1">
      <c r="A7" s="94" t="s">
        <v>45</v>
      </c>
      <c r="B7" s="95" t="s">
        <v>46</v>
      </c>
      <c r="C7" s="96" t="s">
        <v>47</v>
      </c>
      <c r="D7" s="96" t="s">
        <v>48</v>
      </c>
      <c r="E7" s="96" t="s">
        <v>49</v>
      </c>
      <c r="F7" s="95" t="s">
        <v>375</v>
      </c>
      <c r="G7" s="96" t="s">
        <v>376</v>
      </c>
      <c r="H7" s="96" t="s">
        <v>377</v>
      </c>
      <c r="I7" s="97" t="s">
        <v>378</v>
      </c>
      <c r="J7" s="98"/>
    </row>
    <row r="8" spans="1:10" ht="15" customHeight="1">
      <c r="A8" s="100" t="s">
        <v>50</v>
      </c>
      <c r="B8" s="101" t="s">
        <v>379</v>
      </c>
      <c r="C8" s="102">
        <f>'1.sz.mell.'!C8</f>
        <v>63832031</v>
      </c>
      <c r="D8" s="102">
        <f>'1.sz.mell.'!D8</f>
        <v>73656080</v>
      </c>
      <c r="E8" s="102">
        <f>'1.sz.mell.'!E8</f>
        <v>73656080</v>
      </c>
      <c r="F8" s="101" t="s">
        <v>380</v>
      </c>
      <c r="G8" s="102">
        <f>'1.sz.mell.'!C95</f>
        <v>108000000</v>
      </c>
      <c r="H8" s="102">
        <f>'1.sz.mell.'!D95</f>
        <v>113018480</v>
      </c>
      <c r="I8" s="102">
        <f>'1.sz.mell.'!E95</f>
        <v>103038386</v>
      </c>
      <c r="J8" s="86" t="s">
        <v>52</v>
      </c>
    </row>
    <row r="9" spans="1:10" ht="15" customHeight="1">
      <c r="A9" s="103" t="s">
        <v>71</v>
      </c>
      <c r="B9" s="104" t="s">
        <v>381</v>
      </c>
      <c r="C9" s="105">
        <f>'1.sz.mell.'!C15</f>
        <v>14400000</v>
      </c>
      <c r="D9" s="105">
        <f>'1.sz.mell.'!D15</f>
        <v>44014722</v>
      </c>
      <c r="E9" s="105">
        <f>'1.sz.mell.'!E15</f>
        <v>44014722</v>
      </c>
      <c r="F9" s="104" t="s">
        <v>295</v>
      </c>
      <c r="G9" s="105">
        <f>'1.sz.mell.'!C96</f>
        <v>22000000</v>
      </c>
      <c r="H9" s="105">
        <f>'1.sz.mell.'!D96</f>
        <v>21214348</v>
      </c>
      <c r="I9" s="105">
        <f>'1.sz.mell.'!E96</f>
        <v>19516040</v>
      </c>
      <c r="J9" s="86" t="s">
        <v>55</v>
      </c>
    </row>
    <row r="10" spans="1:10" ht="15" customHeight="1">
      <c r="A10" s="103" t="s">
        <v>92</v>
      </c>
      <c r="B10" s="104" t="s">
        <v>382</v>
      </c>
      <c r="C10" s="105">
        <v>0</v>
      </c>
      <c r="D10" s="105">
        <v>0</v>
      </c>
      <c r="E10" s="105">
        <v>0</v>
      </c>
      <c r="F10" s="104" t="s">
        <v>383</v>
      </c>
      <c r="G10" s="105">
        <f>'1.sz.mell.'!C97</f>
        <v>79700000</v>
      </c>
      <c r="H10" s="105">
        <f>'1.sz.mell.'!D97</f>
        <v>94843560</v>
      </c>
      <c r="I10" s="105">
        <f>'1.sz.mell.'!E97</f>
        <v>72550184</v>
      </c>
      <c r="J10" s="86" t="s">
        <v>58</v>
      </c>
    </row>
    <row r="11" spans="1:10" ht="15" customHeight="1">
      <c r="A11" s="103" t="s">
        <v>341</v>
      </c>
      <c r="B11" s="104" t="s">
        <v>384</v>
      </c>
      <c r="C11" s="105">
        <f>'1.sz.mell.'!C29</f>
        <v>80000000</v>
      </c>
      <c r="D11" s="105">
        <f>'1.sz.mell.'!D29</f>
        <v>93332274</v>
      </c>
      <c r="E11" s="105">
        <f>'1.sz.mell.'!E29</f>
        <v>93332274</v>
      </c>
      <c r="F11" s="104" t="s">
        <v>297</v>
      </c>
      <c r="G11" s="105">
        <f>'1.sz.mell.'!C98</f>
        <v>3363000</v>
      </c>
      <c r="H11" s="105">
        <f>'1.sz.mell.'!D98</f>
        <v>3763000</v>
      </c>
      <c r="I11" s="105">
        <f>'1.sz.mell.'!E98</f>
        <v>1744000</v>
      </c>
      <c r="J11" s="86" t="s">
        <v>61</v>
      </c>
    </row>
    <row r="12" spans="1:10" ht="15" customHeight="1">
      <c r="A12" s="103" t="s">
        <v>134</v>
      </c>
      <c r="B12" s="106" t="s">
        <v>385</v>
      </c>
      <c r="C12" s="105">
        <f>'1.sz.mell.'!C53</f>
        <v>0</v>
      </c>
      <c r="D12" s="105">
        <f>'1.sz.mell.'!D53</f>
        <v>0</v>
      </c>
      <c r="E12" s="105">
        <f>'1.sz.mell.'!E53</f>
        <v>0</v>
      </c>
      <c r="F12" s="104" t="s">
        <v>299</v>
      </c>
      <c r="G12" s="105">
        <f>'1.sz.mell.'!C99</f>
        <v>3652800</v>
      </c>
      <c r="H12" s="105">
        <f>'1.sz.mell.'!D99</f>
        <v>3852800</v>
      </c>
      <c r="I12" s="105">
        <f>'1.sz.mell.'!E99</f>
        <v>3347800</v>
      </c>
      <c r="J12" s="86" t="s">
        <v>64</v>
      </c>
    </row>
    <row r="13" spans="1:10" ht="15" customHeight="1">
      <c r="A13" s="103" t="s">
        <v>167</v>
      </c>
      <c r="B13" s="104" t="s">
        <v>386</v>
      </c>
      <c r="C13" s="107">
        <v>0</v>
      </c>
      <c r="D13" s="107">
        <v>0</v>
      </c>
      <c r="E13" s="107">
        <v>0</v>
      </c>
      <c r="F13" s="104" t="s">
        <v>387</v>
      </c>
      <c r="G13" s="105">
        <f>'1.sz.mell.'!C124</f>
        <v>29743005</v>
      </c>
      <c r="H13" s="105">
        <f>'1.sz.mell.'!D124</f>
        <v>108970068</v>
      </c>
      <c r="I13" s="105">
        <f>'1.sz.mell.'!E124</f>
        <v>0</v>
      </c>
      <c r="J13" s="86" t="s">
        <v>67</v>
      </c>
    </row>
    <row r="14" spans="1:10" ht="15" customHeight="1">
      <c r="A14" s="103" t="s">
        <v>352</v>
      </c>
      <c r="B14" s="104" t="s">
        <v>165</v>
      </c>
      <c r="C14" s="105">
        <f>'1.sz.mell.'!C36</f>
        <v>15200000</v>
      </c>
      <c r="D14" s="105">
        <f>'1.sz.mell.'!D36</f>
        <v>14912608</v>
      </c>
      <c r="E14" s="105">
        <f>'1.sz.mell.'!E36</f>
        <v>14912608</v>
      </c>
      <c r="F14" s="108"/>
      <c r="G14" s="105"/>
      <c r="H14" s="105"/>
      <c r="I14" s="109"/>
      <c r="J14" s="86" t="s">
        <v>70</v>
      </c>
    </row>
    <row r="15" spans="1:9" ht="15" customHeight="1">
      <c r="A15" s="103" t="s">
        <v>200</v>
      </c>
      <c r="B15" s="108"/>
      <c r="C15" s="105"/>
      <c r="D15" s="105"/>
      <c r="E15" s="105"/>
      <c r="F15" s="108"/>
      <c r="G15" s="105"/>
      <c r="H15" s="105"/>
      <c r="I15" s="109"/>
    </row>
    <row r="16" spans="1:9" ht="15" customHeight="1">
      <c r="A16" s="103" t="s">
        <v>215</v>
      </c>
      <c r="B16" s="110"/>
      <c r="C16" s="107"/>
      <c r="D16" s="107"/>
      <c r="E16" s="107"/>
      <c r="F16" s="108"/>
      <c r="G16" s="105"/>
      <c r="H16" s="105"/>
      <c r="I16" s="109"/>
    </row>
    <row r="17" spans="1:9" ht="15" customHeight="1">
      <c r="A17" s="103" t="s">
        <v>364</v>
      </c>
      <c r="B17" s="108"/>
      <c r="C17" s="105"/>
      <c r="D17" s="105"/>
      <c r="E17" s="105"/>
      <c r="F17" s="108"/>
      <c r="G17" s="105"/>
      <c r="H17" s="105"/>
      <c r="I17" s="109"/>
    </row>
    <row r="18" spans="1:9" ht="15" customHeight="1">
      <c r="A18" s="103" t="s">
        <v>388</v>
      </c>
      <c r="B18" s="108"/>
      <c r="C18" s="105"/>
      <c r="D18" s="105"/>
      <c r="E18" s="105"/>
      <c r="F18" s="108"/>
      <c r="G18" s="105"/>
      <c r="H18" s="105"/>
      <c r="I18" s="109"/>
    </row>
    <row r="19" spans="1:9" ht="15" customHeight="1">
      <c r="A19" s="103" t="s">
        <v>389</v>
      </c>
      <c r="B19" s="111"/>
      <c r="C19" s="112"/>
      <c r="D19" s="112"/>
      <c r="E19" s="112"/>
      <c r="F19" s="108"/>
      <c r="G19" s="112"/>
      <c r="H19" s="112"/>
      <c r="I19" s="113"/>
    </row>
    <row r="20" spans="1:10" ht="17.25" customHeight="1">
      <c r="A20" s="114" t="s">
        <v>390</v>
      </c>
      <c r="B20" s="115" t="s">
        <v>391</v>
      </c>
      <c r="C20" s="116">
        <f>+C8+C9+C11+C12+C14+C15+C16+C17+C18+C19</f>
        <v>173432031</v>
      </c>
      <c r="D20" s="116">
        <f>+D8+D9+D11+D12+D14+D15+D16+D17+D18+D19</f>
        <v>225915684</v>
      </c>
      <c r="E20" s="116">
        <f>+E8+E9+E11+E12+E14+E15+E16+E17+E18+E19</f>
        <v>225915684</v>
      </c>
      <c r="F20" s="115" t="s">
        <v>392</v>
      </c>
      <c r="G20" s="116">
        <f>SUM(G8:G19)</f>
        <v>246458805</v>
      </c>
      <c r="H20" s="116">
        <f>SUM(H8:H19)</f>
        <v>345662256</v>
      </c>
      <c r="I20" s="116">
        <f>SUM(I8:I19)</f>
        <v>200196410</v>
      </c>
      <c r="J20" s="86" t="s">
        <v>73</v>
      </c>
    </row>
    <row r="21" spans="1:10" ht="15" customHeight="1">
      <c r="A21" s="117" t="s">
        <v>393</v>
      </c>
      <c r="B21" s="118" t="s">
        <v>394</v>
      </c>
      <c r="C21" s="119">
        <f>+C22+C23+C24+C25</f>
        <v>183506456</v>
      </c>
      <c r="D21" s="119">
        <f>+D22+D23+D24+D25</f>
        <v>186156392</v>
      </c>
      <c r="E21" s="119">
        <f>+E22+E23+E24+E25</f>
        <v>186156392</v>
      </c>
      <c r="F21" s="104" t="s">
        <v>395</v>
      </c>
      <c r="G21" s="120"/>
      <c r="H21" s="120"/>
      <c r="I21" s="120"/>
      <c r="J21" s="86" t="s">
        <v>76</v>
      </c>
    </row>
    <row r="22" spans="1:10" ht="15" customHeight="1">
      <c r="A22" s="103" t="s">
        <v>396</v>
      </c>
      <c r="B22" s="104" t="s">
        <v>397</v>
      </c>
      <c r="C22" s="105">
        <f>'1.sz.mell.'!C74</f>
        <v>183506456</v>
      </c>
      <c r="D22" s="105">
        <f>'1.sz.mell.'!D74</f>
        <v>183506456</v>
      </c>
      <c r="E22" s="105">
        <f>'1.sz.mell.'!E74</f>
        <v>183506456</v>
      </c>
      <c r="F22" s="104" t="s">
        <v>398</v>
      </c>
      <c r="G22" s="105"/>
      <c r="H22" s="105"/>
      <c r="I22" s="105"/>
      <c r="J22" s="86" t="s">
        <v>79</v>
      </c>
    </row>
    <row r="23" spans="1:10" ht="15" customHeight="1">
      <c r="A23" s="103" t="s">
        <v>399</v>
      </c>
      <c r="B23" s="104" t="s">
        <v>400</v>
      </c>
      <c r="C23" s="105"/>
      <c r="D23" s="105"/>
      <c r="E23" s="105"/>
      <c r="F23" s="104" t="s">
        <v>401</v>
      </c>
      <c r="G23" s="105"/>
      <c r="H23" s="105"/>
      <c r="I23" s="105"/>
      <c r="J23" s="86" t="s">
        <v>82</v>
      </c>
    </row>
    <row r="24" spans="1:10" ht="15" customHeight="1">
      <c r="A24" s="103" t="s">
        <v>402</v>
      </c>
      <c r="B24" s="104" t="s">
        <v>403</v>
      </c>
      <c r="C24" s="105"/>
      <c r="D24" s="105"/>
      <c r="E24" s="105"/>
      <c r="F24" s="104" t="s">
        <v>404</v>
      </c>
      <c r="G24" s="105"/>
      <c r="H24" s="105"/>
      <c r="I24" s="105"/>
      <c r="J24" s="86" t="s">
        <v>85</v>
      </c>
    </row>
    <row r="25" spans="1:10" ht="15" customHeight="1">
      <c r="A25" s="103" t="s">
        <v>405</v>
      </c>
      <c r="B25" s="104" t="s">
        <v>406</v>
      </c>
      <c r="C25" s="105">
        <f>'1.sz.mell.'!C77</f>
        <v>0</v>
      </c>
      <c r="D25" s="105">
        <f>'1.sz.mell.'!D77</f>
        <v>2649936</v>
      </c>
      <c r="E25" s="105">
        <f>'1.sz.mell.'!E77</f>
        <v>2649936</v>
      </c>
      <c r="F25" s="118" t="s">
        <v>407</v>
      </c>
      <c r="G25" s="105"/>
      <c r="H25" s="105"/>
      <c r="I25" s="105"/>
      <c r="J25" s="86" t="s">
        <v>88</v>
      </c>
    </row>
    <row r="26" spans="1:10" ht="15" customHeight="1">
      <c r="A26" s="103" t="s">
        <v>408</v>
      </c>
      <c r="B26" s="104" t="s">
        <v>409</v>
      </c>
      <c r="C26" s="121">
        <f>+C27+C28</f>
        <v>0</v>
      </c>
      <c r="D26" s="121">
        <f>+D27+D28</f>
        <v>0</v>
      </c>
      <c r="E26" s="121">
        <f>+E27+E28</f>
        <v>0</v>
      </c>
      <c r="F26" s="104" t="s">
        <v>410</v>
      </c>
      <c r="G26" s="105"/>
      <c r="H26" s="105"/>
      <c r="I26" s="105"/>
      <c r="J26" s="86" t="s">
        <v>91</v>
      </c>
    </row>
    <row r="27" spans="1:10" ht="15" customHeight="1">
      <c r="A27" s="117" t="s">
        <v>411</v>
      </c>
      <c r="B27" s="118" t="s">
        <v>412</v>
      </c>
      <c r="C27" s="120"/>
      <c r="D27" s="120"/>
      <c r="E27" s="120"/>
      <c r="F27" s="101" t="s">
        <v>413</v>
      </c>
      <c r="G27" s="120"/>
      <c r="H27" s="120"/>
      <c r="I27" s="120"/>
      <c r="J27" s="86" t="s">
        <v>94</v>
      </c>
    </row>
    <row r="28" spans="1:10" ht="15" customHeight="1">
      <c r="A28" s="103" t="s">
        <v>414</v>
      </c>
      <c r="B28" s="104" t="s">
        <v>415</v>
      </c>
      <c r="C28" s="105">
        <v>0</v>
      </c>
      <c r="D28" s="105">
        <v>0</v>
      </c>
      <c r="E28" s="105">
        <v>0</v>
      </c>
      <c r="F28" s="138" t="s">
        <v>810</v>
      </c>
      <c r="G28" s="105">
        <f>'1.sz.mell.'!C139</f>
        <v>2553282</v>
      </c>
      <c r="H28" s="105">
        <f>'1.sz.mell.'!D139</f>
        <v>2553282</v>
      </c>
      <c r="I28" s="105">
        <f>'1.sz.mell.'!E139</f>
        <v>2553282</v>
      </c>
      <c r="J28" s="86" t="s">
        <v>97</v>
      </c>
    </row>
    <row r="29" spans="1:10" ht="17.25" customHeight="1">
      <c r="A29" s="114" t="s">
        <v>416</v>
      </c>
      <c r="B29" s="115" t="s">
        <v>417</v>
      </c>
      <c r="C29" s="116">
        <f>+C21+C26</f>
        <v>183506456</v>
      </c>
      <c r="D29" s="116">
        <f>+D21+D26</f>
        <v>186156392</v>
      </c>
      <c r="E29" s="116">
        <f>+E21+E26</f>
        <v>186156392</v>
      </c>
      <c r="F29" s="115" t="s">
        <v>418</v>
      </c>
      <c r="G29" s="116">
        <f>SUM(G21:G28)</f>
        <v>2553282</v>
      </c>
      <c r="H29" s="116">
        <f>SUM(H21:H28)</f>
        <v>2553282</v>
      </c>
      <c r="I29" s="116">
        <f>SUM(I21:I28)</f>
        <v>2553282</v>
      </c>
      <c r="J29" s="86" t="s">
        <v>100</v>
      </c>
    </row>
    <row r="30" spans="1:10" ht="17.25" customHeight="1">
      <c r="A30" s="114" t="s">
        <v>419</v>
      </c>
      <c r="B30" s="122" t="s">
        <v>420</v>
      </c>
      <c r="C30" s="123">
        <f>+C20+C29</f>
        <v>356938487</v>
      </c>
      <c r="D30" s="123">
        <f>+D20+D29</f>
        <v>412072076</v>
      </c>
      <c r="E30" s="124">
        <f>+E20+E29</f>
        <v>412072076</v>
      </c>
      <c r="F30" s="122" t="s">
        <v>421</v>
      </c>
      <c r="G30" s="123">
        <f>+G20+G29</f>
        <v>249012087</v>
      </c>
      <c r="H30" s="123">
        <f>+H20+H29</f>
        <v>348215538</v>
      </c>
      <c r="I30" s="123">
        <f>+I20+I29</f>
        <v>202749692</v>
      </c>
      <c r="J30" s="86" t="s">
        <v>103</v>
      </c>
    </row>
    <row r="31" spans="1:10" ht="17.25" customHeight="1">
      <c r="A31" s="114" t="s">
        <v>422</v>
      </c>
      <c r="B31" s="122" t="s">
        <v>423</v>
      </c>
      <c r="C31" s="123">
        <f>IF(C20-G20&lt;0,G20-C20,"-")</f>
        <v>73026774</v>
      </c>
      <c r="D31" s="123">
        <f>IF(D20-H20&lt;0,H20-D20,"-")</f>
        <v>119746572</v>
      </c>
      <c r="E31" s="124" t="str">
        <f>IF(E20-I20&lt;0,I20-E20,"-")</f>
        <v>-</v>
      </c>
      <c r="F31" s="122" t="s">
        <v>424</v>
      </c>
      <c r="G31" s="123" t="str">
        <f>IF(C20-G20&gt;0,C20-G20,"-")</f>
        <v>-</v>
      </c>
      <c r="H31" s="123" t="str">
        <f>IF(D20-H20&gt;0,D20-H20,"-")</f>
        <v>-</v>
      </c>
      <c r="I31" s="123">
        <f>IF(E20-I20&gt;0,E20-I20,"-")</f>
        <v>25719274</v>
      </c>
      <c r="J31" s="86" t="s">
        <v>106</v>
      </c>
    </row>
    <row r="32" spans="1:10" ht="17.25" customHeight="1">
      <c r="A32" s="114" t="s">
        <v>425</v>
      </c>
      <c r="B32" s="122" t="s">
        <v>426</v>
      </c>
      <c r="C32" s="123" t="str">
        <f>IF(C30-G30&lt;0,G30-C30,"-")</f>
        <v>-</v>
      </c>
      <c r="D32" s="123" t="str">
        <f>IF(D30-H30&lt;0,H30-D30,"-")</f>
        <v>-</v>
      </c>
      <c r="E32" s="124" t="str">
        <f>IF(E30-I30&lt;0,I30-E30,"-")</f>
        <v>-</v>
      </c>
      <c r="F32" s="122" t="s">
        <v>427</v>
      </c>
      <c r="G32" s="123">
        <f>IF(C30-G30&gt;0,C30-G30,"-")</f>
        <v>107926400</v>
      </c>
      <c r="H32" s="123">
        <f>IF(D30-H30&gt;0,D30-H30,"-")</f>
        <v>63856538</v>
      </c>
      <c r="I32" s="123">
        <f>IF(E30-I30&gt;0,E30-I30,"-")</f>
        <v>209322384</v>
      </c>
      <c r="J32" s="86" t="s">
        <v>109</v>
      </c>
    </row>
    <row r="39" ht="12.75">
      <c r="I39" s="84">
        <f>I36-I38</f>
        <v>0</v>
      </c>
    </row>
  </sheetData>
  <sheetProtection selectLockedCells="1" selectUnlockedCells="1"/>
  <mergeCells count="5">
    <mergeCell ref="A1:I1"/>
    <mergeCell ref="B3:I3"/>
    <mergeCell ref="A5:A6"/>
    <mergeCell ref="B5:E5"/>
    <mergeCell ref="F5:I5"/>
  </mergeCells>
  <printOptions horizontalCentered="1"/>
  <pageMargins left="0.3298611111111111" right="0.4798611111111111" top="0.9055555555555554" bottom="0.5" header="0.6694444444444444" footer="0.5118055555555555"/>
  <pageSetup horizontalDpi="600" verticalDpi="600" orientation="landscape" paperSize="9" scale="70" r:id="rId1"/>
  <headerFooter alignWithMargins="0">
    <oddHeader xml:space="preserve">&amp;R&amp;11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PageLayoutView="0" workbookViewId="0" topLeftCell="A1">
      <selection activeCell="K2" sqref="K2"/>
    </sheetView>
  </sheetViews>
  <sheetFormatPr defaultColWidth="10.625" defaultRowHeight="12.75"/>
  <cols>
    <col min="1" max="1" width="4.50390625" style="0" customWidth="1"/>
    <col min="2" max="2" width="2.625" style="0" customWidth="1"/>
    <col min="3" max="3" width="4.75390625" style="0" customWidth="1"/>
    <col min="4" max="4" width="5.125" style="0" customWidth="1"/>
    <col min="5" max="5" width="4.625" style="0" customWidth="1"/>
    <col min="6" max="6" width="5.625" style="0" customWidth="1"/>
    <col min="7" max="7" width="57.625" style="0" customWidth="1"/>
    <col min="8" max="8" width="13.25390625" style="0" bestFit="1" customWidth="1"/>
    <col min="9" max="9" width="14.375" style="0" bestFit="1" customWidth="1"/>
    <col min="10" max="10" width="18.125" style="0" bestFit="1" customWidth="1"/>
    <col min="11" max="11" width="10.375" style="0" customWidth="1"/>
    <col min="12" max="12" width="13.25390625" style="0" bestFit="1" customWidth="1"/>
    <col min="13" max="13" width="14.375" style="0" bestFit="1" customWidth="1"/>
    <col min="14" max="14" width="18.125" style="0" bestFit="1" customWidth="1"/>
    <col min="15" max="15" width="10.625" style="0" customWidth="1"/>
    <col min="16" max="16" width="13.25390625" style="0" bestFit="1" customWidth="1"/>
    <col min="17" max="17" width="14.375" style="0" bestFit="1" customWidth="1"/>
    <col min="18" max="18" width="18.125" style="0" bestFit="1" customWidth="1"/>
  </cols>
  <sheetData>
    <row r="1" spans="1:11" ht="12.75">
      <c r="A1" s="331"/>
      <c r="B1" s="332"/>
      <c r="C1" s="332"/>
      <c r="D1" s="332"/>
      <c r="E1" s="332"/>
      <c r="F1" s="332"/>
      <c r="G1" s="332"/>
      <c r="H1" s="333"/>
      <c r="I1" s="333"/>
      <c r="J1" s="333"/>
      <c r="K1" s="333" t="s">
        <v>864</v>
      </c>
    </row>
    <row r="2" spans="1:11" ht="12.75">
      <c r="A2" s="331"/>
      <c r="B2" s="332"/>
      <c r="C2" s="332"/>
      <c r="D2" s="332"/>
      <c r="E2" s="332"/>
      <c r="F2" s="332"/>
      <c r="G2" s="332"/>
      <c r="H2" s="333"/>
      <c r="I2" s="333"/>
      <c r="J2" s="333"/>
      <c r="K2" s="333"/>
    </row>
    <row r="3" spans="1:11" ht="12.75" customHeight="1">
      <c r="A3" s="331"/>
      <c r="B3" s="669" t="s">
        <v>815</v>
      </c>
      <c r="C3" s="669"/>
      <c r="D3" s="669"/>
      <c r="E3" s="669"/>
      <c r="F3" s="669"/>
      <c r="G3" s="669"/>
      <c r="H3" s="669"/>
      <c r="I3" s="669"/>
      <c r="J3" s="669"/>
      <c r="K3" s="669"/>
    </row>
    <row r="4" spans="1:19" ht="13.5" customHeight="1">
      <c r="A4" s="331"/>
      <c r="B4" s="334"/>
      <c r="C4" s="334"/>
      <c r="D4" s="334"/>
      <c r="E4" s="334"/>
      <c r="F4" s="334"/>
      <c r="G4" s="334"/>
      <c r="H4" s="670" t="s">
        <v>832</v>
      </c>
      <c r="I4" s="670"/>
      <c r="J4" s="670"/>
      <c r="K4" s="670"/>
      <c r="L4" s="670" t="s">
        <v>833</v>
      </c>
      <c r="M4" s="670"/>
      <c r="N4" s="670"/>
      <c r="O4" s="670"/>
      <c r="P4" s="670" t="s">
        <v>824</v>
      </c>
      <c r="Q4" s="670"/>
      <c r="R4" s="670"/>
      <c r="S4" s="670"/>
    </row>
    <row r="5" spans="1:19" ht="12.75">
      <c r="A5" s="335"/>
      <c r="B5" s="336" t="s">
        <v>45</v>
      </c>
      <c r="C5" s="336" t="s">
        <v>46</v>
      </c>
      <c r="D5" s="336" t="s">
        <v>47</v>
      </c>
      <c r="E5" s="336" t="s">
        <v>48</v>
      </c>
      <c r="F5" s="336" t="s">
        <v>49</v>
      </c>
      <c r="G5" s="336" t="s">
        <v>375</v>
      </c>
      <c r="H5" s="337" t="s">
        <v>376</v>
      </c>
      <c r="I5" s="337" t="s">
        <v>377</v>
      </c>
      <c r="J5" s="337" t="s">
        <v>378</v>
      </c>
      <c r="K5" s="338" t="s">
        <v>477</v>
      </c>
      <c r="L5" s="339" t="s">
        <v>478</v>
      </c>
      <c r="M5" s="339" t="s">
        <v>573</v>
      </c>
      <c r="N5" s="339" t="s">
        <v>574</v>
      </c>
      <c r="O5" s="339" t="s">
        <v>575</v>
      </c>
      <c r="P5" s="339" t="s">
        <v>478</v>
      </c>
      <c r="Q5" s="339" t="s">
        <v>573</v>
      </c>
      <c r="R5" s="339" t="s">
        <v>574</v>
      </c>
      <c r="S5" s="339" t="s">
        <v>575</v>
      </c>
    </row>
    <row r="6" spans="1:19" ht="12.75" customHeight="1" hidden="1">
      <c r="A6" s="665">
        <v>1</v>
      </c>
      <c r="B6" s="666"/>
      <c r="C6" s="667" t="s">
        <v>576</v>
      </c>
      <c r="D6" s="668" t="s">
        <v>577</v>
      </c>
      <c r="E6" s="664"/>
      <c r="F6" s="664"/>
      <c r="G6" s="671" t="s">
        <v>578</v>
      </c>
      <c r="H6" s="672" t="s">
        <v>42</v>
      </c>
      <c r="I6" s="673" t="s">
        <v>558</v>
      </c>
      <c r="J6" s="674" t="s">
        <v>552</v>
      </c>
      <c r="K6" s="676" t="s">
        <v>579</v>
      </c>
      <c r="L6" s="672" t="s">
        <v>44</v>
      </c>
      <c r="M6" s="675" t="s">
        <v>558</v>
      </c>
      <c r="N6" s="675" t="s">
        <v>552</v>
      </c>
      <c r="O6" s="675" t="s">
        <v>579</v>
      </c>
      <c r="P6" s="672" t="s">
        <v>44</v>
      </c>
      <c r="Q6" s="675" t="s">
        <v>558</v>
      </c>
      <c r="R6" s="675" t="s">
        <v>552</v>
      </c>
      <c r="S6" s="675" t="s">
        <v>579</v>
      </c>
    </row>
    <row r="7" spans="1:19" ht="54" customHeight="1">
      <c r="A7" s="665"/>
      <c r="B7" s="666"/>
      <c r="C7" s="667"/>
      <c r="D7" s="668"/>
      <c r="E7" s="664"/>
      <c r="F7" s="664"/>
      <c r="G7" s="671"/>
      <c r="H7" s="672"/>
      <c r="I7" s="673"/>
      <c r="J7" s="674"/>
      <c r="K7" s="676"/>
      <c r="L7" s="672"/>
      <c r="M7" s="675"/>
      <c r="N7" s="675"/>
      <c r="O7" s="675"/>
      <c r="P7" s="672"/>
      <c r="Q7" s="675"/>
      <c r="R7" s="675"/>
      <c r="S7" s="675"/>
    </row>
    <row r="8" spans="1:19" ht="12.75">
      <c r="A8" s="340">
        <v>2</v>
      </c>
      <c r="B8" s="341"/>
      <c r="C8" s="341" t="s">
        <v>580</v>
      </c>
      <c r="D8" s="341"/>
      <c r="E8" s="342"/>
      <c r="F8" s="342"/>
      <c r="G8" s="343" t="s">
        <v>581</v>
      </c>
      <c r="H8" s="344">
        <f aca="true" t="shared" si="0" ref="H8:O8">SUM(H9:H13)</f>
        <v>252149412</v>
      </c>
      <c r="I8" s="344">
        <f t="shared" si="0"/>
        <v>252149412</v>
      </c>
      <c r="J8" s="344">
        <f t="shared" si="0"/>
        <v>0</v>
      </c>
      <c r="K8" s="345">
        <f t="shared" si="0"/>
        <v>0</v>
      </c>
      <c r="L8" s="344">
        <f t="shared" si="0"/>
        <v>200196410</v>
      </c>
      <c r="M8" s="344">
        <f t="shared" si="0"/>
        <v>200196410</v>
      </c>
      <c r="N8" s="344">
        <f t="shared" si="0"/>
        <v>0</v>
      </c>
      <c r="O8" s="345">
        <f t="shared" si="0"/>
        <v>0</v>
      </c>
      <c r="P8" s="344">
        <f>SUM(P9:P13)</f>
        <v>186923238</v>
      </c>
      <c r="Q8" s="344">
        <f>SUM(Q9:Q13)</f>
        <v>186923238</v>
      </c>
      <c r="R8" s="344">
        <f>SUM(R9:R13)</f>
        <v>0</v>
      </c>
      <c r="S8" s="345">
        <f>SUM(S9:S13)</f>
        <v>0</v>
      </c>
    </row>
    <row r="9" spans="1:19" ht="12.75">
      <c r="A9" s="340">
        <v>3</v>
      </c>
      <c r="B9" s="346"/>
      <c r="C9" s="346"/>
      <c r="D9" s="346">
        <v>1</v>
      </c>
      <c r="E9" s="347"/>
      <c r="F9" s="347"/>
      <c r="G9" s="348" t="s">
        <v>380</v>
      </c>
      <c r="H9" s="349">
        <v>104100000</v>
      </c>
      <c r="I9" s="349">
        <v>104100000</v>
      </c>
      <c r="J9" s="349">
        <v>0</v>
      </c>
      <c r="K9" s="349">
        <v>0</v>
      </c>
      <c r="L9" s="349">
        <v>103038386</v>
      </c>
      <c r="M9" s="349">
        <v>103038386</v>
      </c>
      <c r="N9" s="349">
        <v>0</v>
      </c>
      <c r="O9" s="349">
        <v>0</v>
      </c>
      <c r="P9" s="349">
        <v>94876306</v>
      </c>
      <c r="Q9" s="349">
        <v>94876306</v>
      </c>
      <c r="R9" s="349">
        <v>0</v>
      </c>
      <c r="S9" s="349">
        <v>0</v>
      </c>
    </row>
    <row r="10" spans="1:19" ht="12.75">
      <c r="A10" s="340">
        <v>4</v>
      </c>
      <c r="B10" s="346"/>
      <c r="C10" s="346"/>
      <c r="D10" s="346">
        <v>2</v>
      </c>
      <c r="E10" s="347"/>
      <c r="F10" s="347"/>
      <c r="G10" s="348" t="s">
        <v>295</v>
      </c>
      <c r="H10" s="349">
        <v>19545000</v>
      </c>
      <c r="I10" s="349">
        <v>19545000</v>
      </c>
      <c r="J10" s="349">
        <v>0</v>
      </c>
      <c r="K10" s="349">
        <v>0</v>
      </c>
      <c r="L10" s="349">
        <v>19516040</v>
      </c>
      <c r="M10" s="349">
        <v>19516040</v>
      </c>
      <c r="N10" s="349">
        <v>0</v>
      </c>
      <c r="O10" s="349">
        <v>0</v>
      </c>
      <c r="P10" s="349">
        <v>19257343</v>
      </c>
      <c r="Q10" s="349">
        <v>19257343</v>
      </c>
      <c r="R10" s="349">
        <v>0</v>
      </c>
      <c r="S10" s="349">
        <v>0</v>
      </c>
    </row>
    <row r="11" spans="1:19" ht="12.75">
      <c r="A11" s="340">
        <v>5</v>
      </c>
      <c r="B11" s="346"/>
      <c r="C11" s="346"/>
      <c r="D11" s="346">
        <v>3</v>
      </c>
      <c r="E11" s="347"/>
      <c r="F11" s="347"/>
      <c r="G11" s="348" t="s">
        <v>582</v>
      </c>
      <c r="H11" s="349">
        <v>80285656</v>
      </c>
      <c r="I11" s="349">
        <v>80285656</v>
      </c>
      <c r="J11" s="349"/>
      <c r="K11" s="349">
        <v>0</v>
      </c>
      <c r="L11" s="349">
        <v>72550184</v>
      </c>
      <c r="M11" s="349">
        <v>72550184</v>
      </c>
      <c r="N11" s="349"/>
      <c r="O11" s="349">
        <v>0</v>
      </c>
      <c r="P11" s="349">
        <v>65803796</v>
      </c>
      <c r="Q11" s="349">
        <v>65803796</v>
      </c>
      <c r="R11" s="349"/>
      <c r="S11" s="349">
        <v>0</v>
      </c>
    </row>
    <row r="12" spans="1:19" ht="12.75">
      <c r="A12" s="340">
        <v>6</v>
      </c>
      <c r="B12" s="346"/>
      <c r="C12" s="346"/>
      <c r="D12" s="346">
        <v>4</v>
      </c>
      <c r="E12" s="347"/>
      <c r="F12" s="347"/>
      <c r="G12" s="348" t="s">
        <v>583</v>
      </c>
      <c r="H12" s="349">
        <v>3363000</v>
      </c>
      <c r="I12" s="349">
        <v>3363000</v>
      </c>
      <c r="J12" s="349">
        <v>0</v>
      </c>
      <c r="K12" s="349">
        <v>0</v>
      </c>
      <c r="L12" s="349">
        <v>1744000</v>
      </c>
      <c r="M12" s="349">
        <v>1744000</v>
      </c>
      <c r="N12" s="349">
        <v>0</v>
      </c>
      <c r="O12" s="349">
        <v>0</v>
      </c>
      <c r="P12" s="349">
        <v>1932000</v>
      </c>
      <c r="Q12" s="349">
        <v>1932000</v>
      </c>
      <c r="R12" s="349">
        <v>0</v>
      </c>
      <c r="S12" s="349">
        <v>0</v>
      </c>
    </row>
    <row r="13" spans="1:19" ht="12.75">
      <c r="A13" s="340">
        <v>7</v>
      </c>
      <c r="B13" s="346"/>
      <c r="C13" s="346"/>
      <c r="D13" s="346">
        <v>5</v>
      </c>
      <c r="E13" s="347"/>
      <c r="F13" s="347"/>
      <c r="G13" s="348" t="s">
        <v>299</v>
      </c>
      <c r="H13" s="349">
        <v>44855756</v>
      </c>
      <c r="I13" s="349">
        <v>44855756</v>
      </c>
      <c r="J13" s="349">
        <v>0</v>
      </c>
      <c r="K13" s="349">
        <v>0</v>
      </c>
      <c r="L13" s="349">
        <v>3347800</v>
      </c>
      <c r="M13" s="349">
        <v>3347800</v>
      </c>
      <c r="N13" s="349">
        <v>0</v>
      </c>
      <c r="O13" s="349">
        <v>0</v>
      </c>
      <c r="P13" s="349">
        <v>5053793</v>
      </c>
      <c r="Q13" s="349">
        <v>5053793</v>
      </c>
      <c r="R13" s="349">
        <v>0</v>
      </c>
      <c r="S13" s="349">
        <v>0</v>
      </c>
    </row>
    <row r="14" spans="1:19" ht="12.75">
      <c r="A14" s="340">
        <v>8</v>
      </c>
      <c r="B14" s="341"/>
      <c r="C14" s="341" t="s">
        <v>584</v>
      </c>
      <c r="D14" s="341"/>
      <c r="E14" s="342"/>
      <c r="F14" s="342"/>
      <c r="G14" s="343" t="s">
        <v>585</v>
      </c>
      <c r="H14" s="344">
        <f aca="true" t="shared" si="1" ref="H14:O14">SUM(H15:H17)</f>
        <v>133627816</v>
      </c>
      <c r="I14" s="344">
        <f t="shared" si="1"/>
        <v>133627816</v>
      </c>
      <c r="J14" s="344">
        <f t="shared" si="1"/>
        <v>0</v>
      </c>
      <c r="K14" s="345">
        <f t="shared" si="1"/>
        <v>0</v>
      </c>
      <c r="L14" s="344">
        <f t="shared" si="1"/>
        <v>186489236</v>
      </c>
      <c r="M14" s="344">
        <f t="shared" si="1"/>
        <v>186489236</v>
      </c>
      <c r="N14" s="344">
        <f t="shared" si="1"/>
        <v>0</v>
      </c>
      <c r="O14" s="345">
        <f t="shared" si="1"/>
        <v>0</v>
      </c>
      <c r="P14" s="344">
        <f>SUM(P15:P17)</f>
        <v>119850205</v>
      </c>
      <c r="Q14" s="344">
        <f>SUM(Q15:Q17)</f>
        <v>119850205</v>
      </c>
      <c r="R14" s="344">
        <f>SUM(R15:R17)</f>
        <v>0</v>
      </c>
      <c r="S14" s="345">
        <f>SUM(S15:S17)</f>
        <v>0</v>
      </c>
    </row>
    <row r="15" spans="1:19" ht="12.75">
      <c r="A15" s="340">
        <v>9</v>
      </c>
      <c r="B15" s="346"/>
      <c r="C15" s="346"/>
      <c r="D15" s="346">
        <v>6</v>
      </c>
      <c r="E15" s="347"/>
      <c r="F15" s="347"/>
      <c r="G15" s="348" t="s">
        <v>320</v>
      </c>
      <c r="H15" s="349">
        <v>31202852</v>
      </c>
      <c r="I15" s="349">
        <v>31202852</v>
      </c>
      <c r="J15" s="349">
        <v>0</v>
      </c>
      <c r="K15" s="349">
        <v>0</v>
      </c>
      <c r="L15" s="349">
        <v>20960365</v>
      </c>
      <c r="M15" s="349">
        <v>20960365</v>
      </c>
      <c r="N15" s="349">
        <v>0</v>
      </c>
      <c r="O15" s="349">
        <v>0</v>
      </c>
      <c r="P15" s="349">
        <v>19824850</v>
      </c>
      <c r="Q15" s="349">
        <v>19824850</v>
      </c>
      <c r="R15" s="349">
        <v>0</v>
      </c>
      <c r="S15" s="349">
        <v>0</v>
      </c>
    </row>
    <row r="16" spans="1:19" ht="12.75">
      <c r="A16" s="340">
        <v>10</v>
      </c>
      <c r="B16" s="346"/>
      <c r="C16" s="346"/>
      <c r="D16" s="346">
        <v>7</v>
      </c>
      <c r="E16" s="347"/>
      <c r="F16" s="347"/>
      <c r="G16" s="348" t="s">
        <v>322</v>
      </c>
      <c r="H16" s="349">
        <v>101224964</v>
      </c>
      <c r="I16" s="349">
        <v>101224964</v>
      </c>
      <c r="J16" s="349">
        <v>0</v>
      </c>
      <c r="K16" s="349">
        <v>0</v>
      </c>
      <c r="L16" s="349">
        <v>112146749</v>
      </c>
      <c r="M16" s="349">
        <v>112146749</v>
      </c>
      <c r="N16" s="349">
        <v>0</v>
      </c>
      <c r="O16" s="349">
        <v>0</v>
      </c>
      <c r="P16" s="349">
        <v>99175355</v>
      </c>
      <c r="Q16" s="349">
        <v>99175355</v>
      </c>
      <c r="R16" s="349">
        <v>0</v>
      </c>
      <c r="S16" s="349">
        <v>0</v>
      </c>
    </row>
    <row r="17" spans="1:19" ht="12.75">
      <c r="A17" s="340">
        <v>11</v>
      </c>
      <c r="B17" s="346"/>
      <c r="C17" s="346"/>
      <c r="D17" s="346">
        <v>8</v>
      </c>
      <c r="E17" s="347"/>
      <c r="F17" s="347"/>
      <c r="G17" s="348" t="s">
        <v>586</v>
      </c>
      <c r="H17" s="349">
        <v>1200000</v>
      </c>
      <c r="I17" s="349">
        <v>1200000</v>
      </c>
      <c r="J17" s="349">
        <v>0</v>
      </c>
      <c r="K17" s="349">
        <v>0</v>
      </c>
      <c r="L17" s="349">
        <v>53382122</v>
      </c>
      <c r="M17" s="349">
        <v>53382122</v>
      </c>
      <c r="N17" s="349">
        <v>0</v>
      </c>
      <c r="O17" s="349">
        <v>0</v>
      </c>
      <c r="P17" s="349">
        <v>850000</v>
      </c>
      <c r="Q17" s="349">
        <v>850000</v>
      </c>
      <c r="R17" s="349">
        <v>0</v>
      </c>
      <c r="S17" s="349">
        <v>0</v>
      </c>
    </row>
    <row r="18" spans="1:19" ht="12.75">
      <c r="A18" s="340">
        <v>12</v>
      </c>
      <c r="B18" s="350" t="s">
        <v>45</v>
      </c>
      <c r="C18" s="350"/>
      <c r="D18" s="350"/>
      <c r="E18" s="350"/>
      <c r="F18" s="350"/>
      <c r="G18" s="350" t="s">
        <v>587</v>
      </c>
      <c r="H18" s="351">
        <f>H8+H14</f>
        <v>385777228</v>
      </c>
      <c r="I18" s="351">
        <f>I8+I14</f>
        <v>385777228</v>
      </c>
      <c r="J18" s="351">
        <f>SUM(J8,J14)</f>
        <v>0</v>
      </c>
      <c r="K18" s="352">
        <v>0</v>
      </c>
      <c r="L18" s="351">
        <f>L8+L14</f>
        <v>386685646</v>
      </c>
      <c r="M18" s="351">
        <f>M8+M14</f>
        <v>386685646</v>
      </c>
      <c r="N18" s="351">
        <f>N8+N14</f>
        <v>0</v>
      </c>
      <c r="O18" s="352">
        <v>0</v>
      </c>
      <c r="P18" s="351">
        <f>P8+P14</f>
        <v>306773443</v>
      </c>
      <c r="Q18" s="351">
        <f>Q8+Q14</f>
        <v>306773443</v>
      </c>
      <c r="R18" s="351">
        <f>R8+R14</f>
        <v>0</v>
      </c>
      <c r="S18" s="352">
        <v>0</v>
      </c>
    </row>
    <row r="19" spans="1:19" ht="12.75">
      <c r="A19" s="340">
        <v>13</v>
      </c>
      <c r="B19" s="353"/>
      <c r="C19" s="353" t="s">
        <v>588</v>
      </c>
      <c r="D19" s="353"/>
      <c r="E19" s="353"/>
      <c r="F19" s="353"/>
      <c r="G19" s="353" t="s">
        <v>589</v>
      </c>
      <c r="H19" s="354">
        <f>H20</f>
        <v>2649936</v>
      </c>
      <c r="I19" s="354">
        <f>I20</f>
        <v>2649936</v>
      </c>
      <c r="J19" s="354">
        <f>J20</f>
        <v>0</v>
      </c>
      <c r="K19" s="355">
        <f>K20</f>
        <v>0</v>
      </c>
      <c r="L19" s="354">
        <f aca="true" t="shared" si="2" ref="L19:S19">L20</f>
        <v>2553282</v>
      </c>
      <c r="M19" s="354">
        <f t="shared" si="2"/>
        <v>2553282</v>
      </c>
      <c r="N19" s="354">
        <f t="shared" si="2"/>
        <v>0</v>
      </c>
      <c r="O19" s="355">
        <f t="shared" si="2"/>
        <v>0</v>
      </c>
      <c r="P19" s="354">
        <f t="shared" si="2"/>
        <v>50794521</v>
      </c>
      <c r="Q19" s="354">
        <f t="shared" si="2"/>
        <v>50794521</v>
      </c>
      <c r="R19" s="354">
        <f t="shared" si="2"/>
        <v>0</v>
      </c>
      <c r="S19" s="355">
        <f t="shared" si="2"/>
        <v>0</v>
      </c>
    </row>
    <row r="20" spans="1:19" ht="12.75">
      <c r="A20" s="340">
        <v>14</v>
      </c>
      <c r="B20" s="356"/>
      <c r="C20" s="356"/>
      <c r="D20" s="357">
        <v>9</v>
      </c>
      <c r="E20" s="356"/>
      <c r="F20" s="356"/>
      <c r="G20" s="356" t="s">
        <v>589</v>
      </c>
      <c r="H20" s="358">
        <f aca="true" t="shared" si="3" ref="H20:O20">H21+H24</f>
        <v>2649936</v>
      </c>
      <c r="I20" s="358">
        <f t="shared" si="3"/>
        <v>2649936</v>
      </c>
      <c r="J20" s="358">
        <f t="shared" si="3"/>
        <v>0</v>
      </c>
      <c r="K20" s="358">
        <f t="shared" si="3"/>
        <v>0</v>
      </c>
      <c r="L20" s="358">
        <f t="shared" si="3"/>
        <v>2553282</v>
      </c>
      <c r="M20" s="358">
        <f t="shared" si="3"/>
        <v>2553282</v>
      </c>
      <c r="N20" s="358">
        <f t="shared" si="3"/>
        <v>0</v>
      </c>
      <c r="O20" s="358">
        <f t="shared" si="3"/>
        <v>0</v>
      </c>
      <c r="P20" s="358">
        <f>P21+P24</f>
        <v>50794521</v>
      </c>
      <c r="Q20" s="358">
        <f>Q21+Q24</f>
        <v>50794521</v>
      </c>
      <c r="R20" s="358">
        <f>R21+R24</f>
        <v>0</v>
      </c>
      <c r="S20" s="358">
        <f>S21+S24</f>
        <v>0</v>
      </c>
    </row>
    <row r="21" spans="1:19" ht="12.75">
      <c r="A21" s="340">
        <v>15</v>
      </c>
      <c r="B21" s="356"/>
      <c r="C21" s="359"/>
      <c r="D21" s="356"/>
      <c r="E21" s="584" t="s">
        <v>590</v>
      </c>
      <c r="F21" s="585"/>
      <c r="G21" s="585" t="s">
        <v>805</v>
      </c>
      <c r="H21" s="358">
        <f aca="true" t="shared" si="4" ref="H21:O21">SUM(H22:H23)</f>
        <v>0</v>
      </c>
      <c r="I21" s="358">
        <f t="shared" si="4"/>
        <v>0</v>
      </c>
      <c r="J21" s="358">
        <f t="shared" si="4"/>
        <v>0</v>
      </c>
      <c r="K21" s="361">
        <f t="shared" si="4"/>
        <v>0</v>
      </c>
      <c r="L21" s="358">
        <f t="shared" si="4"/>
        <v>0</v>
      </c>
      <c r="M21" s="358">
        <f t="shared" si="4"/>
        <v>0</v>
      </c>
      <c r="N21" s="358">
        <f t="shared" si="4"/>
        <v>0</v>
      </c>
      <c r="O21" s="361">
        <f t="shared" si="4"/>
        <v>0</v>
      </c>
      <c r="P21" s="358">
        <f>SUM(P22:P23)</f>
        <v>50350000</v>
      </c>
      <c r="Q21" s="358">
        <f>SUM(Q22:Q23)</f>
        <v>50350000</v>
      </c>
      <c r="R21" s="358">
        <f>SUM(R22:R23)</f>
        <v>0</v>
      </c>
      <c r="S21" s="361">
        <f>SUM(S22:S23)</f>
        <v>0</v>
      </c>
    </row>
    <row r="22" spans="1:19" ht="24.75" customHeight="1">
      <c r="A22" s="340">
        <v>16</v>
      </c>
      <c r="B22" s="360"/>
      <c r="C22" s="360"/>
      <c r="D22" s="357"/>
      <c r="E22" s="586"/>
      <c r="F22" s="587" t="s">
        <v>591</v>
      </c>
      <c r="G22" s="588" t="s">
        <v>819</v>
      </c>
      <c r="H22" s="349">
        <v>0</v>
      </c>
      <c r="I22" s="363">
        <v>0</v>
      </c>
      <c r="J22" s="363">
        <v>0</v>
      </c>
      <c r="K22" s="363">
        <v>0</v>
      </c>
      <c r="L22" s="349">
        <v>0</v>
      </c>
      <c r="M22" s="363">
        <v>0</v>
      </c>
      <c r="N22" s="363">
        <v>0</v>
      </c>
      <c r="O22" s="363">
        <v>0</v>
      </c>
      <c r="P22" s="349">
        <v>50350000</v>
      </c>
      <c r="Q22" s="363">
        <v>50350000</v>
      </c>
      <c r="R22" s="363">
        <v>0</v>
      </c>
      <c r="S22" s="363">
        <v>0</v>
      </c>
    </row>
    <row r="23" spans="1:19" ht="24.75" customHeight="1">
      <c r="A23" s="340">
        <v>17</v>
      </c>
      <c r="B23" s="360"/>
      <c r="C23" s="360"/>
      <c r="D23" s="357"/>
      <c r="E23" s="586"/>
      <c r="F23" s="587" t="s">
        <v>592</v>
      </c>
      <c r="G23" s="588" t="s">
        <v>806</v>
      </c>
      <c r="H23" s="349">
        <f>I23+J23+K23</f>
        <v>0</v>
      </c>
      <c r="I23" s="363">
        <v>0</v>
      </c>
      <c r="J23" s="363">
        <v>0</v>
      </c>
      <c r="K23" s="363">
        <v>0</v>
      </c>
      <c r="L23" s="349">
        <f>M23+N23+O23</f>
        <v>0</v>
      </c>
      <c r="M23" s="363">
        <v>0</v>
      </c>
      <c r="N23" s="363">
        <v>0</v>
      </c>
      <c r="O23" s="363">
        <v>0</v>
      </c>
      <c r="P23" s="349">
        <f>Q23+R23+S23</f>
        <v>0</v>
      </c>
      <c r="Q23" s="363">
        <v>0</v>
      </c>
      <c r="R23" s="363">
        <v>0</v>
      </c>
      <c r="S23" s="363">
        <v>0</v>
      </c>
    </row>
    <row r="24" spans="1:19" ht="12.75">
      <c r="A24" s="340">
        <v>18</v>
      </c>
      <c r="B24" s="360"/>
      <c r="C24" s="359"/>
      <c r="D24" s="364"/>
      <c r="E24" s="587" t="s">
        <v>593</v>
      </c>
      <c r="F24" s="589"/>
      <c r="G24" s="585" t="s">
        <v>807</v>
      </c>
      <c r="H24" s="358">
        <f aca="true" t="shared" si="5" ref="H24:O24">SUM(H25:H26)</f>
        <v>2649936</v>
      </c>
      <c r="I24" s="358">
        <f t="shared" si="5"/>
        <v>2649936</v>
      </c>
      <c r="J24" s="358">
        <f t="shared" si="5"/>
        <v>0</v>
      </c>
      <c r="K24" s="361">
        <f t="shared" si="5"/>
        <v>0</v>
      </c>
      <c r="L24" s="358">
        <f t="shared" si="5"/>
        <v>2553282</v>
      </c>
      <c r="M24" s="358">
        <f t="shared" si="5"/>
        <v>2553282</v>
      </c>
      <c r="N24" s="358">
        <f t="shared" si="5"/>
        <v>0</v>
      </c>
      <c r="O24" s="361">
        <f t="shared" si="5"/>
        <v>0</v>
      </c>
      <c r="P24" s="358">
        <f>SUM(P25:P26)</f>
        <v>444521</v>
      </c>
      <c r="Q24" s="358">
        <f>SUM(Q25:Q26)</f>
        <v>444521</v>
      </c>
      <c r="R24" s="358">
        <f>SUM(R25:R26)</f>
        <v>0</v>
      </c>
      <c r="S24" s="361">
        <f>SUM(S25:S26)</f>
        <v>0</v>
      </c>
    </row>
    <row r="25" spans="1:19" ht="12.75">
      <c r="A25" s="340">
        <v>19</v>
      </c>
      <c r="B25" s="360"/>
      <c r="C25" s="360"/>
      <c r="D25" s="362"/>
      <c r="E25" s="587"/>
      <c r="F25" s="587" t="s">
        <v>594</v>
      </c>
      <c r="G25" s="585" t="s">
        <v>595</v>
      </c>
      <c r="H25" s="349">
        <f>I25+J25+K25</f>
        <v>0</v>
      </c>
      <c r="I25" s="363">
        <v>0</v>
      </c>
      <c r="J25" s="363">
        <v>0</v>
      </c>
      <c r="K25" s="363">
        <v>0</v>
      </c>
      <c r="L25" s="349"/>
      <c r="M25" s="363"/>
      <c r="N25" s="363">
        <v>0</v>
      </c>
      <c r="O25" s="363">
        <v>0</v>
      </c>
      <c r="P25" s="349"/>
      <c r="Q25" s="363"/>
      <c r="R25" s="363">
        <v>0</v>
      </c>
      <c r="S25" s="363">
        <v>0</v>
      </c>
    </row>
    <row r="26" spans="1:19" ht="12.75">
      <c r="A26" s="340">
        <v>20</v>
      </c>
      <c r="B26" s="360"/>
      <c r="C26" s="360"/>
      <c r="D26" s="362"/>
      <c r="E26" s="587"/>
      <c r="F26" s="587" t="s">
        <v>596</v>
      </c>
      <c r="G26" s="585" t="s">
        <v>597</v>
      </c>
      <c r="H26" s="349">
        <v>2649936</v>
      </c>
      <c r="I26" s="363">
        <v>2649936</v>
      </c>
      <c r="J26" s="363">
        <v>0</v>
      </c>
      <c r="K26" s="363">
        <v>0</v>
      </c>
      <c r="L26" s="349">
        <v>2553282</v>
      </c>
      <c r="M26" s="363">
        <v>2553282</v>
      </c>
      <c r="N26" s="363">
        <v>0</v>
      </c>
      <c r="O26" s="363">
        <v>0</v>
      </c>
      <c r="P26" s="349">
        <v>444521</v>
      </c>
      <c r="Q26" s="363">
        <v>444521</v>
      </c>
      <c r="R26" s="363">
        <v>0</v>
      </c>
      <c r="S26" s="363">
        <v>0</v>
      </c>
    </row>
    <row r="27" spans="1:19" ht="12.75">
      <c r="A27" s="340">
        <v>21</v>
      </c>
      <c r="B27" s="365"/>
      <c r="C27" s="366"/>
      <c r="D27" s="365"/>
      <c r="E27" s="365"/>
      <c r="F27" s="365"/>
      <c r="G27" s="365" t="s">
        <v>598</v>
      </c>
      <c r="H27" s="367">
        <f aca="true" t="shared" si="6" ref="H27:O27">H18+H19</f>
        <v>388427164</v>
      </c>
      <c r="I27" s="367">
        <f t="shared" si="6"/>
        <v>388427164</v>
      </c>
      <c r="J27" s="367">
        <f t="shared" si="6"/>
        <v>0</v>
      </c>
      <c r="K27" s="368">
        <f t="shared" si="6"/>
        <v>0</v>
      </c>
      <c r="L27" s="369">
        <f>L18+L19</f>
        <v>389238928</v>
      </c>
      <c r="M27" s="369">
        <f t="shared" si="6"/>
        <v>389238928</v>
      </c>
      <c r="N27" s="369">
        <f t="shared" si="6"/>
        <v>0</v>
      </c>
      <c r="O27" s="370">
        <f t="shared" si="6"/>
        <v>0</v>
      </c>
      <c r="P27" s="369">
        <f>P18+P19</f>
        <v>357567964</v>
      </c>
      <c r="Q27" s="369">
        <f>Q18+Q19</f>
        <v>357567964</v>
      </c>
      <c r="R27" s="369">
        <f>R18+R19</f>
        <v>0</v>
      </c>
      <c r="S27" s="370">
        <f>S18+S19</f>
        <v>0</v>
      </c>
    </row>
    <row r="28" spans="1:19" ht="12.75" customHeight="1" hidden="1">
      <c r="A28" s="678">
        <v>22</v>
      </c>
      <c r="B28" s="679"/>
      <c r="C28" s="680" t="s">
        <v>576</v>
      </c>
      <c r="D28" s="680" t="s">
        <v>577</v>
      </c>
      <c r="E28" s="681"/>
      <c r="F28" s="681"/>
      <c r="G28" s="683" t="s">
        <v>599</v>
      </c>
      <c r="H28" s="682" t="s">
        <v>42</v>
      </c>
      <c r="I28" s="684" t="s">
        <v>558</v>
      </c>
      <c r="J28" s="684" t="s">
        <v>552</v>
      </c>
      <c r="K28" s="677" t="s">
        <v>579</v>
      </c>
      <c r="L28" s="672" t="s">
        <v>44</v>
      </c>
      <c r="M28" s="675" t="s">
        <v>558</v>
      </c>
      <c r="N28" s="675" t="s">
        <v>552</v>
      </c>
      <c r="O28" s="675" t="s">
        <v>579</v>
      </c>
      <c r="P28" s="672" t="s">
        <v>44</v>
      </c>
      <c r="Q28" s="675" t="s">
        <v>558</v>
      </c>
      <c r="R28" s="675" t="s">
        <v>552</v>
      </c>
      <c r="S28" s="675" t="s">
        <v>579</v>
      </c>
    </row>
    <row r="29" spans="1:19" ht="57" customHeight="1">
      <c r="A29" s="678"/>
      <c r="B29" s="679"/>
      <c r="C29" s="680"/>
      <c r="D29" s="680"/>
      <c r="E29" s="681"/>
      <c r="F29" s="681"/>
      <c r="G29" s="683"/>
      <c r="H29" s="682"/>
      <c r="I29" s="684"/>
      <c r="J29" s="684"/>
      <c r="K29" s="677"/>
      <c r="L29" s="672"/>
      <c r="M29" s="675"/>
      <c r="N29" s="675"/>
      <c r="O29" s="675"/>
      <c r="P29" s="672"/>
      <c r="Q29" s="675"/>
      <c r="R29" s="675"/>
      <c r="S29" s="675"/>
    </row>
    <row r="30" spans="1:19" ht="12.75">
      <c r="A30" s="371">
        <v>23</v>
      </c>
      <c r="B30" s="372"/>
      <c r="C30" s="372" t="s">
        <v>580</v>
      </c>
      <c r="D30" s="372"/>
      <c r="E30" s="372"/>
      <c r="F30" s="372"/>
      <c r="G30" s="373" t="s">
        <v>600</v>
      </c>
      <c r="H30" s="374">
        <f aca="true" t="shared" si="7" ref="H30:O30">H31+H32+H33+H34</f>
        <v>156712031</v>
      </c>
      <c r="I30" s="374">
        <f t="shared" si="7"/>
        <v>156712031</v>
      </c>
      <c r="J30" s="374">
        <f t="shared" si="7"/>
        <v>0</v>
      </c>
      <c r="K30" s="375">
        <f t="shared" si="7"/>
        <v>0</v>
      </c>
      <c r="L30" s="374">
        <f t="shared" si="7"/>
        <v>225915684</v>
      </c>
      <c r="M30" s="374">
        <f t="shared" si="7"/>
        <v>225915684</v>
      </c>
      <c r="N30" s="374">
        <f t="shared" si="7"/>
        <v>0</v>
      </c>
      <c r="O30" s="375">
        <f t="shared" si="7"/>
        <v>0</v>
      </c>
      <c r="P30" s="374">
        <f>P31+P32+P33+P34</f>
        <v>219358650</v>
      </c>
      <c r="Q30" s="374">
        <f>Q31+Q32+Q33+Q34</f>
        <v>219358650</v>
      </c>
      <c r="R30" s="374">
        <f>R31+R32+R33+R34</f>
        <v>0</v>
      </c>
      <c r="S30" s="375">
        <f>S31+S32+S33+S34</f>
        <v>0</v>
      </c>
    </row>
    <row r="31" spans="1:19" ht="12.75">
      <c r="A31" s="376">
        <v>24</v>
      </c>
      <c r="B31" s="377"/>
      <c r="C31" s="377"/>
      <c r="D31" s="377">
        <v>1</v>
      </c>
      <c r="E31" s="377"/>
      <c r="F31" s="377"/>
      <c r="G31" s="378" t="s">
        <v>381</v>
      </c>
      <c r="H31" s="349">
        <v>78512031</v>
      </c>
      <c r="I31" s="379">
        <v>78512031</v>
      </c>
      <c r="J31" s="379">
        <v>0</v>
      </c>
      <c r="K31" s="379">
        <v>0</v>
      </c>
      <c r="L31" s="349">
        <v>117670802</v>
      </c>
      <c r="M31" s="349">
        <v>117670802</v>
      </c>
      <c r="N31" s="379">
        <v>0</v>
      </c>
      <c r="O31" s="379">
        <v>0</v>
      </c>
      <c r="P31" s="349">
        <v>95231894</v>
      </c>
      <c r="Q31" s="349">
        <v>95231894</v>
      </c>
      <c r="R31" s="379">
        <v>0</v>
      </c>
      <c r="S31" s="379">
        <v>0</v>
      </c>
    </row>
    <row r="32" spans="1:19" ht="12.75">
      <c r="A32" s="371">
        <v>25</v>
      </c>
      <c r="B32" s="377"/>
      <c r="C32" s="377"/>
      <c r="D32" s="377">
        <v>3</v>
      </c>
      <c r="E32" s="377"/>
      <c r="F32" s="377"/>
      <c r="G32" s="378" t="s">
        <v>384</v>
      </c>
      <c r="H32" s="349">
        <v>65000000</v>
      </c>
      <c r="I32" s="379">
        <v>65000000</v>
      </c>
      <c r="J32" s="379">
        <v>0</v>
      </c>
      <c r="K32" s="379">
        <v>0</v>
      </c>
      <c r="L32" s="349">
        <v>93332274</v>
      </c>
      <c r="M32" s="379">
        <v>93332274</v>
      </c>
      <c r="N32" s="379">
        <v>0</v>
      </c>
      <c r="O32" s="379">
        <v>0</v>
      </c>
      <c r="P32" s="349">
        <v>101133276</v>
      </c>
      <c r="Q32" s="379">
        <v>101133276</v>
      </c>
      <c r="R32" s="379">
        <v>0</v>
      </c>
      <c r="S32" s="379">
        <v>0</v>
      </c>
    </row>
    <row r="33" spans="1:19" ht="12.75">
      <c r="A33" s="376">
        <v>26</v>
      </c>
      <c r="B33" s="377"/>
      <c r="C33" s="377"/>
      <c r="D33" s="377">
        <v>4</v>
      </c>
      <c r="E33" s="380"/>
      <c r="F33" s="380"/>
      <c r="G33" s="378" t="s">
        <v>600</v>
      </c>
      <c r="H33" s="349">
        <v>13200000</v>
      </c>
      <c r="I33" s="349">
        <v>13200000</v>
      </c>
      <c r="J33" s="379">
        <v>0</v>
      </c>
      <c r="K33" s="379">
        <v>0</v>
      </c>
      <c r="L33" s="349">
        <v>14912608</v>
      </c>
      <c r="M33" s="379">
        <v>14912608</v>
      </c>
      <c r="N33" s="379">
        <v>0</v>
      </c>
      <c r="O33" s="379">
        <v>0</v>
      </c>
      <c r="P33" s="349">
        <v>18414110</v>
      </c>
      <c r="Q33" s="379">
        <v>18414110</v>
      </c>
      <c r="R33" s="379">
        <v>0</v>
      </c>
      <c r="S33" s="379">
        <v>0</v>
      </c>
    </row>
    <row r="34" spans="1:19" ht="12.75">
      <c r="A34" s="371">
        <v>27</v>
      </c>
      <c r="B34" s="377"/>
      <c r="C34" s="377"/>
      <c r="D34" s="377">
        <v>6</v>
      </c>
      <c r="E34" s="380"/>
      <c r="F34" s="380"/>
      <c r="G34" s="378" t="s">
        <v>601</v>
      </c>
      <c r="H34" s="349">
        <v>0</v>
      </c>
      <c r="I34" s="379">
        <v>0</v>
      </c>
      <c r="J34" s="379">
        <v>0</v>
      </c>
      <c r="K34" s="379">
        <v>0</v>
      </c>
      <c r="L34" s="349">
        <v>0</v>
      </c>
      <c r="M34" s="379">
        <v>0</v>
      </c>
      <c r="N34" s="379">
        <v>0</v>
      </c>
      <c r="O34" s="379">
        <v>0</v>
      </c>
      <c r="P34" s="349">
        <v>4579370</v>
      </c>
      <c r="Q34" s="379">
        <v>4579370</v>
      </c>
      <c r="R34" s="379">
        <v>0</v>
      </c>
      <c r="S34" s="379">
        <v>0</v>
      </c>
    </row>
    <row r="35" spans="1:19" ht="12.75">
      <c r="A35" s="376">
        <v>28</v>
      </c>
      <c r="B35" s="372"/>
      <c r="C35" s="372" t="s">
        <v>584</v>
      </c>
      <c r="D35" s="372"/>
      <c r="E35" s="381"/>
      <c r="F35" s="381"/>
      <c r="G35" s="373" t="s">
        <v>432</v>
      </c>
      <c r="H35" s="374">
        <f aca="true" t="shared" si="8" ref="H35:O35">SUM(H36:H38)</f>
        <v>34582000</v>
      </c>
      <c r="I35" s="374">
        <f t="shared" si="8"/>
        <v>34582000</v>
      </c>
      <c r="J35" s="374">
        <f t="shared" si="8"/>
        <v>0</v>
      </c>
      <c r="K35" s="375">
        <f t="shared" si="8"/>
        <v>0</v>
      </c>
      <c r="L35" s="374">
        <f t="shared" si="8"/>
        <v>174299985</v>
      </c>
      <c r="M35" s="374">
        <f t="shared" si="8"/>
        <v>174299985</v>
      </c>
      <c r="N35" s="374">
        <f t="shared" si="8"/>
        <v>0</v>
      </c>
      <c r="O35" s="375">
        <f t="shared" si="8"/>
        <v>0</v>
      </c>
      <c r="P35" s="374">
        <f>SUM(P36:P38)</f>
        <v>81608301</v>
      </c>
      <c r="Q35" s="374">
        <f>SUM(Q36:Q38)</f>
        <v>81608301</v>
      </c>
      <c r="R35" s="374">
        <f>SUM(R36:R38)</f>
        <v>0</v>
      </c>
      <c r="S35" s="375">
        <f>SUM(S36:S38)</f>
        <v>0</v>
      </c>
    </row>
    <row r="36" spans="1:19" ht="12.75">
      <c r="A36" s="371">
        <v>29</v>
      </c>
      <c r="B36" s="377"/>
      <c r="C36" s="377"/>
      <c r="D36" s="377">
        <v>2</v>
      </c>
      <c r="E36" s="380"/>
      <c r="F36" s="380"/>
      <c r="G36" s="378" t="s">
        <v>429</v>
      </c>
      <c r="H36" s="349">
        <v>34582000</v>
      </c>
      <c r="I36" s="379">
        <v>34582000</v>
      </c>
      <c r="J36" s="379">
        <v>0</v>
      </c>
      <c r="K36" s="379">
        <v>0</v>
      </c>
      <c r="L36" s="349">
        <v>151681249</v>
      </c>
      <c r="M36" s="349">
        <v>151681249</v>
      </c>
      <c r="N36" s="379">
        <v>0</v>
      </c>
      <c r="O36" s="379">
        <v>0</v>
      </c>
      <c r="P36" s="349">
        <v>81112301</v>
      </c>
      <c r="Q36" s="349">
        <v>81112301</v>
      </c>
      <c r="R36" s="379">
        <v>0</v>
      </c>
      <c r="S36" s="379">
        <v>0</v>
      </c>
    </row>
    <row r="37" spans="1:19" ht="12.75">
      <c r="A37" s="376">
        <v>30</v>
      </c>
      <c r="B37" s="377"/>
      <c r="C37" s="377"/>
      <c r="D37" s="377">
        <v>5</v>
      </c>
      <c r="E37" s="380"/>
      <c r="F37" s="380"/>
      <c r="G37" s="382" t="s">
        <v>432</v>
      </c>
      <c r="H37" s="349">
        <f>I37+J37+K37</f>
        <v>0</v>
      </c>
      <c r="I37" s="379">
        <v>0</v>
      </c>
      <c r="J37" s="379">
        <v>0</v>
      </c>
      <c r="K37" s="379">
        <v>0</v>
      </c>
      <c r="L37" s="349">
        <v>186614</v>
      </c>
      <c r="M37" s="379">
        <v>186614</v>
      </c>
      <c r="N37" s="379">
        <v>0</v>
      </c>
      <c r="O37" s="379">
        <v>0</v>
      </c>
      <c r="P37" s="349">
        <v>496000</v>
      </c>
      <c r="Q37" s="379">
        <v>496000</v>
      </c>
      <c r="R37" s="379">
        <v>0</v>
      </c>
      <c r="S37" s="379">
        <v>0</v>
      </c>
    </row>
    <row r="38" spans="1:19" ht="12.75">
      <c r="A38" s="371">
        <v>31</v>
      </c>
      <c r="B38" s="377"/>
      <c r="C38" s="377"/>
      <c r="D38" s="377">
        <v>7</v>
      </c>
      <c r="E38" s="380"/>
      <c r="F38" s="380"/>
      <c r="G38" s="378" t="s">
        <v>602</v>
      </c>
      <c r="H38" s="349">
        <v>0</v>
      </c>
      <c r="I38" s="379">
        <v>0</v>
      </c>
      <c r="J38" s="379">
        <v>0</v>
      </c>
      <c r="K38" s="379">
        <v>0</v>
      </c>
      <c r="L38" s="349">
        <v>22432122</v>
      </c>
      <c r="M38" s="379">
        <v>22432122</v>
      </c>
      <c r="N38" s="379">
        <v>0</v>
      </c>
      <c r="O38" s="379">
        <v>0</v>
      </c>
      <c r="P38" s="349">
        <v>0</v>
      </c>
      <c r="Q38" s="379">
        <v>0</v>
      </c>
      <c r="R38" s="379">
        <v>0</v>
      </c>
      <c r="S38" s="379">
        <v>0</v>
      </c>
    </row>
    <row r="39" spans="1:19" ht="12.75">
      <c r="A39" s="376">
        <v>32</v>
      </c>
      <c r="B39" s="383" t="s">
        <v>46</v>
      </c>
      <c r="C39" s="383"/>
      <c r="D39" s="383"/>
      <c r="E39" s="384"/>
      <c r="F39" s="384"/>
      <c r="G39" s="385" t="s">
        <v>603</v>
      </c>
      <c r="H39" s="386">
        <f aca="true" t="shared" si="9" ref="H39:O39">H35+H30</f>
        <v>191294031</v>
      </c>
      <c r="I39" s="386">
        <f t="shared" si="9"/>
        <v>191294031</v>
      </c>
      <c r="J39" s="386">
        <f t="shared" si="9"/>
        <v>0</v>
      </c>
      <c r="K39" s="387">
        <f t="shared" si="9"/>
        <v>0</v>
      </c>
      <c r="L39" s="386">
        <f t="shared" si="9"/>
        <v>400215669</v>
      </c>
      <c r="M39" s="386">
        <f t="shared" si="9"/>
        <v>400215669</v>
      </c>
      <c r="N39" s="386">
        <f t="shared" si="9"/>
        <v>0</v>
      </c>
      <c r="O39" s="387">
        <f t="shared" si="9"/>
        <v>0</v>
      </c>
      <c r="P39" s="386">
        <f>P35+P30</f>
        <v>300966951</v>
      </c>
      <c r="Q39" s="386">
        <f>Q35+Q30</f>
        <v>300966951</v>
      </c>
      <c r="R39" s="386">
        <f>R35+R30</f>
        <v>0</v>
      </c>
      <c r="S39" s="387">
        <f>S35+S30</f>
        <v>0</v>
      </c>
    </row>
    <row r="40" spans="1:19" ht="33.75" customHeight="1">
      <c r="A40" s="371">
        <v>33</v>
      </c>
      <c r="B40" s="388"/>
      <c r="C40" s="388"/>
      <c r="D40" s="388"/>
      <c r="E40" s="389"/>
      <c r="F40" s="389"/>
      <c r="G40" s="390" t="s">
        <v>604</v>
      </c>
      <c r="H40" s="391">
        <f aca="true" t="shared" si="10" ref="H40:O40">H8-H30</f>
        <v>95437381</v>
      </c>
      <c r="I40" s="391">
        <f t="shared" si="10"/>
        <v>95437381</v>
      </c>
      <c r="J40" s="391">
        <f t="shared" si="10"/>
        <v>0</v>
      </c>
      <c r="K40" s="392">
        <f t="shared" si="10"/>
        <v>0</v>
      </c>
      <c r="L40" s="391">
        <f t="shared" si="10"/>
        <v>-25719274</v>
      </c>
      <c r="M40" s="391">
        <f t="shared" si="10"/>
        <v>-25719274</v>
      </c>
      <c r="N40" s="391">
        <f t="shared" si="10"/>
        <v>0</v>
      </c>
      <c r="O40" s="392">
        <f t="shared" si="10"/>
        <v>0</v>
      </c>
      <c r="P40" s="391">
        <f>P8-P30</f>
        <v>-32435412</v>
      </c>
      <c r="Q40" s="391">
        <f>Q8-Q30</f>
        <v>-32435412</v>
      </c>
      <c r="R40" s="391">
        <f>R8-R30</f>
        <v>0</v>
      </c>
      <c r="S40" s="392">
        <f>S8-S30</f>
        <v>0</v>
      </c>
    </row>
    <row r="41" spans="1:19" ht="30" customHeight="1">
      <c r="A41" s="376">
        <v>34</v>
      </c>
      <c r="B41" s="388"/>
      <c r="C41" s="388"/>
      <c r="D41" s="388"/>
      <c r="E41" s="389"/>
      <c r="F41" s="389"/>
      <c r="G41" s="390" t="s">
        <v>605</v>
      </c>
      <c r="H41" s="391">
        <f aca="true" t="shared" si="11" ref="H41:O41">H14-H35</f>
        <v>99045816</v>
      </c>
      <c r="I41" s="391">
        <f t="shared" si="11"/>
        <v>99045816</v>
      </c>
      <c r="J41" s="391">
        <f t="shared" si="11"/>
        <v>0</v>
      </c>
      <c r="K41" s="392">
        <f t="shared" si="11"/>
        <v>0</v>
      </c>
      <c r="L41" s="391">
        <f>L14-L35</f>
        <v>12189251</v>
      </c>
      <c r="M41" s="391">
        <f t="shared" si="11"/>
        <v>12189251</v>
      </c>
      <c r="N41" s="391">
        <f t="shared" si="11"/>
        <v>0</v>
      </c>
      <c r="O41" s="392">
        <f t="shared" si="11"/>
        <v>0</v>
      </c>
      <c r="P41" s="391">
        <f>P14-P35</f>
        <v>38241904</v>
      </c>
      <c r="Q41" s="391">
        <f>Q14-Q35</f>
        <v>38241904</v>
      </c>
      <c r="R41" s="391">
        <f>R14-R35</f>
        <v>0</v>
      </c>
      <c r="S41" s="392">
        <f>S14-S35</f>
        <v>0</v>
      </c>
    </row>
    <row r="42" spans="1:19" ht="12.75">
      <c r="A42" s="371">
        <v>35</v>
      </c>
      <c r="B42" s="372"/>
      <c r="C42" s="372" t="s">
        <v>588</v>
      </c>
      <c r="D42" s="372"/>
      <c r="E42" s="381"/>
      <c r="F42" s="381"/>
      <c r="G42" s="373" t="s">
        <v>606</v>
      </c>
      <c r="H42" s="374">
        <f>H43</f>
        <v>197133133</v>
      </c>
      <c r="I42" s="374">
        <f>I43</f>
        <v>197133133</v>
      </c>
      <c r="J42" s="374">
        <f>J43</f>
        <v>0</v>
      </c>
      <c r="K42" s="375">
        <f>K43</f>
        <v>0</v>
      </c>
      <c r="L42" s="374">
        <f aca="true" t="shared" si="12" ref="L42:S42">L43</f>
        <v>186156392</v>
      </c>
      <c r="M42" s="374">
        <f t="shared" si="12"/>
        <v>186156392</v>
      </c>
      <c r="N42" s="374">
        <f t="shared" si="12"/>
        <v>0</v>
      </c>
      <c r="O42" s="375">
        <f t="shared" si="12"/>
        <v>0</v>
      </c>
      <c r="P42" s="374">
        <f t="shared" si="12"/>
        <v>240107469</v>
      </c>
      <c r="Q42" s="374">
        <f t="shared" si="12"/>
        <v>240107469</v>
      </c>
      <c r="R42" s="374">
        <f t="shared" si="12"/>
        <v>0</v>
      </c>
      <c r="S42" s="375">
        <f t="shared" si="12"/>
        <v>0</v>
      </c>
    </row>
    <row r="43" spans="1:19" ht="12.75">
      <c r="A43" s="376">
        <v>36</v>
      </c>
      <c r="B43" s="393"/>
      <c r="C43" s="393"/>
      <c r="D43" s="591">
        <v>8</v>
      </c>
      <c r="E43" s="592"/>
      <c r="F43" s="592"/>
      <c r="G43" s="593" t="s">
        <v>606</v>
      </c>
      <c r="H43" s="594">
        <f>H44+H47+H50</f>
        <v>197133133</v>
      </c>
      <c r="I43" s="594">
        <f>I44+I47+I50</f>
        <v>197133133</v>
      </c>
      <c r="J43" s="594">
        <f>J44+J47+J50</f>
        <v>0</v>
      </c>
      <c r="K43" s="394">
        <f>K44+K47+K50</f>
        <v>0</v>
      </c>
      <c r="L43" s="394">
        <f>L44+L47+L50+L53</f>
        <v>186156392</v>
      </c>
      <c r="M43" s="394">
        <f>M44+M47+M50+M53</f>
        <v>186156392</v>
      </c>
      <c r="N43" s="394">
        <f>N44+N47+N50</f>
        <v>0</v>
      </c>
      <c r="O43" s="394">
        <f>O44+O47+O50</f>
        <v>0</v>
      </c>
      <c r="P43" s="394">
        <f>P44+P47+P50+P53</f>
        <v>240107469</v>
      </c>
      <c r="Q43" s="394">
        <f>Q44+Q47+Q50+Q53</f>
        <v>240107469</v>
      </c>
      <c r="R43" s="394">
        <f>R44+R47+R50</f>
        <v>0</v>
      </c>
      <c r="S43" s="394">
        <f>S44+S47+S50</f>
        <v>0</v>
      </c>
    </row>
    <row r="44" spans="1:19" ht="15" customHeight="1">
      <c r="A44" s="371">
        <v>37</v>
      </c>
      <c r="B44" s="393"/>
      <c r="C44" s="393"/>
      <c r="D44" s="595"/>
      <c r="E44" s="592" t="s">
        <v>203</v>
      </c>
      <c r="F44" s="592"/>
      <c r="G44" s="596" t="s">
        <v>808</v>
      </c>
      <c r="H44" s="594">
        <f aca="true" t="shared" si="13" ref="H44:O44">SUM(H45:H46)</f>
        <v>0</v>
      </c>
      <c r="I44" s="594">
        <f t="shared" si="13"/>
        <v>0</v>
      </c>
      <c r="J44" s="594">
        <f t="shared" si="13"/>
        <v>0</v>
      </c>
      <c r="K44" s="395">
        <f t="shared" si="13"/>
        <v>0</v>
      </c>
      <c r="L44" s="394">
        <f t="shared" si="13"/>
        <v>0</v>
      </c>
      <c r="M44" s="394">
        <f t="shared" si="13"/>
        <v>0</v>
      </c>
      <c r="N44" s="394">
        <f t="shared" si="13"/>
        <v>0</v>
      </c>
      <c r="O44" s="395">
        <f t="shared" si="13"/>
        <v>0</v>
      </c>
      <c r="P44" s="394">
        <f>SUM(P45:P46)</f>
        <v>50350000</v>
      </c>
      <c r="Q44" s="394">
        <f>SUM(Q45:Q46)</f>
        <v>50350000</v>
      </c>
      <c r="R44" s="394">
        <f>SUM(R45:R46)</f>
        <v>0</v>
      </c>
      <c r="S44" s="395">
        <f>SUM(S45:S46)</f>
        <v>0</v>
      </c>
    </row>
    <row r="45" spans="1:19" ht="19.5" customHeight="1">
      <c r="A45" s="376">
        <v>38</v>
      </c>
      <c r="B45" s="377"/>
      <c r="C45" s="377"/>
      <c r="D45" s="591"/>
      <c r="E45" s="592"/>
      <c r="F45" s="592" t="s">
        <v>607</v>
      </c>
      <c r="G45" s="597" t="s">
        <v>820</v>
      </c>
      <c r="H45" s="590">
        <v>0</v>
      </c>
      <c r="I45" s="599">
        <v>0</v>
      </c>
      <c r="J45" s="599">
        <v>0</v>
      </c>
      <c r="K45" s="396">
        <v>0</v>
      </c>
      <c r="L45" s="349">
        <v>0</v>
      </c>
      <c r="M45" s="396">
        <v>0</v>
      </c>
      <c r="N45" s="396">
        <v>0</v>
      </c>
      <c r="O45" s="396">
        <v>0</v>
      </c>
      <c r="P45" s="349">
        <v>50350000</v>
      </c>
      <c r="Q45" s="396">
        <v>50350000</v>
      </c>
      <c r="R45" s="396">
        <v>0</v>
      </c>
      <c r="S45" s="396">
        <v>0</v>
      </c>
    </row>
    <row r="46" spans="1:19" ht="15" customHeight="1">
      <c r="A46" s="371">
        <v>39</v>
      </c>
      <c r="B46" s="377"/>
      <c r="C46" s="377"/>
      <c r="D46" s="591"/>
      <c r="E46" s="592"/>
      <c r="F46" s="592" t="s">
        <v>608</v>
      </c>
      <c r="G46" s="597" t="s">
        <v>809</v>
      </c>
      <c r="H46" s="590">
        <f>J46+K46+L46</f>
        <v>0</v>
      </c>
      <c r="I46" s="599">
        <v>0</v>
      </c>
      <c r="J46" s="599">
        <v>0</v>
      </c>
      <c r="K46" s="396">
        <v>0</v>
      </c>
      <c r="L46" s="349">
        <f>M46+N46+O46</f>
        <v>0</v>
      </c>
      <c r="M46" s="396">
        <v>0</v>
      </c>
      <c r="N46" s="396">
        <v>0</v>
      </c>
      <c r="O46" s="396">
        <v>0</v>
      </c>
      <c r="P46" s="349">
        <f>Q46+R46+S46</f>
        <v>0</v>
      </c>
      <c r="Q46" s="396">
        <v>0</v>
      </c>
      <c r="R46" s="396">
        <v>0</v>
      </c>
      <c r="S46" s="396">
        <v>0</v>
      </c>
    </row>
    <row r="47" spans="1:19" ht="15.75" customHeight="1">
      <c r="A47" s="376">
        <v>40</v>
      </c>
      <c r="B47" s="393"/>
      <c r="C47" s="393"/>
      <c r="D47" s="595"/>
      <c r="E47" s="592" t="s">
        <v>609</v>
      </c>
      <c r="F47" s="598"/>
      <c r="G47" s="596" t="s">
        <v>610</v>
      </c>
      <c r="H47" s="594">
        <f aca="true" t="shared" si="14" ref="H47:O47">SUM(H48:H49)</f>
        <v>0</v>
      </c>
      <c r="I47" s="594">
        <f t="shared" si="14"/>
        <v>0</v>
      </c>
      <c r="J47" s="594">
        <f t="shared" si="14"/>
        <v>0</v>
      </c>
      <c r="K47" s="395">
        <f t="shared" si="14"/>
        <v>0</v>
      </c>
      <c r="L47" s="394">
        <f t="shared" si="14"/>
        <v>0</v>
      </c>
      <c r="M47" s="394">
        <f t="shared" si="14"/>
        <v>0</v>
      </c>
      <c r="N47" s="394">
        <f t="shared" si="14"/>
        <v>0</v>
      </c>
      <c r="O47" s="395">
        <f t="shared" si="14"/>
        <v>0</v>
      </c>
      <c r="P47" s="394">
        <f>SUM(P48:P49)</f>
        <v>0</v>
      </c>
      <c r="Q47" s="394">
        <f>SUM(Q48:Q49)</f>
        <v>0</v>
      </c>
      <c r="R47" s="394">
        <f>SUM(R48:R49)</f>
        <v>0</v>
      </c>
      <c r="S47" s="395">
        <f>SUM(S48:S49)</f>
        <v>0</v>
      </c>
    </row>
    <row r="48" spans="1:19" ht="12.75">
      <c r="A48" s="371">
        <v>41</v>
      </c>
      <c r="B48" s="377"/>
      <c r="C48" s="377"/>
      <c r="D48" s="591"/>
      <c r="E48" s="592"/>
      <c r="F48" s="592" t="s">
        <v>611</v>
      </c>
      <c r="G48" s="597" t="s">
        <v>612</v>
      </c>
      <c r="H48" s="590">
        <f>J48+K48+L48</f>
        <v>0</v>
      </c>
      <c r="I48" s="599">
        <v>0</v>
      </c>
      <c r="J48" s="599">
        <v>0</v>
      </c>
      <c r="K48" s="396">
        <v>0</v>
      </c>
      <c r="L48" s="349">
        <f>M48+N48+O48</f>
        <v>0</v>
      </c>
      <c r="M48" s="396">
        <v>0</v>
      </c>
      <c r="N48" s="396">
        <v>0</v>
      </c>
      <c r="O48" s="396">
        <v>0</v>
      </c>
      <c r="P48" s="349">
        <f>Q48+R48+S48</f>
        <v>0</v>
      </c>
      <c r="Q48" s="396">
        <v>0</v>
      </c>
      <c r="R48" s="396">
        <v>0</v>
      </c>
      <c r="S48" s="396">
        <v>0</v>
      </c>
    </row>
    <row r="49" spans="1:19" ht="12.75">
      <c r="A49" s="376">
        <v>42</v>
      </c>
      <c r="B49" s="377"/>
      <c r="C49" s="377"/>
      <c r="D49" s="591"/>
      <c r="E49" s="592"/>
      <c r="F49" s="592" t="s">
        <v>613</v>
      </c>
      <c r="G49" s="597" t="s">
        <v>614</v>
      </c>
      <c r="H49" s="590">
        <f>J49+K49+L49</f>
        <v>0</v>
      </c>
      <c r="I49" s="599">
        <v>0</v>
      </c>
      <c r="J49" s="599">
        <v>0</v>
      </c>
      <c r="K49" s="396">
        <v>0</v>
      </c>
      <c r="L49" s="349">
        <f>M49+N49+O49</f>
        <v>0</v>
      </c>
      <c r="M49" s="396">
        <v>0</v>
      </c>
      <c r="N49" s="396">
        <v>0</v>
      </c>
      <c r="O49" s="396">
        <v>0</v>
      </c>
      <c r="P49" s="349">
        <f>Q49+R49+S49</f>
        <v>0</v>
      </c>
      <c r="Q49" s="396">
        <v>0</v>
      </c>
      <c r="R49" s="396">
        <v>0</v>
      </c>
      <c r="S49" s="396">
        <v>0</v>
      </c>
    </row>
    <row r="50" spans="1:19" ht="15" customHeight="1">
      <c r="A50" s="371">
        <v>43</v>
      </c>
      <c r="B50" s="377"/>
      <c r="C50" s="377"/>
      <c r="D50" s="591"/>
      <c r="E50" s="592" t="s">
        <v>615</v>
      </c>
      <c r="F50" s="592"/>
      <c r="G50" s="597" t="s">
        <v>616</v>
      </c>
      <c r="H50" s="594">
        <f aca="true" t="shared" si="15" ref="H50:O50">SUM(H51:H52)</f>
        <v>197133133</v>
      </c>
      <c r="I50" s="594">
        <f t="shared" si="15"/>
        <v>197133133</v>
      </c>
      <c r="J50" s="594">
        <f t="shared" si="15"/>
        <v>0</v>
      </c>
      <c r="K50" s="395">
        <f t="shared" si="15"/>
        <v>0</v>
      </c>
      <c r="L50" s="394">
        <f t="shared" si="15"/>
        <v>183506456</v>
      </c>
      <c r="M50" s="394">
        <f t="shared" si="15"/>
        <v>183506456</v>
      </c>
      <c r="N50" s="394">
        <f t="shared" si="15"/>
        <v>0</v>
      </c>
      <c r="O50" s="395">
        <f t="shared" si="15"/>
        <v>0</v>
      </c>
      <c r="P50" s="394">
        <f>SUM(P51:P52)</f>
        <v>187204187</v>
      </c>
      <c r="Q50" s="394">
        <f>SUM(Q51:Q52)</f>
        <v>187204187</v>
      </c>
      <c r="R50" s="394">
        <f>SUM(R51:R52)</f>
        <v>0</v>
      </c>
      <c r="S50" s="395">
        <f>SUM(S51:S52)</f>
        <v>0</v>
      </c>
    </row>
    <row r="51" spans="1:19" ht="17.25" customHeight="1">
      <c r="A51" s="376">
        <v>44</v>
      </c>
      <c r="B51" s="377"/>
      <c r="C51" s="377"/>
      <c r="D51" s="591"/>
      <c r="E51" s="592"/>
      <c r="F51" s="592" t="s">
        <v>617</v>
      </c>
      <c r="G51" s="597" t="s">
        <v>618</v>
      </c>
      <c r="H51" s="590">
        <v>0</v>
      </c>
      <c r="I51" s="599">
        <v>0</v>
      </c>
      <c r="J51" s="599">
        <v>0</v>
      </c>
      <c r="K51" s="396">
        <v>0</v>
      </c>
      <c r="L51" s="349">
        <v>0</v>
      </c>
      <c r="M51" s="396">
        <v>0</v>
      </c>
      <c r="N51" s="396">
        <v>0</v>
      </c>
      <c r="O51" s="396">
        <v>0</v>
      </c>
      <c r="P51" s="349">
        <v>0</v>
      </c>
      <c r="Q51" s="396">
        <v>0</v>
      </c>
      <c r="R51" s="396">
        <v>0</v>
      </c>
      <c r="S51" s="396">
        <v>0</v>
      </c>
    </row>
    <row r="52" spans="1:19" ht="18.75" customHeight="1">
      <c r="A52" s="371">
        <v>45</v>
      </c>
      <c r="B52" s="377"/>
      <c r="C52" s="377"/>
      <c r="D52" s="591"/>
      <c r="E52" s="592"/>
      <c r="F52" s="592" t="s">
        <v>619</v>
      </c>
      <c r="G52" s="597" t="s">
        <v>620</v>
      </c>
      <c r="H52" s="590">
        <v>197133133</v>
      </c>
      <c r="I52" s="599">
        <v>197133133</v>
      </c>
      <c r="J52" s="599">
        <v>0</v>
      </c>
      <c r="K52" s="396">
        <v>0</v>
      </c>
      <c r="L52" s="349">
        <v>183506456</v>
      </c>
      <c r="M52" s="349">
        <v>183506456</v>
      </c>
      <c r="N52" s="396">
        <v>0</v>
      </c>
      <c r="O52" s="396">
        <v>0</v>
      </c>
      <c r="P52" s="349">
        <v>187204187</v>
      </c>
      <c r="Q52" s="349">
        <v>187204187</v>
      </c>
      <c r="R52" s="396">
        <v>0</v>
      </c>
      <c r="S52" s="396">
        <v>0</v>
      </c>
    </row>
    <row r="53" spans="1:19" ht="18.75" customHeight="1">
      <c r="A53" s="371">
        <v>46</v>
      </c>
      <c r="B53" s="397"/>
      <c r="C53" s="397"/>
      <c r="D53" s="397"/>
      <c r="E53" s="398" t="s">
        <v>621</v>
      </c>
      <c r="F53" s="398"/>
      <c r="G53" s="399" t="s">
        <v>622</v>
      </c>
      <c r="H53" s="400"/>
      <c r="I53" s="401"/>
      <c r="J53" s="401"/>
      <c r="K53" s="401"/>
      <c r="L53" s="400">
        <v>2649936</v>
      </c>
      <c r="M53" s="401">
        <v>2649936</v>
      </c>
      <c r="N53" s="401"/>
      <c r="O53" s="401"/>
      <c r="P53" s="400">
        <v>2553282</v>
      </c>
      <c r="Q53" s="401">
        <v>2553282</v>
      </c>
      <c r="R53" s="401"/>
      <c r="S53" s="401"/>
    </row>
    <row r="54" spans="1:19" ht="12.75">
      <c r="A54" s="376">
        <v>47</v>
      </c>
      <c r="B54" s="365"/>
      <c r="C54" s="365"/>
      <c r="D54" s="365"/>
      <c r="E54" s="365"/>
      <c r="F54" s="365"/>
      <c r="G54" s="365" t="s">
        <v>623</v>
      </c>
      <c r="H54" s="367">
        <f aca="true" t="shared" si="16" ref="H54:O54">H39+H42</f>
        <v>388427164</v>
      </c>
      <c r="I54" s="367">
        <f t="shared" si="16"/>
        <v>388427164</v>
      </c>
      <c r="J54" s="367">
        <f t="shared" si="16"/>
        <v>0</v>
      </c>
      <c r="K54" s="367">
        <f t="shared" si="16"/>
        <v>0</v>
      </c>
      <c r="L54" s="369">
        <f>L39+L42</f>
        <v>586372061</v>
      </c>
      <c r="M54" s="369">
        <f t="shared" si="16"/>
        <v>586372061</v>
      </c>
      <c r="N54" s="369">
        <f t="shared" si="16"/>
        <v>0</v>
      </c>
      <c r="O54" s="369">
        <f t="shared" si="16"/>
        <v>0</v>
      </c>
      <c r="P54" s="369">
        <f>P39+P42</f>
        <v>541074420</v>
      </c>
      <c r="Q54" s="369">
        <f>Q39+Q42</f>
        <v>541074420</v>
      </c>
      <c r="R54" s="369">
        <f>R39+R42</f>
        <v>0</v>
      </c>
      <c r="S54" s="369">
        <f>S39+S42</f>
        <v>0</v>
      </c>
    </row>
    <row r="56" spans="12:16" ht="12.75">
      <c r="L56" s="402"/>
      <c r="P56" s="402"/>
    </row>
    <row r="57" spans="12:13" ht="12.75">
      <c r="L57" s="402"/>
      <c r="M57" s="402"/>
    </row>
    <row r="58" spans="12:14" ht="12.75">
      <c r="L58" s="402">
        <f>L30-L8</f>
        <v>25719274</v>
      </c>
      <c r="M58" s="402"/>
      <c r="N58" s="402"/>
    </row>
    <row r="59" spans="12:14" ht="12.75">
      <c r="L59" s="402">
        <f>L35-L14</f>
        <v>-12189251</v>
      </c>
      <c r="N59" s="402"/>
    </row>
    <row r="60" ht="12.75">
      <c r="L60" s="402">
        <f>L43-L19</f>
        <v>183603110</v>
      </c>
    </row>
    <row r="61" spans="12:14" ht="12.75">
      <c r="L61" s="402"/>
      <c r="N61" s="402"/>
    </row>
    <row r="62" ht="12.75">
      <c r="L62" s="402"/>
    </row>
    <row r="63" spans="12:13" ht="12.75">
      <c r="L63" s="402"/>
      <c r="M63" s="402"/>
    </row>
    <row r="65" ht="12.75">
      <c r="L65" s="402"/>
    </row>
  </sheetData>
  <sheetProtection selectLockedCells="1" selectUnlockedCells="1"/>
  <mergeCells count="42">
    <mergeCell ref="G28:G29"/>
    <mergeCell ref="J28:J29"/>
    <mergeCell ref="P28:P29"/>
    <mergeCell ref="Q28:Q29"/>
    <mergeCell ref="R28:R29"/>
    <mergeCell ref="S28:S29"/>
    <mergeCell ref="L28:L29"/>
    <mergeCell ref="M28:M29"/>
    <mergeCell ref="O28:O29"/>
    <mergeCell ref="I28:I29"/>
    <mergeCell ref="S6:S7"/>
    <mergeCell ref="A28:A29"/>
    <mergeCell ref="B28:B29"/>
    <mergeCell ref="C28:C29"/>
    <mergeCell ref="D28:D29"/>
    <mergeCell ref="E28:E29"/>
    <mergeCell ref="F28:F29"/>
    <mergeCell ref="Q6:Q7"/>
    <mergeCell ref="R6:R7"/>
    <mergeCell ref="H28:H29"/>
    <mergeCell ref="M6:M7"/>
    <mergeCell ref="N6:N7"/>
    <mergeCell ref="K6:K7"/>
    <mergeCell ref="L6:L7"/>
    <mergeCell ref="N28:N29"/>
    <mergeCell ref="K28:K29"/>
    <mergeCell ref="B3:K3"/>
    <mergeCell ref="H4:K4"/>
    <mergeCell ref="L4:O4"/>
    <mergeCell ref="P4:S4"/>
    <mergeCell ref="G6:G7"/>
    <mergeCell ref="H6:H7"/>
    <mergeCell ref="I6:I7"/>
    <mergeCell ref="J6:J7"/>
    <mergeCell ref="O6:O7"/>
    <mergeCell ref="P6:P7"/>
    <mergeCell ref="E6:E7"/>
    <mergeCell ref="F6:F7"/>
    <mergeCell ref="A6:A7"/>
    <mergeCell ref="B6:B7"/>
    <mergeCell ref="C6:C7"/>
    <mergeCell ref="D6:D7"/>
  </mergeCells>
  <printOptions/>
  <pageMargins left="0.7874015748031497" right="0.7874015748031497" top="1.0236220472440944" bottom="1.0236220472440944" header="0.7874015748031497" footer="0.7874015748031497"/>
  <pageSetup fitToHeight="1" fitToWidth="1" horizontalDpi="600" verticalDpi="600" orientation="landscape" paperSize="8" scale="83" r:id="rId1"/>
  <headerFooter alignWithMargins="0">
    <oddHeader>&amp;C&amp;"Arial,Normál"&amp;A</oddHeader>
    <oddFooter>&amp;C&amp;"Arial,Normál"Page &amp;P</oddFooter>
  </headerFooter>
  <rowBreaks count="1" manualBreakCount="1">
    <brk id="2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F23" sqref="F23"/>
    </sheetView>
  </sheetViews>
  <sheetFormatPr defaultColWidth="9.375" defaultRowHeight="12.75"/>
  <cols>
    <col min="1" max="1" width="9.375" style="0" customWidth="1"/>
    <col min="2" max="2" width="77.125" style="0" customWidth="1"/>
    <col min="3" max="5" width="25.00390625" style="0" customWidth="1"/>
    <col min="6" max="6" width="5.50390625" style="0" customWidth="1"/>
    <col min="7" max="8" width="9.375" style="0" customWidth="1"/>
    <col min="9" max="9" width="14.625" style="0" bestFit="1" customWidth="1"/>
  </cols>
  <sheetData>
    <row r="1" spans="1:6" ht="12.75">
      <c r="A1" s="403"/>
      <c r="F1" s="643" t="str">
        <f>+CONCATENATE("11. sz. melléklet a 6/",LEFT(ÖSSZEFÜGGÉSEK!A4,4)+1,". (VII.17.) önkormányzati rendelethez")</f>
        <v>11. sz. melléklet a 6/2020. (VII.17.) önkormányzati rendelethez</v>
      </c>
    </row>
    <row r="2" spans="1:6" ht="33" customHeight="1">
      <c r="A2" s="685" t="str">
        <f>+CONCATENATE("Az Önkormányzat tulajdonában álló gazdálkodó szervezetek működéséből származó",CHAR(10),"kötelezettségek és részesedések alakulása a ",LEFT(ÖSSZEFÜGGÉSEK!A4,4),". évben")</f>
        <v>Az Önkormányzat tulajdonában álló gazdálkodó szervezetek működéséből származó
kötelezettségek és részesedések alakulása a 2019. évben</v>
      </c>
      <c r="B2" s="685"/>
      <c r="C2" s="685"/>
      <c r="D2" s="685"/>
      <c r="E2" s="685"/>
      <c r="F2" s="643"/>
    </row>
    <row r="3" spans="1:6" ht="15">
      <c r="A3" s="404"/>
      <c r="F3" s="643"/>
    </row>
    <row r="4" spans="1:6" ht="62.25">
      <c r="A4" s="405" t="s">
        <v>624</v>
      </c>
      <c r="B4" s="406" t="s">
        <v>625</v>
      </c>
      <c r="C4" s="406" t="s">
        <v>626</v>
      </c>
      <c r="D4" s="406" t="s">
        <v>627</v>
      </c>
      <c r="E4" s="407" t="s">
        <v>628</v>
      </c>
      <c r="F4" s="643"/>
    </row>
    <row r="5" spans="1:6" ht="15">
      <c r="A5" s="408" t="s">
        <v>50</v>
      </c>
      <c r="B5" s="409" t="s">
        <v>804</v>
      </c>
      <c r="C5" s="603">
        <v>1</v>
      </c>
      <c r="D5" s="410">
        <v>100000</v>
      </c>
      <c r="E5" s="411"/>
      <c r="F5" s="643"/>
    </row>
    <row r="6" spans="1:9" ht="15">
      <c r="A6" s="412" t="s">
        <v>71</v>
      </c>
      <c r="B6" s="413" t="s">
        <v>811</v>
      </c>
      <c r="C6" s="604">
        <v>0.0034</v>
      </c>
      <c r="D6" s="415">
        <v>240000</v>
      </c>
      <c r="E6" s="416"/>
      <c r="F6" s="643"/>
      <c r="I6" s="605"/>
    </row>
    <row r="7" spans="1:9" ht="15">
      <c r="A7" s="412" t="s">
        <v>92</v>
      </c>
      <c r="B7" s="413" t="s">
        <v>812</v>
      </c>
      <c r="C7" s="604">
        <v>0.0001</v>
      </c>
      <c r="D7" s="415">
        <v>100000</v>
      </c>
      <c r="E7" s="416"/>
      <c r="F7" s="643"/>
      <c r="I7" s="606"/>
    </row>
    <row r="8" spans="1:6" ht="15">
      <c r="A8" s="412" t="s">
        <v>341</v>
      </c>
      <c r="B8" s="413" t="s">
        <v>813</v>
      </c>
      <c r="C8" s="604">
        <v>0</v>
      </c>
      <c r="D8" s="415">
        <v>0</v>
      </c>
      <c r="E8" s="416"/>
      <c r="F8" s="643"/>
    </row>
    <row r="9" spans="1:9" ht="15">
      <c r="A9" s="412" t="s">
        <v>134</v>
      </c>
      <c r="B9" s="413" t="s">
        <v>822</v>
      </c>
      <c r="C9" s="604">
        <v>0.0135</v>
      </c>
      <c r="D9" s="415">
        <v>1000000</v>
      </c>
      <c r="E9" s="416"/>
      <c r="F9" s="643"/>
      <c r="I9" s="605"/>
    </row>
    <row r="10" spans="1:6" ht="15">
      <c r="A10" s="412" t="s">
        <v>167</v>
      </c>
      <c r="B10" s="607" t="s">
        <v>814</v>
      </c>
      <c r="C10" s="604">
        <v>0.0053</v>
      </c>
      <c r="D10" s="415">
        <v>139660</v>
      </c>
      <c r="E10" s="416"/>
      <c r="F10" s="643"/>
    </row>
    <row r="11" spans="1:6" ht="15">
      <c r="A11" s="412" t="s">
        <v>352</v>
      </c>
      <c r="B11" s="413"/>
      <c r="C11" s="414"/>
      <c r="D11" s="415"/>
      <c r="E11" s="416"/>
      <c r="F11" s="643"/>
    </row>
    <row r="12" spans="1:9" ht="15">
      <c r="A12" s="412" t="s">
        <v>200</v>
      </c>
      <c r="B12" s="413"/>
      <c r="C12" s="414"/>
      <c r="D12" s="415"/>
      <c r="E12" s="416"/>
      <c r="F12" s="643"/>
      <c r="I12" s="605"/>
    </row>
    <row r="13" spans="1:6" ht="15">
      <c r="A13" s="412" t="s">
        <v>215</v>
      </c>
      <c r="B13" s="413"/>
      <c r="C13" s="414"/>
      <c r="D13" s="415"/>
      <c r="E13" s="416"/>
      <c r="F13" s="643"/>
    </row>
    <row r="14" spans="1:6" ht="15">
      <c r="A14" s="412" t="s">
        <v>364</v>
      </c>
      <c r="B14" s="413"/>
      <c r="C14" s="414"/>
      <c r="D14" s="415"/>
      <c r="E14" s="416"/>
      <c r="F14" s="643"/>
    </row>
    <row r="15" spans="1:6" ht="15">
      <c r="A15" s="412" t="s">
        <v>388</v>
      </c>
      <c r="B15" s="413"/>
      <c r="C15" s="414"/>
      <c r="D15" s="415"/>
      <c r="E15" s="416"/>
      <c r="F15" s="643"/>
    </row>
    <row r="16" spans="1:6" ht="15">
      <c r="A16" s="412" t="s">
        <v>389</v>
      </c>
      <c r="B16" s="413"/>
      <c r="C16" s="414"/>
      <c r="D16" s="415"/>
      <c r="E16" s="416"/>
      <c r="F16" s="643"/>
    </row>
    <row r="17" spans="1:6" ht="15">
      <c r="A17" s="412" t="s">
        <v>390</v>
      </c>
      <c r="B17" s="413"/>
      <c r="C17" s="414"/>
      <c r="D17" s="415"/>
      <c r="E17" s="416"/>
      <c r="F17" s="643"/>
    </row>
    <row r="18" spans="1:6" ht="15">
      <c r="A18" s="412" t="s">
        <v>393</v>
      </c>
      <c r="B18" s="413"/>
      <c r="C18" s="414"/>
      <c r="D18" s="415"/>
      <c r="E18" s="416"/>
      <c r="F18" s="643"/>
    </row>
    <row r="19" spans="1:6" ht="15">
      <c r="A19" s="412" t="s">
        <v>396</v>
      </c>
      <c r="B19" s="413"/>
      <c r="C19" s="414"/>
      <c r="D19" s="415"/>
      <c r="E19" s="416"/>
      <c r="F19" s="643"/>
    </row>
    <row r="20" spans="1:6" ht="15">
      <c r="A20" s="412" t="s">
        <v>399</v>
      </c>
      <c r="B20" s="413"/>
      <c r="C20" s="414"/>
      <c r="D20" s="415"/>
      <c r="E20" s="416"/>
      <c r="F20" s="643"/>
    </row>
    <row r="21" spans="1:6" ht="15">
      <c r="A21" s="417" t="s">
        <v>402</v>
      </c>
      <c r="B21" s="418"/>
      <c r="C21" s="419"/>
      <c r="D21" s="420"/>
      <c r="E21" s="421"/>
      <c r="F21" s="643"/>
    </row>
    <row r="22" spans="1:6" ht="15" customHeight="1">
      <c r="A22" s="686" t="s">
        <v>629</v>
      </c>
      <c r="B22" s="686"/>
      <c r="C22" s="422"/>
      <c r="D22" s="423">
        <f>IF(SUM(D5:D21)=0,"",SUM(D5:D21))</f>
        <v>1579660</v>
      </c>
      <c r="E22" s="424">
        <f>IF(SUM(E5:E21)=0,"",SUM(E5:E21))</f>
      </c>
      <c r="F22" s="643"/>
    </row>
    <row r="23" ht="15">
      <c r="A23" s="404"/>
    </row>
  </sheetData>
  <sheetProtection selectLockedCells="1" selectUnlockedCells="1"/>
  <mergeCells count="3">
    <mergeCell ref="F1:F22"/>
    <mergeCell ref="A2:E2"/>
    <mergeCell ref="A22:B22"/>
  </mergeCells>
  <printOptions/>
  <pageMargins left="0.7875" right="0.7875" top="1.025" bottom="1.025" header="0.7875" footer="0.7875"/>
  <pageSetup fitToHeight="1" fitToWidth="1" horizontalDpi="300" verticalDpi="300" orientation="portrait" paperSize="9" scale="47" r:id="rId1"/>
  <headerFooter alignWithMargins="0">
    <oddHeader>&amp;C&amp;"Arial,Normál"&amp;A</oddHeader>
    <oddFooter>&amp;C&amp;"Arial,Normál"Page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K19" sqref="K19"/>
    </sheetView>
  </sheetViews>
  <sheetFormatPr defaultColWidth="9.375" defaultRowHeight="12.75"/>
  <cols>
    <col min="1" max="1" width="6.75390625" style="85" customWidth="1"/>
    <col min="2" max="2" width="32.375" style="84" customWidth="1"/>
    <col min="3" max="3" width="17.00390625" style="84" customWidth="1"/>
    <col min="4" max="9" width="12.75390625" style="84" customWidth="1"/>
    <col min="10" max="10" width="13.75390625" style="84" customWidth="1"/>
    <col min="11" max="11" width="4.00390625" style="84" customWidth="1"/>
    <col min="12" max="16384" width="9.375" style="84" customWidth="1"/>
  </cols>
  <sheetData>
    <row r="1" spans="1:11" ht="13.5">
      <c r="A1" s="425"/>
      <c r="B1" s="426"/>
      <c r="C1" s="426"/>
      <c r="D1" s="426"/>
      <c r="E1" s="426"/>
      <c r="F1" s="426"/>
      <c r="G1" s="426"/>
      <c r="H1" s="426"/>
      <c r="I1" s="426"/>
      <c r="J1" s="427" t="s">
        <v>371</v>
      </c>
      <c r="K1" s="640" t="str">
        <f>+CONCATENATE("1. tájékoztató tábla a 6/",LEFT(ÖSSZEFÜGGÉSEK!A4,4)+1,". (VII.17.) önkormányzati rendelethez")</f>
        <v>1. tájékoztató tábla a 6/2020. (VII.17.) önkormányzati rendelethez</v>
      </c>
    </row>
    <row r="2" spans="1:11" s="428" customFormat="1" ht="26.25" customHeight="1">
      <c r="A2" s="637" t="s">
        <v>40</v>
      </c>
      <c r="B2" s="687" t="s">
        <v>630</v>
      </c>
      <c r="C2" s="687" t="s">
        <v>631</v>
      </c>
      <c r="D2" s="687" t="s">
        <v>632</v>
      </c>
      <c r="E2" s="687" t="str">
        <f>+CONCATENATE(LEFT(ÖSSZEFÜGGÉSEK!A4,4),". évi teljesítés")</f>
        <v>2019. évi teljesítés</v>
      </c>
      <c r="F2" s="688" t="s">
        <v>633</v>
      </c>
      <c r="G2" s="688"/>
      <c r="H2" s="688"/>
      <c r="I2" s="688"/>
      <c r="J2" s="636" t="s">
        <v>634</v>
      </c>
      <c r="K2" s="640"/>
    </row>
    <row r="3" spans="1:11" s="432" customFormat="1" ht="32.25" customHeight="1">
      <c r="A3" s="637"/>
      <c r="B3" s="687"/>
      <c r="C3" s="687"/>
      <c r="D3" s="687"/>
      <c r="E3" s="687"/>
      <c r="F3" s="429" t="str">
        <f>+CONCATENATE(LEFT(ÖSSZEFÜGGÉSEK!A4,4)+1,".")</f>
        <v>2020.</v>
      </c>
      <c r="G3" s="430" t="str">
        <f>+CONCATENATE(LEFT(ÖSSZEFÜGGÉSEK!A4,4)+2,".")</f>
        <v>2021.</v>
      </c>
      <c r="H3" s="430" t="str">
        <f>+CONCATENATE(LEFT(ÖSSZEFÜGGÉSEK!A4,4)+3,".")</f>
        <v>2022.</v>
      </c>
      <c r="I3" s="431" t="str">
        <f>+CONCATENATE(LEFT(ÖSSZEFÜGGÉSEK!A4,4)+3,". után")</f>
        <v>2022. után</v>
      </c>
      <c r="J3" s="636"/>
      <c r="K3" s="640"/>
    </row>
    <row r="4" spans="1:11" s="99" customFormat="1" ht="13.5" customHeight="1">
      <c r="A4" s="433" t="s">
        <v>45</v>
      </c>
      <c r="B4" s="96" t="s">
        <v>635</v>
      </c>
      <c r="C4" s="434" t="s">
        <v>47</v>
      </c>
      <c r="D4" s="434" t="s">
        <v>48</v>
      </c>
      <c r="E4" s="434" t="s">
        <v>49</v>
      </c>
      <c r="F4" s="434" t="s">
        <v>375</v>
      </c>
      <c r="G4" s="434" t="s">
        <v>376</v>
      </c>
      <c r="H4" s="434" t="s">
        <v>377</v>
      </c>
      <c r="I4" s="434" t="s">
        <v>378</v>
      </c>
      <c r="J4" s="435" t="s">
        <v>636</v>
      </c>
      <c r="K4" s="640"/>
    </row>
    <row r="5" spans="1:11" ht="33.75" customHeight="1">
      <c r="A5" s="436" t="s">
        <v>50</v>
      </c>
      <c r="B5" s="437" t="s">
        <v>637</v>
      </c>
      <c r="C5" s="438"/>
      <c r="D5" s="439">
        <f aca="true" t="shared" si="0" ref="D5:I5">SUM(D6:D7)</f>
        <v>0</v>
      </c>
      <c r="E5" s="439">
        <f t="shared" si="0"/>
        <v>0</v>
      </c>
      <c r="F5" s="439">
        <f t="shared" si="0"/>
        <v>0</v>
      </c>
      <c r="G5" s="439">
        <f t="shared" si="0"/>
        <v>0</v>
      </c>
      <c r="H5" s="439">
        <f t="shared" si="0"/>
        <v>0</v>
      </c>
      <c r="I5" s="440">
        <f t="shared" si="0"/>
        <v>0</v>
      </c>
      <c r="J5" s="441">
        <f aca="true" t="shared" si="1" ref="J5:J17">SUM(F5:I5)</f>
        <v>0</v>
      </c>
      <c r="K5" s="640"/>
    </row>
    <row r="6" spans="1:11" ht="21" customHeight="1">
      <c r="A6" s="442" t="s">
        <v>71</v>
      </c>
      <c r="B6" s="443" t="s">
        <v>638</v>
      </c>
      <c r="C6" s="444"/>
      <c r="D6" s="152"/>
      <c r="E6" s="152"/>
      <c r="F6" s="152"/>
      <c r="G6" s="152"/>
      <c r="H6" s="152"/>
      <c r="I6" s="154"/>
      <c r="J6" s="445">
        <f t="shared" si="1"/>
        <v>0</v>
      </c>
      <c r="K6" s="640"/>
    </row>
    <row r="7" spans="1:11" ht="21" customHeight="1">
      <c r="A7" s="442" t="s">
        <v>92</v>
      </c>
      <c r="B7" s="443" t="s">
        <v>638</v>
      </c>
      <c r="C7" s="444"/>
      <c r="D7" s="152"/>
      <c r="E7" s="152"/>
      <c r="F7" s="152"/>
      <c r="G7" s="152"/>
      <c r="H7" s="152"/>
      <c r="I7" s="154"/>
      <c r="J7" s="445">
        <f t="shared" si="1"/>
        <v>0</v>
      </c>
      <c r="K7" s="640"/>
    </row>
    <row r="8" spans="1:11" ht="36" customHeight="1">
      <c r="A8" s="442" t="s">
        <v>341</v>
      </c>
      <c r="B8" s="446" t="s">
        <v>639</v>
      </c>
      <c r="C8" s="447"/>
      <c r="D8" s="448">
        <f aca="true" t="shared" si="2" ref="D8:I8">SUM(D9:D10)</f>
        <v>0</v>
      </c>
      <c r="E8" s="448">
        <f t="shared" si="2"/>
        <v>0</v>
      </c>
      <c r="F8" s="448">
        <f t="shared" si="2"/>
        <v>0</v>
      </c>
      <c r="G8" s="448">
        <f t="shared" si="2"/>
        <v>0</v>
      </c>
      <c r="H8" s="448">
        <f t="shared" si="2"/>
        <v>0</v>
      </c>
      <c r="I8" s="449">
        <f t="shared" si="2"/>
        <v>0</v>
      </c>
      <c r="J8" s="450">
        <f t="shared" si="1"/>
        <v>0</v>
      </c>
      <c r="K8" s="640"/>
    </row>
    <row r="9" spans="1:11" ht="21" customHeight="1">
      <c r="A9" s="442" t="s">
        <v>134</v>
      </c>
      <c r="B9" s="443" t="s">
        <v>638</v>
      </c>
      <c r="C9" s="444"/>
      <c r="D9" s="152"/>
      <c r="E9" s="152"/>
      <c r="F9" s="152"/>
      <c r="G9" s="152"/>
      <c r="H9" s="152"/>
      <c r="I9" s="154"/>
      <c r="J9" s="445">
        <f t="shared" si="1"/>
        <v>0</v>
      </c>
      <c r="K9" s="640"/>
    </row>
    <row r="10" spans="1:11" ht="18" customHeight="1">
      <c r="A10" s="442" t="s">
        <v>167</v>
      </c>
      <c r="B10" s="443" t="s">
        <v>638</v>
      </c>
      <c r="C10" s="444"/>
      <c r="D10" s="152"/>
      <c r="E10" s="152"/>
      <c r="F10" s="152"/>
      <c r="G10" s="152"/>
      <c r="H10" s="152"/>
      <c r="I10" s="154"/>
      <c r="J10" s="445">
        <f t="shared" si="1"/>
        <v>0</v>
      </c>
      <c r="K10" s="640"/>
    </row>
    <row r="11" spans="1:11" ht="21" customHeight="1">
      <c r="A11" s="442" t="s">
        <v>352</v>
      </c>
      <c r="B11" s="446" t="s">
        <v>640</v>
      </c>
      <c r="C11" s="447"/>
      <c r="D11" s="448">
        <f aca="true" t="shared" si="3" ref="D11:I11">SUM(D12:D12)</f>
        <v>0</v>
      </c>
      <c r="E11" s="448">
        <f t="shared" si="3"/>
        <v>0</v>
      </c>
      <c r="F11" s="448">
        <f t="shared" si="3"/>
        <v>0</v>
      </c>
      <c r="G11" s="448">
        <f t="shared" si="3"/>
        <v>0</v>
      </c>
      <c r="H11" s="448">
        <f t="shared" si="3"/>
        <v>0</v>
      </c>
      <c r="I11" s="449">
        <f t="shared" si="3"/>
        <v>0</v>
      </c>
      <c r="J11" s="450">
        <f t="shared" si="1"/>
        <v>0</v>
      </c>
      <c r="K11" s="640"/>
    </row>
    <row r="12" spans="1:11" ht="21" customHeight="1">
      <c r="A12" s="442" t="s">
        <v>200</v>
      </c>
      <c r="B12" s="443" t="s">
        <v>638</v>
      </c>
      <c r="C12" s="444"/>
      <c r="D12" s="152"/>
      <c r="E12" s="152"/>
      <c r="F12" s="152"/>
      <c r="G12" s="152"/>
      <c r="H12" s="152"/>
      <c r="I12" s="154"/>
      <c r="J12" s="445">
        <f t="shared" si="1"/>
        <v>0</v>
      </c>
      <c r="K12" s="640"/>
    </row>
    <row r="13" spans="1:11" ht="21" customHeight="1">
      <c r="A13" s="442" t="s">
        <v>215</v>
      </c>
      <c r="B13" s="446" t="s">
        <v>641</v>
      </c>
      <c r="C13" s="447"/>
      <c r="D13" s="448">
        <f aca="true" t="shared" si="4" ref="D13:I13">SUM(D14:D14)</f>
        <v>0</v>
      </c>
      <c r="E13" s="448">
        <f t="shared" si="4"/>
        <v>0</v>
      </c>
      <c r="F13" s="448">
        <f t="shared" si="4"/>
        <v>0</v>
      </c>
      <c r="G13" s="448">
        <f t="shared" si="4"/>
        <v>0</v>
      </c>
      <c r="H13" s="448">
        <f t="shared" si="4"/>
        <v>0</v>
      </c>
      <c r="I13" s="449">
        <f t="shared" si="4"/>
        <v>0</v>
      </c>
      <c r="J13" s="450">
        <f t="shared" si="1"/>
        <v>0</v>
      </c>
      <c r="K13" s="640"/>
    </row>
    <row r="14" spans="1:11" ht="21" customHeight="1">
      <c r="A14" s="442" t="s">
        <v>364</v>
      </c>
      <c r="B14" s="443" t="s">
        <v>638</v>
      </c>
      <c r="C14" s="444"/>
      <c r="D14" s="152"/>
      <c r="E14" s="152"/>
      <c r="F14" s="152"/>
      <c r="G14" s="152"/>
      <c r="H14" s="152"/>
      <c r="I14" s="154"/>
      <c r="J14" s="445">
        <f t="shared" si="1"/>
        <v>0</v>
      </c>
      <c r="K14" s="640"/>
    </row>
    <row r="15" spans="1:11" ht="21" customHeight="1">
      <c r="A15" s="451" t="s">
        <v>388</v>
      </c>
      <c r="B15" s="452" t="s">
        <v>642</v>
      </c>
      <c r="C15" s="453"/>
      <c r="D15" s="454"/>
      <c r="E15" s="454"/>
      <c r="F15" s="454">
        <f>SUM(F16:F17)</f>
        <v>0</v>
      </c>
      <c r="G15" s="454">
        <f>SUM(G16:G17)</f>
        <v>0</v>
      </c>
      <c r="H15" s="454">
        <f>SUM(H16:H17)</f>
        <v>0</v>
      </c>
      <c r="I15" s="455">
        <f>SUM(I16:I17)</f>
        <v>0</v>
      </c>
      <c r="J15" s="450">
        <f t="shared" si="1"/>
        <v>0</v>
      </c>
      <c r="K15" s="640"/>
    </row>
    <row r="16" spans="1:11" ht="21" customHeight="1">
      <c r="A16" s="451" t="s">
        <v>389</v>
      </c>
      <c r="B16" s="443" t="s">
        <v>643</v>
      </c>
      <c r="C16" s="444"/>
      <c r="D16" s="152"/>
      <c r="E16" s="152"/>
      <c r="F16" s="152"/>
      <c r="G16" s="152"/>
      <c r="H16" s="152"/>
      <c r="I16" s="154"/>
      <c r="J16" s="445">
        <f t="shared" si="1"/>
        <v>0</v>
      </c>
      <c r="K16" s="640"/>
    </row>
    <row r="17" spans="1:11" ht="21" customHeight="1">
      <c r="A17" s="451" t="s">
        <v>390</v>
      </c>
      <c r="B17" s="443" t="s">
        <v>638</v>
      </c>
      <c r="C17" s="456"/>
      <c r="D17" s="457"/>
      <c r="E17" s="457"/>
      <c r="F17" s="457"/>
      <c r="G17" s="457"/>
      <c r="H17" s="457"/>
      <c r="I17" s="458"/>
      <c r="J17" s="445">
        <f t="shared" si="1"/>
        <v>0</v>
      </c>
      <c r="K17" s="640"/>
    </row>
    <row r="18" spans="1:11" ht="21" customHeight="1">
      <c r="A18" s="459" t="s">
        <v>393</v>
      </c>
      <c r="B18" s="460" t="s">
        <v>644</v>
      </c>
      <c r="C18" s="461"/>
      <c r="D18" s="158">
        <f aca="true" t="shared" si="5" ref="D18:J18">D5+D8+D11+D13+D15</f>
        <v>0</v>
      </c>
      <c r="E18" s="158">
        <f t="shared" si="5"/>
        <v>0</v>
      </c>
      <c r="F18" s="158">
        <f t="shared" si="5"/>
        <v>0</v>
      </c>
      <c r="G18" s="158">
        <f t="shared" si="5"/>
        <v>0</v>
      </c>
      <c r="H18" s="158">
        <f t="shared" si="5"/>
        <v>0</v>
      </c>
      <c r="I18" s="462">
        <f t="shared" si="5"/>
        <v>0</v>
      </c>
      <c r="J18" s="463">
        <f t="shared" si="5"/>
        <v>0</v>
      </c>
      <c r="K18" s="640"/>
    </row>
  </sheetData>
  <sheetProtection selectLockedCells="1" selectUnlockedCells="1"/>
  <mergeCells count="8">
    <mergeCell ref="K1:K18"/>
    <mergeCell ref="A2:A3"/>
    <mergeCell ref="B2:B3"/>
    <mergeCell ref="C2:C3"/>
    <mergeCell ref="D2:D3"/>
    <mergeCell ref="E2:E3"/>
    <mergeCell ref="F2:I2"/>
    <mergeCell ref="J2:J3"/>
  </mergeCells>
  <printOptions horizontalCentered="1"/>
  <pageMargins left="0.7875" right="0.7875" top="1.3625" bottom="0.9840277777777777" header="0.5" footer="0.5118055555555555"/>
  <pageSetup fitToHeight="1" fitToWidth="1" horizontalDpi="300" verticalDpi="300" orientation="landscape" paperSize="9" scale="95" r:id="rId1"/>
  <headerFooter alignWithMargins="0">
    <oddHeader>&amp;C&amp;12Többéves kihatással járó döntésekből származó kötelezettségek
célok szerint, évenkénti bontásban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SheetLayoutView="120" zoomScalePageLayoutView="0" workbookViewId="0" topLeftCell="B1">
      <selection activeCell="N2" sqref="N2"/>
    </sheetView>
  </sheetViews>
  <sheetFormatPr defaultColWidth="12.00390625" defaultRowHeight="12.75"/>
  <cols>
    <col min="1" max="1" width="67.125" style="464" customWidth="1"/>
    <col min="2" max="2" width="6.125" style="465" customWidth="1"/>
    <col min="3" max="4" width="12.125" style="464" customWidth="1"/>
    <col min="5" max="5" width="12.125" style="466" customWidth="1"/>
    <col min="6" max="16384" width="12.00390625" style="464" customWidth="1"/>
  </cols>
  <sheetData>
    <row r="1" ht="15">
      <c r="N1" s="579" t="str">
        <f>+CONCATENATE("2. sz. tájékoztató tábla a 6/",LEFT(ÖSSZEFÜGGÉSEK!A4,4)+1,".(VII.17.)  önkormányzati rendelethez")</f>
        <v>2. sz. tájékoztató tábla a 6/2020.(VII.17.)  önkormányzati rendelethez</v>
      </c>
    </row>
    <row r="3" spans="1:14" ht="49.5" customHeight="1">
      <c r="A3" s="689" t="str">
        <f>+CONCATENATE("VAGYONKIMUTATÁS",CHAR(10),"a könyvviteli mérlegben értékkel szereplő eszközökről",CHAR(10),LEFT(ÖSSZEFÜGGÉSEK!A4,4),". Adatok Ft-ban")</f>
        <v>VAGYONKIMUTATÁS
a könyvviteli mérlegben értékkel szereplő eszközökről
2019. Adatok Ft-ban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</row>
    <row r="4" spans="3:14" ht="15">
      <c r="C4" s="690" t="s">
        <v>498</v>
      </c>
      <c r="D4" s="690"/>
      <c r="E4" s="690"/>
      <c r="F4" s="690" t="s">
        <v>645</v>
      </c>
      <c r="G4" s="690"/>
      <c r="H4" s="690"/>
      <c r="I4" s="690" t="s">
        <v>821</v>
      </c>
      <c r="J4" s="690"/>
      <c r="K4" s="690"/>
      <c r="L4" s="691" t="s">
        <v>646</v>
      </c>
      <c r="M4" s="691"/>
      <c r="N4" s="691"/>
    </row>
    <row r="5" spans="1:14" ht="15.75" customHeight="1">
      <c r="A5" s="700" t="s">
        <v>647</v>
      </c>
      <c r="B5" s="701" t="s">
        <v>624</v>
      </c>
      <c r="C5" s="696" t="s">
        <v>648</v>
      </c>
      <c r="D5" s="696" t="s">
        <v>649</v>
      </c>
      <c r="E5" s="697" t="s">
        <v>650</v>
      </c>
      <c r="F5" s="696" t="s">
        <v>648</v>
      </c>
      <c r="G5" s="696" t="s">
        <v>649</v>
      </c>
      <c r="H5" s="697" t="s">
        <v>650</v>
      </c>
      <c r="I5" s="696" t="s">
        <v>648</v>
      </c>
      <c r="J5" s="696" t="s">
        <v>649</v>
      </c>
      <c r="K5" s="699" t="s">
        <v>650</v>
      </c>
      <c r="L5" s="692" t="s">
        <v>648</v>
      </c>
      <c r="M5" s="692" t="s">
        <v>649</v>
      </c>
      <c r="N5" s="692" t="s">
        <v>650</v>
      </c>
    </row>
    <row r="6" spans="1:14" ht="11.25" customHeight="1">
      <c r="A6" s="700"/>
      <c r="B6" s="701"/>
      <c r="C6" s="696"/>
      <c r="D6" s="696"/>
      <c r="E6" s="697"/>
      <c r="F6" s="696"/>
      <c r="G6" s="696"/>
      <c r="H6" s="697"/>
      <c r="I6" s="696"/>
      <c r="J6" s="696"/>
      <c r="K6" s="699"/>
      <c r="L6" s="692"/>
      <c r="M6" s="692"/>
      <c r="N6" s="692"/>
    </row>
    <row r="7" spans="1:14" ht="15" customHeight="1">
      <c r="A7" s="700"/>
      <c r="B7" s="701"/>
      <c r="C7" s="693" t="s">
        <v>651</v>
      </c>
      <c r="D7" s="693"/>
      <c r="E7" s="693"/>
      <c r="F7" s="693" t="s">
        <v>651</v>
      </c>
      <c r="G7" s="693"/>
      <c r="H7" s="693"/>
      <c r="I7" s="694" t="s">
        <v>651</v>
      </c>
      <c r="J7" s="694"/>
      <c r="K7" s="694"/>
      <c r="L7" s="695" t="s">
        <v>651</v>
      </c>
      <c r="M7" s="695"/>
      <c r="N7" s="695"/>
    </row>
    <row r="8" spans="1:14" s="472" customFormat="1" ht="15">
      <c r="A8" s="467" t="s">
        <v>652</v>
      </c>
      <c r="B8" s="468" t="s">
        <v>46</v>
      </c>
      <c r="C8" s="468" t="s">
        <v>47</v>
      </c>
      <c r="D8" s="468" t="s">
        <v>48</v>
      </c>
      <c r="E8" s="469" t="s">
        <v>49</v>
      </c>
      <c r="F8" s="468" t="s">
        <v>47</v>
      </c>
      <c r="G8" s="468" t="s">
        <v>48</v>
      </c>
      <c r="H8" s="469" t="s">
        <v>49</v>
      </c>
      <c r="I8" s="468" t="s">
        <v>47</v>
      </c>
      <c r="J8" s="468" t="s">
        <v>48</v>
      </c>
      <c r="K8" s="470" t="s">
        <v>49</v>
      </c>
      <c r="L8" s="471" t="s">
        <v>47</v>
      </c>
      <c r="M8" s="471" t="s">
        <v>48</v>
      </c>
      <c r="N8" s="471" t="s">
        <v>49</v>
      </c>
    </row>
    <row r="9" spans="1:14" s="479" customFormat="1" ht="15">
      <c r="A9" s="473" t="s">
        <v>653</v>
      </c>
      <c r="B9" s="474" t="s">
        <v>654</v>
      </c>
      <c r="C9" s="475"/>
      <c r="D9" s="475">
        <v>0</v>
      </c>
      <c r="E9" s="476"/>
      <c r="F9" s="475"/>
      <c r="G9" s="475"/>
      <c r="H9" s="476"/>
      <c r="I9" s="475"/>
      <c r="J9" s="475"/>
      <c r="K9" s="477"/>
      <c r="L9" s="478">
        <f aca="true" t="shared" si="0" ref="L9:L40">C9+F9+I9</f>
        <v>0</v>
      </c>
      <c r="M9" s="478">
        <f aca="true" t="shared" si="1" ref="M9:M40">D9+G9+J9</f>
        <v>0</v>
      </c>
      <c r="N9" s="478">
        <f aca="true" t="shared" si="2" ref="N9:N40">E9+H9+K9</f>
        <v>0</v>
      </c>
    </row>
    <row r="10" spans="1:14" s="479" customFormat="1" ht="15">
      <c r="A10" s="480" t="s">
        <v>655</v>
      </c>
      <c r="B10" s="481" t="s">
        <v>656</v>
      </c>
      <c r="C10" s="482">
        <f aca="true" t="shared" si="3" ref="C10:K10">+C11+C16+C21+C26+C31</f>
        <v>0</v>
      </c>
      <c r="D10" s="482">
        <f t="shared" si="3"/>
        <v>1480110660</v>
      </c>
      <c r="E10" s="483">
        <f t="shared" si="3"/>
        <v>0</v>
      </c>
      <c r="F10" s="482">
        <f t="shared" si="3"/>
        <v>0</v>
      </c>
      <c r="G10" s="482">
        <f t="shared" si="3"/>
        <v>0</v>
      </c>
      <c r="H10" s="483">
        <f t="shared" si="3"/>
        <v>0</v>
      </c>
      <c r="I10" s="482">
        <f t="shared" si="3"/>
        <v>0</v>
      </c>
      <c r="J10" s="482">
        <f>+J11+J16+J21+J26+J31</f>
        <v>0</v>
      </c>
      <c r="K10" s="484">
        <f t="shared" si="3"/>
        <v>0</v>
      </c>
      <c r="L10" s="478">
        <f t="shared" si="0"/>
        <v>0</v>
      </c>
      <c r="M10" s="478">
        <f t="shared" si="1"/>
        <v>1480110660</v>
      </c>
      <c r="N10" s="478">
        <f t="shared" si="2"/>
        <v>0</v>
      </c>
    </row>
    <row r="11" spans="1:14" s="479" customFormat="1" ht="15">
      <c r="A11" s="480" t="s">
        <v>657</v>
      </c>
      <c r="B11" s="481" t="s">
        <v>658</v>
      </c>
      <c r="C11" s="482">
        <f aca="true" t="shared" si="4" ref="C11:K11">+C12+C13+C14+C15</f>
        <v>0</v>
      </c>
      <c r="D11" s="482">
        <f t="shared" si="4"/>
        <v>1356229666</v>
      </c>
      <c r="E11" s="483">
        <f t="shared" si="4"/>
        <v>0</v>
      </c>
      <c r="F11" s="482">
        <f t="shared" si="4"/>
        <v>0</v>
      </c>
      <c r="G11" s="482">
        <f t="shared" si="4"/>
        <v>0</v>
      </c>
      <c r="H11" s="483">
        <f t="shared" si="4"/>
        <v>0</v>
      </c>
      <c r="I11" s="482">
        <f t="shared" si="4"/>
        <v>0</v>
      </c>
      <c r="J11" s="482">
        <f>+J12+J13+J14+J15</f>
        <v>0</v>
      </c>
      <c r="K11" s="484">
        <f t="shared" si="4"/>
        <v>0</v>
      </c>
      <c r="L11" s="478">
        <f t="shared" si="0"/>
        <v>0</v>
      </c>
      <c r="M11" s="478">
        <f t="shared" si="1"/>
        <v>1356229666</v>
      </c>
      <c r="N11" s="478">
        <f t="shared" si="2"/>
        <v>0</v>
      </c>
    </row>
    <row r="12" spans="1:14" s="479" customFormat="1" ht="15">
      <c r="A12" s="485" t="s">
        <v>659</v>
      </c>
      <c r="B12" s="481" t="s">
        <v>660</v>
      </c>
      <c r="C12" s="486"/>
      <c r="D12" s="486">
        <v>0</v>
      </c>
      <c r="E12" s="487"/>
      <c r="F12" s="486"/>
      <c r="G12" s="486"/>
      <c r="H12" s="487"/>
      <c r="I12" s="486"/>
      <c r="J12" s="486"/>
      <c r="K12" s="488"/>
      <c r="L12" s="478">
        <f t="shared" si="0"/>
        <v>0</v>
      </c>
      <c r="M12" s="478">
        <f t="shared" si="1"/>
        <v>0</v>
      </c>
      <c r="N12" s="478">
        <f t="shared" si="2"/>
        <v>0</v>
      </c>
    </row>
    <row r="13" spans="1:14" s="479" customFormat="1" ht="26.25" customHeight="1">
      <c r="A13" s="485" t="s">
        <v>661</v>
      </c>
      <c r="B13" s="481" t="s">
        <v>662</v>
      </c>
      <c r="C13" s="489"/>
      <c r="D13" s="489">
        <v>380188056</v>
      </c>
      <c r="E13" s="490"/>
      <c r="F13" s="489"/>
      <c r="G13" s="489"/>
      <c r="H13" s="490"/>
      <c r="I13" s="489"/>
      <c r="J13" s="489"/>
      <c r="K13" s="491"/>
      <c r="L13" s="478">
        <f t="shared" si="0"/>
        <v>0</v>
      </c>
      <c r="M13" s="478">
        <f t="shared" si="1"/>
        <v>380188056</v>
      </c>
      <c r="N13" s="478">
        <f t="shared" si="2"/>
        <v>0</v>
      </c>
    </row>
    <row r="14" spans="1:14" s="479" customFormat="1" ht="15">
      <c r="A14" s="485" t="s">
        <v>663</v>
      </c>
      <c r="B14" s="481" t="s">
        <v>664</v>
      </c>
      <c r="C14" s="489"/>
      <c r="D14" s="489">
        <v>853418913</v>
      </c>
      <c r="E14" s="490"/>
      <c r="F14" s="489"/>
      <c r="G14" s="489"/>
      <c r="H14" s="490"/>
      <c r="I14" s="489"/>
      <c r="J14" s="489"/>
      <c r="K14" s="491"/>
      <c r="L14" s="478">
        <f t="shared" si="0"/>
        <v>0</v>
      </c>
      <c r="M14" s="478">
        <f t="shared" si="1"/>
        <v>853418913</v>
      </c>
      <c r="N14" s="478">
        <f t="shared" si="2"/>
        <v>0</v>
      </c>
    </row>
    <row r="15" spans="1:14" s="479" customFormat="1" ht="15">
      <c r="A15" s="485" t="s">
        <v>665</v>
      </c>
      <c r="B15" s="481" t="s">
        <v>666</v>
      </c>
      <c r="C15" s="489"/>
      <c r="D15" s="489">
        <v>122622697</v>
      </c>
      <c r="E15" s="490"/>
      <c r="F15" s="489"/>
      <c r="G15" s="489"/>
      <c r="H15" s="490"/>
      <c r="I15" s="489"/>
      <c r="J15" s="489"/>
      <c r="K15" s="491"/>
      <c r="L15" s="478">
        <f t="shared" si="0"/>
        <v>0</v>
      </c>
      <c r="M15" s="478">
        <f t="shared" si="1"/>
        <v>122622697</v>
      </c>
      <c r="N15" s="478">
        <f t="shared" si="2"/>
        <v>0</v>
      </c>
    </row>
    <row r="16" spans="1:16" s="479" customFormat="1" ht="15">
      <c r="A16" s="480" t="s">
        <v>667</v>
      </c>
      <c r="B16" s="481" t="s">
        <v>668</v>
      </c>
      <c r="C16" s="492">
        <f>+C17+C18+C19+C20</f>
        <v>0</v>
      </c>
      <c r="D16" s="492">
        <f>D17+D18+D19+D20</f>
        <v>86941565</v>
      </c>
      <c r="E16" s="493">
        <f aca="true" t="shared" si="5" ref="E16:K16">+E17+E18+E19+E20</f>
        <v>0</v>
      </c>
      <c r="F16" s="492">
        <f t="shared" si="5"/>
        <v>0</v>
      </c>
      <c r="G16" s="492">
        <f t="shared" si="5"/>
        <v>0</v>
      </c>
      <c r="H16" s="493">
        <f t="shared" si="5"/>
        <v>0</v>
      </c>
      <c r="I16" s="492">
        <f t="shared" si="5"/>
        <v>0</v>
      </c>
      <c r="J16" s="492">
        <f t="shared" si="5"/>
        <v>0</v>
      </c>
      <c r="K16" s="494">
        <f t="shared" si="5"/>
        <v>0</v>
      </c>
      <c r="L16" s="478">
        <f t="shared" si="0"/>
        <v>0</v>
      </c>
      <c r="M16" s="478">
        <f t="shared" si="1"/>
        <v>86941565</v>
      </c>
      <c r="N16" s="478">
        <f t="shared" si="2"/>
        <v>0</v>
      </c>
      <c r="P16" s="601"/>
    </row>
    <row r="17" spans="1:14" s="479" customFormat="1" ht="15">
      <c r="A17" s="485" t="s">
        <v>669</v>
      </c>
      <c r="B17" s="481" t="s">
        <v>670</v>
      </c>
      <c r="C17" s="489"/>
      <c r="D17" s="489">
        <v>0</v>
      </c>
      <c r="E17" s="490"/>
      <c r="F17" s="489"/>
      <c r="G17" s="489"/>
      <c r="H17" s="490"/>
      <c r="I17" s="489"/>
      <c r="J17" s="489"/>
      <c r="K17" s="491"/>
      <c r="L17" s="478">
        <f t="shared" si="0"/>
        <v>0</v>
      </c>
      <c r="M17" s="478">
        <f t="shared" si="1"/>
        <v>0</v>
      </c>
      <c r="N17" s="478">
        <f t="shared" si="2"/>
        <v>0</v>
      </c>
    </row>
    <row r="18" spans="1:14" s="479" customFormat="1" ht="20.25">
      <c r="A18" s="485" t="s">
        <v>671</v>
      </c>
      <c r="B18" s="481" t="s">
        <v>364</v>
      </c>
      <c r="C18" s="489"/>
      <c r="D18" s="489">
        <v>310496</v>
      </c>
      <c r="E18" s="490"/>
      <c r="F18" s="489"/>
      <c r="G18" s="489"/>
      <c r="H18" s="490"/>
      <c r="I18" s="489"/>
      <c r="J18" s="489"/>
      <c r="K18" s="491"/>
      <c r="L18" s="478">
        <f t="shared" si="0"/>
        <v>0</v>
      </c>
      <c r="M18" s="478">
        <f t="shared" si="1"/>
        <v>310496</v>
      </c>
      <c r="N18" s="478">
        <f t="shared" si="2"/>
        <v>0</v>
      </c>
    </row>
    <row r="19" spans="1:14" s="479" customFormat="1" ht="15">
      <c r="A19" s="485" t="s">
        <v>672</v>
      </c>
      <c r="B19" s="481" t="s">
        <v>388</v>
      </c>
      <c r="C19" s="489"/>
      <c r="D19" s="489">
        <v>70148687</v>
      </c>
      <c r="E19" s="490"/>
      <c r="F19" s="489"/>
      <c r="G19" s="489"/>
      <c r="H19" s="490"/>
      <c r="I19" s="489"/>
      <c r="J19" s="489"/>
      <c r="K19" s="491"/>
      <c r="L19" s="478">
        <f t="shared" si="0"/>
        <v>0</v>
      </c>
      <c r="M19" s="478">
        <f t="shared" si="1"/>
        <v>70148687</v>
      </c>
      <c r="N19" s="478">
        <f t="shared" si="2"/>
        <v>0</v>
      </c>
    </row>
    <row r="20" spans="1:14" s="479" customFormat="1" ht="15">
      <c r="A20" s="485" t="s">
        <v>673</v>
      </c>
      <c r="B20" s="481" t="s">
        <v>389</v>
      </c>
      <c r="C20" s="489"/>
      <c r="D20" s="489">
        <v>16482382</v>
      </c>
      <c r="E20" s="490"/>
      <c r="F20" s="489"/>
      <c r="G20" s="489">
        <v>0</v>
      </c>
      <c r="H20" s="490"/>
      <c r="I20" s="489"/>
      <c r="J20" s="489">
        <v>0</v>
      </c>
      <c r="K20" s="491"/>
      <c r="L20" s="478">
        <f t="shared" si="0"/>
        <v>0</v>
      </c>
      <c r="M20" s="478">
        <f t="shared" si="1"/>
        <v>16482382</v>
      </c>
      <c r="N20" s="478">
        <f t="shared" si="2"/>
        <v>0</v>
      </c>
    </row>
    <row r="21" spans="1:14" s="479" customFormat="1" ht="15">
      <c r="A21" s="480" t="s">
        <v>674</v>
      </c>
      <c r="B21" s="481" t="s">
        <v>390</v>
      </c>
      <c r="C21" s="492">
        <f aca="true" t="shared" si="6" ref="C21:K21">+C22+C23+C24+C25</f>
        <v>0</v>
      </c>
      <c r="D21" s="492">
        <f t="shared" si="6"/>
        <v>0</v>
      </c>
      <c r="E21" s="493">
        <f t="shared" si="6"/>
        <v>0</v>
      </c>
      <c r="F21" s="492">
        <f t="shared" si="6"/>
        <v>0</v>
      </c>
      <c r="G21" s="492">
        <f t="shared" si="6"/>
        <v>0</v>
      </c>
      <c r="H21" s="493">
        <f t="shared" si="6"/>
        <v>0</v>
      </c>
      <c r="I21" s="492">
        <f t="shared" si="6"/>
        <v>0</v>
      </c>
      <c r="J21" s="492">
        <f>+J22+J23+J24+J25</f>
        <v>0</v>
      </c>
      <c r="K21" s="494">
        <f t="shared" si="6"/>
        <v>0</v>
      </c>
      <c r="L21" s="478">
        <f t="shared" si="0"/>
        <v>0</v>
      </c>
      <c r="M21" s="478">
        <f t="shared" si="1"/>
        <v>0</v>
      </c>
      <c r="N21" s="478">
        <f t="shared" si="2"/>
        <v>0</v>
      </c>
    </row>
    <row r="22" spans="1:14" s="479" customFormat="1" ht="15">
      <c r="A22" s="485" t="s">
        <v>675</v>
      </c>
      <c r="B22" s="481" t="s">
        <v>393</v>
      </c>
      <c r="C22" s="489"/>
      <c r="D22" s="489"/>
      <c r="E22" s="490"/>
      <c r="F22" s="489"/>
      <c r="G22" s="489"/>
      <c r="H22" s="490"/>
      <c r="I22" s="489"/>
      <c r="J22" s="489"/>
      <c r="K22" s="491"/>
      <c r="L22" s="478">
        <f t="shared" si="0"/>
        <v>0</v>
      </c>
      <c r="M22" s="478">
        <f t="shared" si="1"/>
        <v>0</v>
      </c>
      <c r="N22" s="478">
        <f t="shared" si="2"/>
        <v>0</v>
      </c>
    </row>
    <row r="23" spans="1:14" s="479" customFormat="1" ht="15">
      <c r="A23" s="485" t="s">
        <v>676</v>
      </c>
      <c r="B23" s="481" t="s">
        <v>396</v>
      </c>
      <c r="C23" s="489"/>
      <c r="D23" s="489"/>
      <c r="E23" s="490"/>
      <c r="F23" s="489"/>
      <c r="G23" s="489"/>
      <c r="H23" s="490"/>
      <c r="I23" s="489"/>
      <c r="J23" s="489"/>
      <c r="K23" s="491"/>
      <c r="L23" s="478">
        <f t="shared" si="0"/>
        <v>0</v>
      </c>
      <c r="M23" s="478">
        <f t="shared" si="1"/>
        <v>0</v>
      </c>
      <c r="N23" s="478">
        <f t="shared" si="2"/>
        <v>0</v>
      </c>
    </row>
    <row r="24" spans="1:14" s="479" customFormat="1" ht="15">
      <c r="A24" s="485" t="s">
        <v>677</v>
      </c>
      <c r="B24" s="481" t="s">
        <v>399</v>
      </c>
      <c r="C24" s="489"/>
      <c r="D24" s="489"/>
      <c r="E24" s="490"/>
      <c r="F24" s="489"/>
      <c r="G24" s="489"/>
      <c r="H24" s="490"/>
      <c r="I24" s="489"/>
      <c r="J24" s="489"/>
      <c r="K24" s="491"/>
      <c r="L24" s="478">
        <f t="shared" si="0"/>
        <v>0</v>
      </c>
      <c r="M24" s="478">
        <f t="shared" si="1"/>
        <v>0</v>
      </c>
      <c r="N24" s="478">
        <f t="shared" si="2"/>
        <v>0</v>
      </c>
    </row>
    <row r="25" spans="1:14" s="479" customFormat="1" ht="15">
      <c r="A25" s="485" t="s">
        <v>678</v>
      </c>
      <c r="B25" s="481" t="s">
        <v>402</v>
      </c>
      <c r="C25" s="489"/>
      <c r="D25" s="489"/>
      <c r="E25" s="490"/>
      <c r="F25" s="489"/>
      <c r="G25" s="489"/>
      <c r="H25" s="490"/>
      <c r="I25" s="489"/>
      <c r="J25" s="489"/>
      <c r="K25" s="491"/>
      <c r="L25" s="478">
        <f t="shared" si="0"/>
        <v>0</v>
      </c>
      <c r="M25" s="478">
        <f t="shared" si="1"/>
        <v>0</v>
      </c>
      <c r="N25" s="478">
        <f t="shared" si="2"/>
        <v>0</v>
      </c>
    </row>
    <row r="26" spans="1:14" s="479" customFormat="1" ht="15">
      <c r="A26" s="480" t="s">
        <v>679</v>
      </c>
      <c r="B26" s="481" t="s">
        <v>405</v>
      </c>
      <c r="C26" s="492">
        <f aca="true" t="shared" si="7" ref="C26:K26">+C27+C28+C29+C30</f>
        <v>0</v>
      </c>
      <c r="D26" s="492">
        <v>36939429</v>
      </c>
      <c r="E26" s="493">
        <f t="shared" si="7"/>
        <v>0</v>
      </c>
      <c r="F26" s="492">
        <f t="shared" si="7"/>
        <v>0</v>
      </c>
      <c r="G26" s="492">
        <f t="shared" si="7"/>
        <v>0</v>
      </c>
      <c r="H26" s="493">
        <f t="shared" si="7"/>
        <v>0</v>
      </c>
      <c r="I26" s="492">
        <f t="shared" si="7"/>
        <v>0</v>
      </c>
      <c r="J26" s="492">
        <f>+J27+J28+J29+J30</f>
        <v>0</v>
      </c>
      <c r="K26" s="494">
        <f t="shared" si="7"/>
        <v>0</v>
      </c>
      <c r="L26" s="478">
        <f t="shared" si="0"/>
        <v>0</v>
      </c>
      <c r="M26" s="478">
        <f t="shared" si="1"/>
        <v>36939429</v>
      </c>
      <c r="N26" s="478">
        <f t="shared" si="2"/>
        <v>0</v>
      </c>
    </row>
    <row r="27" spans="1:14" s="479" customFormat="1" ht="15">
      <c r="A27" s="485" t="s">
        <v>680</v>
      </c>
      <c r="B27" s="481" t="s">
        <v>408</v>
      </c>
      <c r="C27" s="489"/>
      <c r="D27" s="489"/>
      <c r="E27" s="490"/>
      <c r="F27" s="489"/>
      <c r="G27" s="489"/>
      <c r="H27" s="490"/>
      <c r="I27" s="489"/>
      <c r="J27" s="489"/>
      <c r="K27" s="491"/>
      <c r="L27" s="478">
        <f t="shared" si="0"/>
        <v>0</v>
      </c>
      <c r="M27" s="478">
        <f t="shared" si="1"/>
        <v>0</v>
      </c>
      <c r="N27" s="478">
        <f t="shared" si="2"/>
        <v>0</v>
      </c>
    </row>
    <row r="28" spans="1:14" s="479" customFormat="1" ht="15">
      <c r="A28" s="485" t="s">
        <v>681</v>
      </c>
      <c r="B28" s="481" t="s">
        <v>411</v>
      </c>
      <c r="C28" s="489"/>
      <c r="D28" s="489"/>
      <c r="E28" s="490"/>
      <c r="F28" s="489"/>
      <c r="G28" s="489"/>
      <c r="H28" s="490"/>
      <c r="I28" s="489"/>
      <c r="J28" s="489"/>
      <c r="K28" s="491"/>
      <c r="L28" s="478">
        <f t="shared" si="0"/>
        <v>0</v>
      </c>
      <c r="M28" s="478">
        <f t="shared" si="1"/>
        <v>0</v>
      </c>
      <c r="N28" s="478">
        <f t="shared" si="2"/>
        <v>0</v>
      </c>
    </row>
    <row r="29" spans="1:14" s="479" customFormat="1" ht="15">
      <c r="A29" s="485" t="s">
        <v>682</v>
      </c>
      <c r="B29" s="481" t="s">
        <v>414</v>
      </c>
      <c r="C29" s="489"/>
      <c r="D29" s="489"/>
      <c r="E29" s="490"/>
      <c r="F29" s="489"/>
      <c r="G29" s="489"/>
      <c r="H29" s="490"/>
      <c r="I29" s="489"/>
      <c r="J29" s="489"/>
      <c r="K29" s="491"/>
      <c r="L29" s="478">
        <f t="shared" si="0"/>
        <v>0</v>
      </c>
      <c r="M29" s="478">
        <f t="shared" si="1"/>
        <v>0</v>
      </c>
      <c r="N29" s="478">
        <f t="shared" si="2"/>
        <v>0</v>
      </c>
    </row>
    <row r="30" spans="1:14" s="479" customFormat="1" ht="15">
      <c r="A30" s="485" t="s">
        <v>683</v>
      </c>
      <c r="B30" s="481" t="s">
        <v>416</v>
      </c>
      <c r="C30" s="489"/>
      <c r="D30" s="489">
        <v>36939429</v>
      </c>
      <c r="E30" s="490"/>
      <c r="F30" s="489"/>
      <c r="G30" s="489"/>
      <c r="H30" s="490"/>
      <c r="I30" s="489"/>
      <c r="J30" s="489"/>
      <c r="K30" s="491"/>
      <c r="L30" s="478">
        <f t="shared" si="0"/>
        <v>0</v>
      </c>
      <c r="M30" s="478">
        <f t="shared" si="1"/>
        <v>36939429</v>
      </c>
      <c r="N30" s="478">
        <f t="shared" si="2"/>
        <v>0</v>
      </c>
    </row>
    <row r="31" spans="1:14" s="479" customFormat="1" ht="15">
      <c r="A31" s="480" t="s">
        <v>684</v>
      </c>
      <c r="B31" s="481" t="s">
        <v>419</v>
      </c>
      <c r="C31" s="492">
        <f aca="true" t="shared" si="8" ref="C31:K31">+C32+C33+C34+C35</f>
        <v>0</v>
      </c>
      <c r="D31" s="492">
        <f t="shared" si="8"/>
        <v>0</v>
      </c>
      <c r="E31" s="493">
        <f t="shared" si="8"/>
        <v>0</v>
      </c>
      <c r="F31" s="492">
        <f t="shared" si="8"/>
        <v>0</v>
      </c>
      <c r="G31" s="492">
        <f t="shared" si="8"/>
        <v>0</v>
      </c>
      <c r="H31" s="493">
        <f t="shared" si="8"/>
        <v>0</v>
      </c>
      <c r="I31" s="492">
        <f t="shared" si="8"/>
        <v>0</v>
      </c>
      <c r="J31" s="492">
        <f>+J32+J33+J34+J35</f>
        <v>0</v>
      </c>
      <c r="K31" s="494">
        <f t="shared" si="8"/>
        <v>0</v>
      </c>
      <c r="L31" s="478">
        <f t="shared" si="0"/>
        <v>0</v>
      </c>
      <c r="M31" s="478">
        <f t="shared" si="1"/>
        <v>0</v>
      </c>
      <c r="N31" s="478">
        <f t="shared" si="2"/>
        <v>0</v>
      </c>
    </row>
    <row r="32" spans="1:14" s="479" customFormat="1" ht="15">
      <c r="A32" s="485" t="s">
        <v>685</v>
      </c>
      <c r="B32" s="481" t="s">
        <v>422</v>
      </c>
      <c r="C32" s="489"/>
      <c r="D32" s="489"/>
      <c r="E32" s="490"/>
      <c r="F32" s="489"/>
      <c r="G32" s="489"/>
      <c r="H32" s="490"/>
      <c r="I32" s="489"/>
      <c r="J32" s="489"/>
      <c r="K32" s="491"/>
      <c r="L32" s="478">
        <f t="shared" si="0"/>
        <v>0</v>
      </c>
      <c r="M32" s="478">
        <f t="shared" si="1"/>
        <v>0</v>
      </c>
      <c r="N32" s="478">
        <f t="shared" si="2"/>
        <v>0</v>
      </c>
    </row>
    <row r="33" spans="1:14" s="479" customFormat="1" ht="20.25">
      <c r="A33" s="485" t="s">
        <v>686</v>
      </c>
      <c r="B33" s="481" t="s">
        <v>425</v>
      </c>
      <c r="C33" s="489"/>
      <c r="D33" s="489"/>
      <c r="E33" s="490"/>
      <c r="F33" s="489"/>
      <c r="G33" s="489"/>
      <c r="H33" s="490"/>
      <c r="I33" s="489"/>
      <c r="J33" s="489"/>
      <c r="K33" s="491"/>
      <c r="L33" s="478">
        <f t="shared" si="0"/>
        <v>0</v>
      </c>
      <c r="M33" s="478">
        <f t="shared" si="1"/>
        <v>0</v>
      </c>
      <c r="N33" s="478">
        <f t="shared" si="2"/>
        <v>0</v>
      </c>
    </row>
    <row r="34" spans="1:14" s="479" customFormat="1" ht="15">
      <c r="A34" s="485" t="s">
        <v>687</v>
      </c>
      <c r="B34" s="481" t="s">
        <v>456</v>
      </c>
      <c r="C34" s="489"/>
      <c r="D34" s="489"/>
      <c r="E34" s="490"/>
      <c r="F34" s="489"/>
      <c r="G34" s="489"/>
      <c r="H34" s="490"/>
      <c r="I34" s="489"/>
      <c r="J34" s="489"/>
      <c r="K34" s="491"/>
      <c r="L34" s="478">
        <f t="shared" si="0"/>
        <v>0</v>
      </c>
      <c r="M34" s="478">
        <f t="shared" si="1"/>
        <v>0</v>
      </c>
      <c r="N34" s="478">
        <f t="shared" si="2"/>
        <v>0</v>
      </c>
    </row>
    <row r="35" spans="1:14" s="479" customFormat="1" ht="15">
      <c r="A35" s="485" t="s">
        <v>688</v>
      </c>
      <c r="B35" s="481" t="s">
        <v>459</v>
      </c>
      <c r="C35" s="489"/>
      <c r="D35" s="489"/>
      <c r="E35" s="490"/>
      <c r="F35" s="489"/>
      <c r="G35" s="489"/>
      <c r="H35" s="490"/>
      <c r="I35" s="489"/>
      <c r="J35" s="489"/>
      <c r="K35" s="491"/>
      <c r="L35" s="478">
        <f t="shared" si="0"/>
        <v>0</v>
      </c>
      <c r="M35" s="478">
        <f t="shared" si="1"/>
        <v>0</v>
      </c>
      <c r="N35" s="478">
        <f t="shared" si="2"/>
        <v>0</v>
      </c>
    </row>
    <row r="36" spans="1:14" s="479" customFormat="1" ht="15">
      <c r="A36" s="480" t="s">
        <v>689</v>
      </c>
      <c r="B36" s="481" t="s">
        <v>460</v>
      </c>
      <c r="C36" s="492">
        <f aca="true" t="shared" si="9" ref="C36:K36">+C37+C42+C47</f>
        <v>0</v>
      </c>
      <c r="D36" s="492">
        <f t="shared" si="9"/>
        <v>1579660</v>
      </c>
      <c r="E36" s="493">
        <f t="shared" si="9"/>
        <v>0</v>
      </c>
      <c r="F36" s="492">
        <f t="shared" si="9"/>
        <v>0</v>
      </c>
      <c r="G36" s="492">
        <f t="shared" si="9"/>
        <v>0</v>
      </c>
      <c r="H36" s="493">
        <f t="shared" si="9"/>
        <v>0</v>
      </c>
      <c r="I36" s="492">
        <f t="shared" si="9"/>
        <v>0</v>
      </c>
      <c r="J36" s="492">
        <f>+J37+J42+J47</f>
        <v>0</v>
      </c>
      <c r="K36" s="494">
        <f t="shared" si="9"/>
        <v>0</v>
      </c>
      <c r="L36" s="478">
        <f t="shared" si="0"/>
        <v>0</v>
      </c>
      <c r="M36" s="478">
        <f t="shared" si="1"/>
        <v>1579660</v>
      </c>
      <c r="N36" s="478">
        <f t="shared" si="2"/>
        <v>0</v>
      </c>
    </row>
    <row r="37" spans="1:14" s="479" customFormat="1" ht="15">
      <c r="A37" s="480" t="s">
        <v>690</v>
      </c>
      <c r="B37" s="481" t="s">
        <v>570</v>
      </c>
      <c r="C37" s="492">
        <f aca="true" t="shared" si="10" ref="C37:K37">+C38+C39+C40+C41</f>
        <v>0</v>
      </c>
      <c r="D37" s="492">
        <f t="shared" si="10"/>
        <v>1579660</v>
      </c>
      <c r="E37" s="493">
        <f t="shared" si="10"/>
        <v>0</v>
      </c>
      <c r="F37" s="492">
        <f t="shared" si="10"/>
        <v>0</v>
      </c>
      <c r="G37" s="492">
        <f t="shared" si="10"/>
        <v>0</v>
      </c>
      <c r="H37" s="493">
        <f t="shared" si="10"/>
        <v>0</v>
      </c>
      <c r="I37" s="492">
        <f t="shared" si="10"/>
        <v>0</v>
      </c>
      <c r="J37" s="492">
        <f>+J38+J39+J40+J41</f>
        <v>0</v>
      </c>
      <c r="K37" s="494">
        <f t="shared" si="10"/>
        <v>0</v>
      </c>
      <c r="L37" s="478">
        <f t="shared" si="0"/>
        <v>0</v>
      </c>
      <c r="M37" s="478">
        <f t="shared" si="1"/>
        <v>1579660</v>
      </c>
      <c r="N37" s="478">
        <f t="shared" si="2"/>
        <v>0</v>
      </c>
    </row>
    <row r="38" spans="1:14" s="479" customFormat="1" ht="15">
      <c r="A38" s="485" t="s">
        <v>691</v>
      </c>
      <c r="B38" s="481" t="s">
        <v>571</v>
      </c>
      <c r="C38" s="489"/>
      <c r="D38" s="489"/>
      <c r="E38" s="490"/>
      <c r="F38" s="489"/>
      <c r="G38" s="489"/>
      <c r="H38" s="490"/>
      <c r="I38" s="489"/>
      <c r="J38" s="489"/>
      <c r="K38" s="491"/>
      <c r="L38" s="478">
        <f t="shared" si="0"/>
        <v>0</v>
      </c>
      <c r="M38" s="478">
        <f t="shared" si="1"/>
        <v>0</v>
      </c>
      <c r="N38" s="478">
        <f t="shared" si="2"/>
        <v>0</v>
      </c>
    </row>
    <row r="39" spans="1:14" s="479" customFormat="1" ht="15">
      <c r="A39" s="485" t="s">
        <v>692</v>
      </c>
      <c r="B39" s="481" t="s">
        <v>572</v>
      </c>
      <c r="C39" s="489"/>
      <c r="D39" s="489"/>
      <c r="E39" s="490"/>
      <c r="F39" s="489"/>
      <c r="G39" s="489"/>
      <c r="H39" s="490"/>
      <c r="I39" s="489"/>
      <c r="J39" s="489"/>
      <c r="K39" s="491"/>
      <c r="L39" s="478">
        <f t="shared" si="0"/>
        <v>0</v>
      </c>
      <c r="M39" s="478">
        <f t="shared" si="1"/>
        <v>0</v>
      </c>
      <c r="N39" s="478">
        <f t="shared" si="2"/>
        <v>0</v>
      </c>
    </row>
    <row r="40" spans="1:14" s="479" customFormat="1" ht="15">
      <c r="A40" s="485" t="s">
        <v>693</v>
      </c>
      <c r="B40" s="481" t="s">
        <v>694</v>
      </c>
      <c r="C40" s="489"/>
      <c r="D40" s="489"/>
      <c r="E40" s="490"/>
      <c r="F40" s="489"/>
      <c r="G40" s="489"/>
      <c r="H40" s="490"/>
      <c r="I40" s="489"/>
      <c r="J40" s="489"/>
      <c r="K40" s="491"/>
      <c r="L40" s="478">
        <f t="shared" si="0"/>
        <v>0</v>
      </c>
      <c r="M40" s="478">
        <f t="shared" si="1"/>
        <v>0</v>
      </c>
      <c r="N40" s="478">
        <f t="shared" si="2"/>
        <v>0</v>
      </c>
    </row>
    <row r="41" spans="1:14" s="479" customFormat="1" ht="15">
      <c r="A41" s="485" t="s">
        <v>695</v>
      </c>
      <c r="B41" s="481" t="s">
        <v>696</v>
      </c>
      <c r="C41" s="489"/>
      <c r="D41" s="489">
        <v>1579660</v>
      </c>
      <c r="E41" s="490"/>
      <c r="F41" s="489"/>
      <c r="G41" s="489"/>
      <c r="H41" s="490"/>
      <c r="I41" s="489"/>
      <c r="J41" s="489"/>
      <c r="K41" s="491"/>
      <c r="L41" s="478">
        <f aca="true" t="shared" si="11" ref="L41:L70">C41+F41+I41</f>
        <v>0</v>
      </c>
      <c r="M41" s="478">
        <f aca="true" t="shared" si="12" ref="M41:M70">D41+G41+J41</f>
        <v>1579660</v>
      </c>
      <c r="N41" s="478">
        <f aca="true" t="shared" si="13" ref="N41:N70">E41+H41+K41</f>
        <v>0</v>
      </c>
    </row>
    <row r="42" spans="1:14" s="479" customFormat="1" ht="15">
      <c r="A42" s="480" t="s">
        <v>697</v>
      </c>
      <c r="B42" s="481" t="s">
        <v>698</v>
      </c>
      <c r="C42" s="492">
        <f aca="true" t="shared" si="14" ref="C42:K42">+C43+C44+C45+C46</f>
        <v>0</v>
      </c>
      <c r="D42" s="492">
        <f t="shared" si="14"/>
        <v>0</v>
      </c>
      <c r="E42" s="493">
        <f t="shared" si="14"/>
        <v>0</v>
      </c>
      <c r="F42" s="492">
        <f t="shared" si="14"/>
        <v>0</v>
      </c>
      <c r="G42" s="492">
        <f t="shared" si="14"/>
        <v>0</v>
      </c>
      <c r="H42" s="493">
        <f t="shared" si="14"/>
        <v>0</v>
      </c>
      <c r="I42" s="492">
        <f t="shared" si="14"/>
        <v>0</v>
      </c>
      <c r="J42" s="492">
        <f>+J43+J44+J45+J46</f>
        <v>0</v>
      </c>
      <c r="K42" s="494">
        <f t="shared" si="14"/>
        <v>0</v>
      </c>
      <c r="L42" s="478">
        <f t="shared" si="11"/>
        <v>0</v>
      </c>
      <c r="M42" s="478">
        <f t="shared" si="12"/>
        <v>0</v>
      </c>
      <c r="N42" s="478">
        <f t="shared" si="13"/>
        <v>0</v>
      </c>
    </row>
    <row r="43" spans="1:14" s="479" customFormat="1" ht="15">
      <c r="A43" s="485" t="s">
        <v>699</v>
      </c>
      <c r="B43" s="481" t="s">
        <v>700</v>
      </c>
      <c r="C43" s="489"/>
      <c r="D43" s="489"/>
      <c r="E43" s="490"/>
      <c r="F43" s="489"/>
      <c r="G43" s="489"/>
      <c r="H43" s="490"/>
      <c r="I43" s="489"/>
      <c r="J43" s="489"/>
      <c r="K43" s="491"/>
      <c r="L43" s="478">
        <f t="shared" si="11"/>
        <v>0</v>
      </c>
      <c r="M43" s="478">
        <f t="shared" si="12"/>
        <v>0</v>
      </c>
      <c r="N43" s="478">
        <f t="shared" si="13"/>
        <v>0</v>
      </c>
    </row>
    <row r="44" spans="1:14" s="479" customFormat="1" ht="20.25">
      <c r="A44" s="485" t="s">
        <v>701</v>
      </c>
      <c r="B44" s="481" t="s">
        <v>702</v>
      </c>
      <c r="C44" s="489"/>
      <c r="D44" s="489"/>
      <c r="E44" s="490"/>
      <c r="F44" s="489"/>
      <c r="G44" s="489"/>
      <c r="H44" s="490"/>
      <c r="I44" s="489"/>
      <c r="J44" s="489"/>
      <c r="K44" s="491"/>
      <c r="L44" s="478">
        <f t="shared" si="11"/>
        <v>0</v>
      </c>
      <c r="M44" s="478">
        <f t="shared" si="12"/>
        <v>0</v>
      </c>
      <c r="N44" s="478">
        <f t="shared" si="13"/>
        <v>0</v>
      </c>
    </row>
    <row r="45" spans="1:14" s="479" customFormat="1" ht="15">
      <c r="A45" s="485" t="s">
        <v>703</v>
      </c>
      <c r="B45" s="481" t="s">
        <v>704</v>
      </c>
      <c r="C45" s="489"/>
      <c r="D45" s="489"/>
      <c r="E45" s="490"/>
      <c r="F45" s="489"/>
      <c r="G45" s="489"/>
      <c r="H45" s="490"/>
      <c r="I45" s="489"/>
      <c r="J45" s="489"/>
      <c r="K45" s="491"/>
      <c r="L45" s="478">
        <f t="shared" si="11"/>
        <v>0</v>
      </c>
      <c r="M45" s="478">
        <f t="shared" si="12"/>
        <v>0</v>
      </c>
      <c r="N45" s="478">
        <f t="shared" si="13"/>
        <v>0</v>
      </c>
    </row>
    <row r="46" spans="1:14" s="479" customFormat="1" ht="15">
      <c r="A46" s="485" t="s">
        <v>705</v>
      </c>
      <c r="B46" s="481" t="s">
        <v>706</v>
      </c>
      <c r="C46" s="489"/>
      <c r="D46" s="489"/>
      <c r="E46" s="490"/>
      <c r="F46" s="489"/>
      <c r="G46" s="489"/>
      <c r="H46" s="490"/>
      <c r="I46" s="489"/>
      <c r="J46" s="489"/>
      <c r="K46" s="491"/>
      <c r="L46" s="478">
        <f t="shared" si="11"/>
        <v>0</v>
      </c>
      <c r="M46" s="478">
        <f t="shared" si="12"/>
        <v>0</v>
      </c>
      <c r="N46" s="478">
        <f t="shared" si="13"/>
        <v>0</v>
      </c>
    </row>
    <row r="47" spans="1:14" s="479" customFormat="1" ht="15">
      <c r="A47" s="480" t="s">
        <v>707</v>
      </c>
      <c r="B47" s="481" t="s">
        <v>708</v>
      </c>
      <c r="C47" s="492">
        <f aca="true" t="shared" si="15" ref="C47:K47">+C48+C49+C50+C51</f>
        <v>0</v>
      </c>
      <c r="D47" s="492">
        <f t="shared" si="15"/>
        <v>0</v>
      </c>
      <c r="E47" s="493">
        <f t="shared" si="15"/>
        <v>0</v>
      </c>
      <c r="F47" s="492">
        <f t="shared" si="15"/>
        <v>0</v>
      </c>
      <c r="G47" s="492">
        <f t="shared" si="15"/>
        <v>0</v>
      </c>
      <c r="H47" s="493">
        <f t="shared" si="15"/>
        <v>0</v>
      </c>
      <c r="I47" s="492">
        <f t="shared" si="15"/>
        <v>0</v>
      </c>
      <c r="J47" s="492">
        <f>+J48+J49+J50+J51</f>
        <v>0</v>
      </c>
      <c r="K47" s="494">
        <f t="shared" si="15"/>
        <v>0</v>
      </c>
      <c r="L47" s="478">
        <f t="shared" si="11"/>
        <v>0</v>
      </c>
      <c r="M47" s="478">
        <f t="shared" si="12"/>
        <v>0</v>
      </c>
      <c r="N47" s="478">
        <f t="shared" si="13"/>
        <v>0</v>
      </c>
    </row>
    <row r="48" spans="1:14" s="479" customFormat="1" ht="15">
      <c r="A48" s="485" t="s">
        <v>709</v>
      </c>
      <c r="B48" s="481" t="s">
        <v>710</v>
      </c>
      <c r="C48" s="489"/>
      <c r="D48" s="489"/>
      <c r="E48" s="490"/>
      <c r="F48" s="489"/>
      <c r="G48" s="489"/>
      <c r="H48" s="490"/>
      <c r="I48" s="489"/>
      <c r="J48" s="489"/>
      <c r="K48" s="491"/>
      <c r="L48" s="478">
        <f t="shared" si="11"/>
        <v>0</v>
      </c>
      <c r="M48" s="478">
        <f t="shared" si="12"/>
        <v>0</v>
      </c>
      <c r="N48" s="478">
        <f t="shared" si="13"/>
        <v>0</v>
      </c>
    </row>
    <row r="49" spans="1:14" s="479" customFormat="1" ht="20.25">
      <c r="A49" s="485" t="s">
        <v>711</v>
      </c>
      <c r="B49" s="481" t="s">
        <v>712</v>
      </c>
      <c r="C49" s="489"/>
      <c r="D49" s="489"/>
      <c r="E49" s="490"/>
      <c r="F49" s="489"/>
      <c r="G49" s="489"/>
      <c r="H49" s="490"/>
      <c r="I49" s="489"/>
      <c r="J49" s="489"/>
      <c r="K49" s="491"/>
      <c r="L49" s="478">
        <f t="shared" si="11"/>
        <v>0</v>
      </c>
      <c r="M49" s="478">
        <f t="shared" si="12"/>
        <v>0</v>
      </c>
      <c r="N49" s="478">
        <f t="shared" si="13"/>
        <v>0</v>
      </c>
    </row>
    <row r="50" spans="1:14" s="479" customFormat="1" ht="15">
      <c r="A50" s="485" t="s">
        <v>713</v>
      </c>
      <c r="B50" s="481" t="s">
        <v>714</v>
      </c>
      <c r="C50" s="489"/>
      <c r="D50" s="489"/>
      <c r="E50" s="490"/>
      <c r="F50" s="489"/>
      <c r="G50" s="489"/>
      <c r="H50" s="490"/>
      <c r="I50" s="489"/>
      <c r="J50" s="489"/>
      <c r="K50" s="491"/>
      <c r="L50" s="478">
        <f t="shared" si="11"/>
        <v>0</v>
      </c>
      <c r="M50" s="478">
        <f t="shared" si="12"/>
        <v>0</v>
      </c>
      <c r="N50" s="478">
        <f t="shared" si="13"/>
        <v>0</v>
      </c>
    </row>
    <row r="51" spans="1:14" s="479" customFormat="1" ht="15">
      <c r="A51" s="485" t="s">
        <v>715</v>
      </c>
      <c r="B51" s="481" t="s">
        <v>716</v>
      </c>
      <c r="C51" s="489"/>
      <c r="D51" s="489"/>
      <c r="E51" s="490"/>
      <c r="F51" s="489"/>
      <c r="G51" s="489"/>
      <c r="H51" s="490"/>
      <c r="I51" s="489"/>
      <c r="J51" s="489"/>
      <c r="K51" s="491"/>
      <c r="L51" s="478">
        <f t="shared" si="11"/>
        <v>0</v>
      </c>
      <c r="M51" s="478">
        <f t="shared" si="12"/>
        <v>0</v>
      </c>
      <c r="N51" s="478">
        <f t="shared" si="13"/>
        <v>0</v>
      </c>
    </row>
    <row r="52" spans="1:14" s="479" customFormat="1" ht="15">
      <c r="A52" s="480" t="s">
        <v>717</v>
      </c>
      <c r="B52" s="481" t="s">
        <v>718</v>
      </c>
      <c r="C52" s="489"/>
      <c r="D52" s="489"/>
      <c r="E52" s="490"/>
      <c r="F52" s="489"/>
      <c r="G52" s="489"/>
      <c r="H52" s="490"/>
      <c r="I52" s="489"/>
      <c r="J52" s="489"/>
      <c r="K52" s="491"/>
      <c r="L52" s="478">
        <f t="shared" si="11"/>
        <v>0</v>
      </c>
      <c r="M52" s="478">
        <f t="shared" si="12"/>
        <v>0</v>
      </c>
      <c r="N52" s="478">
        <f t="shared" si="13"/>
        <v>0</v>
      </c>
    </row>
    <row r="53" spans="1:14" s="479" customFormat="1" ht="20.25">
      <c r="A53" s="480" t="s">
        <v>719</v>
      </c>
      <c r="B53" s="481" t="s">
        <v>720</v>
      </c>
      <c r="C53" s="492">
        <f aca="true" t="shared" si="16" ref="C53:K53">+C9+C10+C36+C52</f>
        <v>0</v>
      </c>
      <c r="D53" s="492">
        <f t="shared" si="16"/>
        <v>1481690320</v>
      </c>
      <c r="E53" s="493">
        <f t="shared" si="16"/>
        <v>0</v>
      </c>
      <c r="F53" s="492">
        <f t="shared" si="16"/>
        <v>0</v>
      </c>
      <c r="G53" s="492">
        <f t="shared" si="16"/>
        <v>0</v>
      </c>
      <c r="H53" s="493">
        <f t="shared" si="16"/>
        <v>0</v>
      </c>
      <c r="I53" s="492">
        <f t="shared" si="16"/>
        <v>0</v>
      </c>
      <c r="J53" s="492">
        <f>+J9+J10+J36+J52</f>
        <v>0</v>
      </c>
      <c r="K53" s="494">
        <f t="shared" si="16"/>
        <v>0</v>
      </c>
      <c r="L53" s="478">
        <f t="shared" si="11"/>
        <v>0</v>
      </c>
      <c r="M53" s="478">
        <f t="shared" si="12"/>
        <v>1481690320</v>
      </c>
      <c r="N53" s="478">
        <f t="shared" si="13"/>
        <v>0</v>
      </c>
    </row>
    <row r="54" spans="1:14" s="479" customFormat="1" ht="15">
      <c r="A54" s="480" t="s">
        <v>721</v>
      </c>
      <c r="B54" s="481" t="s">
        <v>722</v>
      </c>
      <c r="C54" s="489"/>
      <c r="D54" s="489"/>
      <c r="E54" s="490"/>
      <c r="F54" s="489"/>
      <c r="G54" s="489"/>
      <c r="H54" s="490"/>
      <c r="I54" s="489"/>
      <c r="J54" s="489"/>
      <c r="K54" s="491"/>
      <c r="L54" s="478">
        <f t="shared" si="11"/>
        <v>0</v>
      </c>
      <c r="M54" s="478">
        <f t="shared" si="12"/>
        <v>0</v>
      </c>
      <c r="N54" s="478">
        <f t="shared" si="13"/>
        <v>0</v>
      </c>
    </row>
    <row r="55" spans="1:14" s="479" customFormat="1" ht="15">
      <c r="A55" s="480" t="s">
        <v>723</v>
      </c>
      <c r="B55" s="481" t="s">
        <v>724</v>
      </c>
      <c r="C55" s="489"/>
      <c r="D55" s="489"/>
      <c r="E55" s="490"/>
      <c r="F55" s="489"/>
      <c r="G55" s="489"/>
      <c r="H55" s="490"/>
      <c r="I55" s="489"/>
      <c r="J55" s="489"/>
      <c r="K55" s="491"/>
      <c r="L55" s="478">
        <f t="shared" si="11"/>
        <v>0</v>
      </c>
      <c r="M55" s="478">
        <f t="shared" si="12"/>
        <v>0</v>
      </c>
      <c r="N55" s="478">
        <f t="shared" si="13"/>
        <v>0</v>
      </c>
    </row>
    <row r="56" spans="1:14" s="479" customFormat="1" ht="15">
      <c r="A56" s="480" t="s">
        <v>725</v>
      </c>
      <c r="B56" s="481" t="s">
        <v>726</v>
      </c>
      <c r="C56" s="492">
        <f aca="true" t="shared" si="17" ref="C56:K56">+C54+C55</f>
        <v>0</v>
      </c>
      <c r="D56" s="492">
        <f t="shared" si="17"/>
        <v>0</v>
      </c>
      <c r="E56" s="493">
        <f t="shared" si="17"/>
        <v>0</v>
      </c>
      <c r="F56" s="492">
        <f t="shared" si="17"/>
        <v>0</v>
      </c>
      <c r="G56" s="492">
        <f t="shared" si="17"/>
        <v>0</v>
      </c>
      <c r="H56" s="493">
        <f t="shared" si="17"/>
        <v>0</v>
      </c>
      <c r="I56" s="492">
        <f t="shared" si="17"/>
        <v>0</v>
      </c>
      <c r="J56" s="492">
        <f>+J54+J55</f>
        <v>0</v>
      </c>
      <c r="K56" s="494">
        <f t="shared" si="17"/>
        <v>0</v>
      </c>
      <c r="L56" s="478">
        <f t="shared" si="11"/>
        <v>0</v>
      </c>
      <c r="M56" s="478">
        <f t="shared" si="12"/>
        <v>0</v>
      </c>
      <c r="N56" s="478">
        <f t="shared" si="13"/>
        <v>0</v>
      </c>
    </row>
    <row r="57" spans="1:14" s="479" customFormat="1" ht="15">
      <c r="A57" s="480" t="s">
        <v>727</v>
      </c>
      <c r="B57" s="481" t="s">
        <v>728</v>
      </c>
      <c r="C57" s="489"/>
      <c r="D57" s="489"/>
      <c r="E57" s="490"/>
      <c r="F57" s="489"/>
      <c r="G57" s="489"/>
      <c r="H57" s="490"/>
      <c r="I57" s="489"/>
      <c r="J57" s="489"/>
      <c r="K57" s="491"/>
      <c r="L57" s="478">
        <f t="shared" si="11"/>
        <v>0</v>
      </c>
      <c r="M57" s="478">
        <f t="shared" si="12"/>
        <v>0</v>
      </c>
      <c r="N57" s="478">
        <f t="shared" si="13"/>
        <v>0</v>
      </c>
    </row>
    <row r="58" spans="1:14" s="479" customFormat="1" ht="15">
      <c r="A58" s="480" t="s">
        <v>729</v>
      </c>
      <c r="B58" s="481" t="s">
        <v>730</v>
      </c>
      <c r="C58" s="489"/>
      <c r="D58" s="489">
        <v>29945</v>
      </c>
      <c r="E58" s="490"/>
      <c r="F58" s="489"/>
      <c r="G58" s="489">
        <v>19500</v>
      </c>
      <c r="H58" s="490"/>
      <c r="I58" s="489"/>
      <c r="J58" s="489">
        <v>0</v>
      </c>
      <c r="K58" s="491"/>
      <c r="L58" s="478">
        <f t="shared" si="11"/>
        <v>0</v>
      </c>
      <c r="M58" s="478">
        <f t="shared" si="12"/>
        <v>49445</v>
      </c>
      <c r="N58" s="478">
        <f t="shared" si="13"/>
        <v>0</v>
      </c>
    </row>
    <row r="59" spans="1:14" s="479" customFormat="1" ht="15">
      <c r="A59" s="480" t="s">
        <v>731</v>
      </c>
      <c r="B59" s="481" t="s">
        <v>732</v>
      </c>
      <c r="C59" s="489"/>
      <c r="D59" s="489">
        <v>198999400</v>
      </c>
      <c r="E59" s="490"/>
      <c r="F59" s="489"/>
      <c r="G59" s="489">
        <v>4295167</v>
      </c>
      <c r="H59" s="490"/>
      <c r="I59" s="489"/>
      <c r="J59" s="489">
        <v>82961</v>
      </c>
      <c r="K59" s="491"/>
      <c r="L59" s="478">
        <f t="shared" si="11"/>
        <v>0</v>
      </c>
      <c r="M59" s="478">
        <f t="shared" si="12"/>
        <v>203377528</v>
      </c>
      <c r="N59" s="478">
        <f t="shared" si="13"/>
        <v>0</v>
      </c>
    </row>
    <row r="60" spans="1:14" s="479" customFormat="1" ht="15">
      <c r="A60" s="480" t="s">
        <v>733</v>
      </c>
      <c r="B60" s="481" t="s">
        <v>734</v>
      </c>
      <c r="C60" s="489"/>
      <c r="D60" s="489"/>
      <c r="E60" s="490"/>
      <c r="F60" s="489"/>
      <c r="G60" s="489"/>
      <c r="H60" s="490"/>
      <c r="I60" s="489"/>
      <c r="J60" s="489"/>
      <c r="K60" s="491"/>
      <c r="L60" s="478">
        <f t="shared" si="11"/>
        <v>0</v>
      </c>
      <c r="M60" s="478">
        <f t="shared" si="12"/>
        <v>0</v>
      </c>
      <c r="N60" s="478">
        <f t="shared" si="13"/>
        <v>0</v>
      </c>
    </row>
    <row r="61" spans="1:14" s="479" customFormat="1" ht="15">
      <c r="A61" s="480" t="s">
        <v>735</v>
      </c>
      <c r="B61" s="481" t="s">
        <v>736</v>
      </c>
      <c r="C61" s="492">
        <f aca="true" t="shared" si="18" ref="C61:K61">+C57+C58+C59+C60</f>
        <v>0</v>
      </c>
      <c r="D61" s="492">
        <f t="shared" si="18"/>
        <v>199029345</v>
      </c>
      <c r="E61" s="493">
        <f t="shared" si="18"/>
        <v>0</v>
      </c>
      <c r="F61" s="492">
        <f t="shared" si="18"/>
        <v>0</v>
      </c>
      <c r="G61" s="492">
        <f t="shared" si="18"/>
        <v>4314667</v>
      </c>
      <c r="H61" s="493">
        <f t="shared" si="18"/>
        <v>0</v>
      </c>
      <c r="I61" s="492">
        <f t="shared" si="18"/>
        <v>0</v>
      </c>
      <c r="J61" s="492">
        <f>+J57+J58+J59+J60</f>
        <v>82961</v>
      </c>
      <c r="K61" s="494">
        <f t="shared" si="18"/>
        <v>0</v>
      </c>
      <c r="L61" s="478">
        <f t="shared" si="11"/>
        <v>0</v>
      </c>
      <c r="M61" s="478">
        <f t="shared" si="12"/>
        <v>203426973</v>
      </c>
      <c r="N61" s="478">
        <f t="shared" si="13"/>
        <v>0</v>
      </c>
    </row>
    <row r="62" spans="1:14" s="479" customFormat="1" ht="15">
      <c r="A62" s="480" t="s">
        <v>737</v>
      </c>
      <c r="B62" s="481" t="s">
        <v>738</v>
      </c>
      <c r="C62" s="489"/>
      <c r="D62" s="489">
        <v>9056725</v>
      </c>
      <c r="E62" s="490"/>
      <c r="F62" s="489"/>
      <c r="G62" s="489"/>
      <c r="H62" s="490"/>
      <c r="I62" s="489"/>
      <c r="J62" s="489"/>
      <c r="K62" s="491"/>
      <c r="L62" s="478">
        <f t="shared" si="11"/>
        <v>0</v>
      </c>
      <c r="M62" s="478">
        <f t="shared" si="12"/>
        <v>9056725</v>
      </c>
      <c r="N62" s="478">
        <f t="shared" si="13"/>
        <v>0</v>
      </c>
    </row>
    <row r="63" spans="1:14" s="479" customFormat="1" ht="15">
      <c r="A63" s="480" t="s">
        <v>739</v>
      </c>
      <c r="B63" s="481" t="s">
        <v>740</v>
      </c>
      <c r="C63" s="489"/>
      <c r="D63" s="489">
        <v>30000000</v>
      </c>
      <c r="E63" s="490"/>
      <c r="F63" s="489"/>
      <c r="G63" s="489"/>
      <c r="H63" s="490"/>
      <c r="I63" s="489"/>
      <c r="J63" s="489"/>
      <c r="K63" s="491"/>
      <c r="L63" s="478">
        <f t="shared" si="11"/>
        <v>0</v>
      </c>
      <c r="M63" s="478">
        <f t="shared" si="12"/>
        <v>30000000</v>
      </c>
      <c r="N63" s="478">
        <f t="shared" si="13"/>
        <v>0</v>
      </c>
    </row>
    <row r="64" spans="1:14" s="479" customFormat="1" ht="15">
      <c r="A64" s="480" t="s">
        <v>741</v>
      </c>
      <c r="B64" s="481" t="s">
        <v>742</v>
      </c>
      <c r="C64" s="489"/>
      <c r="D64" s="489">
        <v>63668</v>
      </c>
      <c r="E64" s="490"/>
      <c r="F64" s="489"/>
      <c r="G64" s="489"/>
      <c r="H64" s="490"/>
      <c r="I64" s="489"/>
      <c r="J64" s="489"/>
      <c r="K64" s="491"/>
      <c r="L64" s="478">
        <f t="shared" si="11"/>
        <v>0</v>
      </c>
      <c r="M64" s="478">
        <f t="shared" si="12"/>
        <v>63668</v>
      </c>
      <c r="N64" s="478">
        <f t="shared" si="13"/>
        <v>0</v>
      </c>
    </row>
    <row r="65" spans="1:14" s="479" customFormat="1" ht="15">
      <c r="A65" s="480" t="s">
        <v>743</v>
      </c>
      <c r="B65" s="481" t="s">
        <v>744</v>
      </c>
      <c r="C65" s="492">
        <f aca="true" t="shared" si="19" ref="C65:K65">+C62+C63+C64</f>
        <v>0</v>
      </c>
      <c r="D65" s="492">
        <f t="shared" si="19"/>
        <v>39120393</v>
      </c>
      <c r="E65" s="493">
        <f t="shared" si="19"/>
        <v>0</v>
      </c>
      <c r="F65" s="492">
        <f t="shared" si="19"/>
        <v>0</v>
      </c>
      <c r="G65" s="492">
        <f t="shared" si="19"/>
        <v>0</v>
      </c>
      <c r="H65" s="493">
        <f t="shared" si="19"/>
        <v>0</v>
      </c>
      <c r="I65" s="492">
        <f t="shared" si="19"/>
        <v>0</v>
      </c>
      <c r="J65" s="492">
        <f>+J62+J63+J64</f>
        <v>0</v>
      </c>
      <c r="K65" s="494">
        <f t="shared" si="19"/>
        <v>0</v>
      </c>
      <c r="L65" s="478">
        <f t="shared" si="11"/>
        <v>0</v>
      </c>
      <c r="M65" s="478">
        <f t="shared" si="12"/>
        <v>39120393</v>
      </c>
      <c r="N65" s="478">
        <f t="shared" si="13"/>
        <v>0</v>
      </c>
    </row>
    <row r="66" spans="1:14" s="479" customFormat="1" ht="15">
      <c r="A66" s="480" t="s">
        <v>745</v>
      </c>
      <c r="B66" s="481" t="s">
        <v>746</v>
      </c>
      <c r="C66" s="489"/>
      <c r="D66" s="489"/>
      <c r="E66" s="490"/>
      <c r="F66" s="489"/>
      <c r="G66" s="489">
        <v>134596</v>
      </c>
      <c r="H66" s="490"/>
      <c r="I66" s="489"/>
      <c r="J66" s="489"/>
      <c r="K66" s="491"/>
      <c r="L66" s="478">
        <f t="shared" si="11"/>
        <v>0</v>
      </c>
      <c r="M66" s="478">
        <f t="shared" si="12"/>
        <v>134596</v>
      </c>
      <c r="N66" s="478">
        <f t="shared" si="13"/>
        <v>0</v>
      </c>
    </row>
    <row r="67" spans="1:14" s="479" customFormat="1" ht="20.25">
      <c r="A67" s="480" t="s">
        <v>747</v>
      </c>
      <c r="B67" s="481" t="s">
        <v>748</v>
      </c>
      <c r="C67" s="489"/>
      <c r="D67" s="489"/>
      <c r="E67" s="490"/>
      <c r="F67" s="489"/>
      <c r="G67" s="489"/>
      <c r="H67" s="490"/>
      <c r="I67" s="489"/>
      <c r="J67" s="489"/>
      <c r="K67" s="491"/>
      <c r="L67" s="478">
        <f t="shared" si="11"/>
        <v>0</v>
      </c>
      <c r="M67" s="478">
        <f t="shared" si="12"/>
        <v>0</v>
      </c>
      <c r="N67" s="478">
        <f t="shared" si="13"/>
        <v>0</v>
      </c>
    </row>
    <row r="68" spans="1:14" s="479" customFormat="1" ht="15">
      <c r="A68" s="480" t="s">
        <v>749</v>
      </c>
      <c r="B68" s="481" t="s">
        <v>750</v>
      </c>
      <c r="C68" s="492">
        <f>+C66+C67</f>
        <v>0</v>
      </c>
      <c r="D68" s="492">
        <v>98780</v>
      </c>
      <c r="E68" s="493">
        <f>+E66+E67</f>
        <v>0</v>
      </c>
      <c r="F68" s="492">
        <f>+F66+F67</f>
        <v>0</v>
      </c>
      <c r="G68" s="492">
        <v>134596</v>
      </c>
      <c r="H68" s="493">
        <f>+H66+H67</f>
        <v>0</v>
      </c>
      <c r="I68" s="492">
        <f>+I66+I67</f>
        <v>0</v>
      </c>
      <c r="J68" s="492"/>
      <c r="K68" s="494">
        <f>+K66+K67</f>
        <v>0</v>
      </c>
      <c r="L68" s="478">
        <f t="shared" si="11"/>
        <v>0</v>
      </c>
      <c r="M68" s="478">
        <f t="shared" si="12"/>
        <v>233376</v>
      </c>
      <c r="N68" s="478">
        <f t="shared" si="13"/>
        <v>0</v>
      </c>
    </row>
    <row r="69" spans="1:14" s="479" customFormat="1" ht="15">
      <c r="A69" s="480" t="s">
        <v>751</v>
      </c>
      <c r="B69" s="481" t="s">
        <v>752</v>
      </c>
      <c r="C69" s="489"/>
      <c r="D69" s="489">
        <v>91974</v>
      </c>
      <c r="E69" s="490"/>
      <c r="F69" s="489"/>
      <c r="G69" s="489">
        <v>66959</v>
      </c>
      <c r="H69" s="490"/>
      <c r="I69" s="489"/>
      <c r="J69" s="489">
        <v>0</v>
      </c>
      <c r="K69" s="491"/>
      <c r="L69" s="478">
        <f t="shared" si="11"/>
        <v>0</v>
      </c>
      <c r="M69" s="478">
        <f t="shared" si="12"/>
        <v>158933</v>
      </c>
      <c r="N69" s="478">
        <f t="shared" si="13"/>
        <v>0</v>
      </c>
    </row>
    <row r="70" spans="1:14" s="479" customFormat="1" ht="15">
      <c r="A70" s="495" t="s">
        <v>753</v>
      </c>
      <c r="B70" s="496" t="s">
        <v>754</v>
      </c>
      <c r="C70" s="497">
        <f aca="true" t="shared" si="20" ref="C70:K70">+C53+C56+C61+C65+C68+C69</f>
        <v>0</v>
      </c>
      <c r="D70" s="497">
        <f t="shared" si="20"/>
        <v>1720030812</v>
      </c>
      <c r="E70" s="498">
        <f t="shared" si="20"/>
        <v>0</v>
      </c>
      <c r="F70" s="497">
        <f t="shared" si="20"/>
        <v>0</v>
      </c>
      <c r="G70" s="497">
        <f t="shared" si="20"/>
        <v>4516222</v>
      </c>
      <c r="H70" s="498">
        <f t="shared" si="20"/>
        <v>0</v>
      </c>
      <c r="I70" s="497">
        <f t="shared" si="20"/>
        <v>0</v>
      </c>
      <c r="J70" s="497">
        <f>+J53+J56+J61+J65+J68+J69</f>
        <v>82961</v>
      </c>
      <c r="K70" s="499">
        <f t="shared" si="20"/>
        <v>0</v>
      </c>
      <c r="L70" s="478">
        <f t="shared" si="11"/>
        <v>0</v>
      </c>
      <c r="M70" s="478">
        <f t="shared" si="12"/>
        <v>1724629995</v>
      </c>
      <c r="N70" s="478">
        <f t="shared" si="13"/>
        <v>0</v>
      </c>
    </row>
    <row r="71" spans="1:5" ht="15">
      <c r="A71" s="500"/>
      <c r="C71" s="501"/>
      <c r="D71" s="501"/>
      <c r="E71" s="502"/>
    </row>
    <row r="72" spans="1:5" ht="15">
      <c r="A72" s="500"/>
      <c r="C72" s="501"/>
      <c r="D72" s="501"/>
      <c r="E72" s="502"/>
    </row>
    <row r="73" spans="3:5" ht="15">
      <c r="C73" s="501"/>
      <c r="D73" s="501"/>
      <c r="E73" s="502"/>
    </row>
    <row r="74" spans="1:5" ht="15">
      <c r="A74" s="698"/>
      <c r="B74" s="698"/>
      <c r="C74" s="698"/>
      <c r="D74" s="698"/>
      <c r="E74" s="698"/>
    </row>
    <row r="75" spans="1:5" ht="15">
      <c r="A75" s="698"/>
      <c r="B75" s="698"/>
      <c r="C75" s="698"/>
      <c r="D75" s="698"/>
      <c r="E75" s="698"/>
    </row>
  </sheetData>
  <sheetProtection selectLockedCells="1" selectUnlockedCells="1"/>
  <mergeCells count="25">
    <mergeCell ref="A74:E74"/>
    <mergeCell ref="A75:E75"/>
    <mergeCell ref="L5:L6"/>
    <mergeCell ref="M5:M6"/>
    <mergeCell ref="K5:K6"/>
    <mergeCell ref="A5:A7"/>
    <mergeCell ref="B5:B7"/>
    <mergeCell ref="C5:C6"/>
    <mergeCell ref="D5:D6"/>
    <mergeCell ref="E5:E6"/>
    <mergeCell ref="C7:E7"/>
    <mergeCell ref="F7:H7"/>
    <mergeCell ref="I7:K7"/>
    <mergeCell ref="L7:N7"/>
    <mergeCell ref="F5:F6"/>
    <mergeCell ref="G5:G6"/>
    <mergeCell ref="H5:H6"/>
    <mergeCell ref="I5:I6"/>
    <mergeCell ref="J5:J6"/>
    <mergeCell ref="A3:N3"/>
    <mergeCell ref="C4:E4"/>
    <mergeCell ref="F4:H4"/>
    <mergeCell ref="I4:K4"/>
    <mergeCell ref="L4:N4"/>
    <mergeCell ref="N5:N6"/>
  </mergeCells>
  <printOptions horizontalCentered="1"/>
  <pageMargins left="0.7875" right="0.8236111111111111" top="1.088888888888889" bottom="0.9840277777777777" header="0.5" footer="0.5"/>
  <pageSetup fitToHeight="2" fitToWidth="1" horizontalDpi="300" verticalDpi="300" orientation="landscape" paperSize="9" scale="62" r:id="rId1"/>
  <headerFooter alignWithMargins="0">
    <oddFooter>&amp;C&amp;P</oddFooter>
  </headerFooter>
  <rowBreaks count="1" manualBreakCount="1">
    <brk id="4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C2" sqref="C2"/>
    </sheetView>
  </sheetViews>
  <sheetFormatPr defaultColWidth="9.375" defaultRowHeight="12.75"/>
  <cols>
    <col min="1" max="1" width="71.125" style="503" customWidth="1"/>
    <col min="2" max="2" width="6.125" style="504" customWidth="1"/>
    <col min="3" max="3" width="18.00390625" style="505" customWidth="1"/>
    <col min="4" max="16384" width="9.375" style="505" customWidth="1"/>
  </cols>
  <sheetData>
    <row r="1" ht="14.25">
      <c r="C1" s="578" t="str">
        <f>+CONCATENATE("3. sz. tájékoztató tábla a 6/",LEFT(ÖSSZEFÜGGÉSEK!A4,4)+1,".(VII.17.)  önkormányzati rendelethez")</f>
        <v>3. sz. tájékoztató tábla a 6/2020.(VII.17.)  önkormányzati rendelethez</v>
      </c>
    </row>
    <row r="3" spans="1:3" ht="32.25" customHeight="1">
      <c r="A3" s="705" t="s">
        <v>755</v>
      </c>
      <c r="B3" s="705"/>
      <c r="C3" s="705"/>
    </row>
    <row r="4" spans="1:3" ht="15">
      <c r="A4" s="706" t="str">
        <f>+CONCATENATE(LEFT(ÖSSZEFÜGGÉSEK!A4,4),". év")</f>
        <v>2019. év</v>
      </c>
      <c r="B4" s="706"/>
      <c r="C4" s="706"/>
    </row>
    <row r="6" spans="1:3" ht="12.75">
      <c r="A6" s="506" t="s">
        <v>498</v>
      </c>
      <c r="B6" s="702" t="s">
        <v>818</v>
      </c>
      <c r="C6" s="702"/>
    </row>
    <row r="7" spans="1:3" s="507" customFormat="1" ht="31.5" customHeight="1">
      <c r="A7" s="703" t="s">
        <v>757</v>
      </c>
      <c r="B7" s="701" t="s">
        <v>624</v>
      </c>
      <c r="C7" s="704" t="s">
        <v>758</v>
      </c>
    </row>
    <row r="8" spans="1:3" s="507" customFormat="1" ht="12.75">
      <c r="A8" s="703"/>
      <c r="B8" s="701"/>
      <c r="C8" s="704"/>
    </row>
    <row r="9" spans="1:3" s="511" customFormat="1" ht="12.75">
      <c r="A9" s="508" t="s">
        <v>45</v>
      </c>
      <c r="B9" s="509" t="s">
        <v>46</v>
      </c>
      <c r="C9" s="510" t="s">
        <v>47</v>
      </c>
    </row>
    <row r="10" spans="1:3" ht="15.75" customHeight="1">
      <c r="A10" s="480" t="s">
        <v>759</v>
      </c>
      <c r="B10" s="512" t="s">
        <v>654</v>
      </c>
      <c r="C10" s="513">
        <v>1802638098</v>
      </c>
    </row>
    <row r="11" spans="1:3" ht="15.75" customHeight="1">
      <c r="A11" s="480" t="s">
        <v>760</v>
      </c>
      <c r="B11" s="481" t="s">
        <v>656</v>
      </c>
      <c r="C11" s="513">
        <v>-88832300</v>
      </c>
    </row>
    <row r="12" spans="1:3" ht="15.75" customHeight="1">
      <c r="A12" s="480" t="s">
        <v>761</v>
      </c>
      <c r="B12" s="481" t="s">
        <v>658</v>
      </c>
      <c r="C12" s="513">
        <v>48562362</v>
      </c>
    </row>
    <row r="13" spans="1:3" ht="15.75" customHeight="1">
      <c r="A13" s="480" t="s">
        <v>762</v>
      </c>
      <c r="B13" s="481" t="s">
        <v>660</v>
      </c>
      <c r="C13" s="514">
        <v>-409998412</v>
      </c>
    </row>
    <row r="14" spans="1:3" ht="15.75" customHeight="1">
      <c r="A14" s="480" t="s">
        <v>763</v>
      </c>
      <c r="B14" s="481" t="s">
        <v>662</v>
      </c>
      <c r="C14" s="514"/>
    </row>
    <row r="15" spans="1:3" ht="15.75" customHeight="1">
      <c r="A15" s="480" t="s">
        <v>764</v>
      </c>
      <c r="B15" s="481" t="s">
        <v>664</v>
      </c>
      <c r="C15" s="514">
        <v>-37892405</v>
      </c>
    </row>
    <row r="16" spans="1:3" ht="15.75" customHeight="1">
      <c r="A16" s="480" t="s">
        <v>765</v>
      </c>
      <c r="B16" s="481" t="s">
        <v>666</v>
      </c>
      <c r="C16" s="515">
        <f>+C10+C11+C12+C13+C14+C15</f>
        <v>1314477343</v>
      </c>
    </row>
    <row r="17" spans="1:3" ht="15.75" customHeight="1">
      <c r="A17" s="480" t="s">
        <v>766</v>
      </c>
      <c r="B17" s="481" t="s">
        <v>668</v>
      </c>
      <c r="C17" s="516">
        <v>0</v>
      </c>
    </row>
    <row r="18" spans="1:3" ht="15.75" customHeight="1">
      <c r="A18" s="480" t="s">
        <v>767</v>
      </c>
      <c r="B18" s="481" t="s">
        <v>670</v>
      </c>
      <c r="C18" s="514">
        <v>2696433</v>
      </c>
    </row>
    <row r="19" spans="1:3" ht="15.75" customHeight="1">
      <c r="A19" s="480" t="s">
        <v>768</v>
      </c>
      <c r="B19" s="481" t="s">
        <v>364</v>
      </c>
      <c r="C19" s="514">
        <v>6789951</v>
      </c>
    </row>
    <row r="20" spans="1:3" ht="15.75" customHeight="1">
      <c r="A20" s="480" t="s">
        <v>769</v>
      </c>
      <c r="B20" s="481" t="s">
        <v>388</v>
      </c>
      <c r="C20" s="515">
        <f>+C17+C18+C19</f>
        <v>9486384</v>
      </c>
    </row>
    <row r="21" spans="1:3" s="517" customFormat="1" ht="15.75" customHeight="1">
      <c r="A21" s="480" t="s">
        <v>770</v>
      </c>
      <c r="B21" s="481" t="s">
        <v>389</v>
      </c>
      <c r="C21" s="514"/>
    </row>
    <row r="22" spans="1:3" ht="15.75" customHeight="1">
      <c r="A22" s="480" t="s">
        <v>771</v>
      </c>
      <c r="B22" s="481" t="s">
        <v>390</v>
      </c>
      <c r="C22" s="514">
        <v>396067085</v>
      </c>
    </row>
    <row r="23" spans="1:3" ht="15.75" customHeight="1">
      <c r="A23" s="518" t="s">
        <v>772</v>
      </c>
      <c r="B23" s="496" t="s">
        <v>393</v>
      </c>
      <c r="C23" s="519">
        <f>+C16+C20+C21+C22</f>
        <v>1720030812</v>
      </c>
    </row>
    <row r="24" spans="1:5" ht="15">
      <c r="A24" s="500"/>
      <c r="B24" s="464"/>
      <c r="C24" s="501"/>
      <c r="D24" s="501"/>
      <c r="E24" s="501"/>
    </row>
    <row r="25" spans="1:5" ht="15">
      <c r="A25" s="506" t="s">
        <v>645</v>
      </c>
      <c r="B25" s="702" t="s">
        <v>756</v>
      </c>
      <c r="C25" s="702"/>
      <c r="D25" s="501"/>
      <c r="E25" s="501"/>
    </row>
    <row r="26" spans="1:5" ht="15" customHeight="1">
      <c r="A26" s="703" t="s">
        <v>757</v>
      </c>
      <c r="B26" s="701" t="s">
        <v>624</v>
      </c>
      <c r="C26" s="704" t="s">
        <v>758</v>
      </c>
      <c r="D26" s="501"/>
      <c r="E26" s="501"/>
    </row>
    <row r="27" spans="1:5" ht="15">
      <c r="A27" s="703"/>
      <c r="B27" s="701"/>
      <c r="C27" s="704"/>
      <c r="D27" s="464"/>
      <c r="E27" s="464"/>
    </row>
    <row r="28" spans="1:5" ht="15">
      <c r="A28" s="508" t="s">
        <v>45</v>
      </c>
      <c r="B28" s="509" t="s">
        <v>46</v>
      </c>
      <c r="C28" s="510" t="s">
        <v>47</v>
      </c>
      <c r="D28" s="464"/>
      <c r="E28" s="464"/>
    </row>
    <row r="29" spans="1:3" ht="12.75">
      <c r="A29" s="480" t="s">
        <v>759</v>
      </c>
      <c r="B29" s="512" t="s">
        <v>654</v>
      </c>
      <c r="C29" s="513">
        <v>198074</v>
      </c>
    </row>
    <row r="30" spans="1:3" ht="12.75">
      <c r="A30" s="480" t="s">
        <v>760</v>
      </c>
      <c r="B30" s="481" t="s">
        <v>656</v>
      </c>
      <c r="C30" s="513"/>
    </row>
    <row r="31" spans="1:3" ht="12.75">
      <c r="A31" s="480" t="s">
        <v>761</v>
      </c>
      <c r="B31" s="481" t="s">
        <v>658</v>
      </c>
      <c r="C31" s="513">
        <v>469445</v>
      </c>
    </row>
    <row r="32" spans="1:3" ht="12.75">
      <c r="A32" s="480" t="s">
        <v>762</v>
      </c>
      <c r="B32" s="481" t="s">
        <v>660</v>
      </c>
      <c r="C32" s="514">
        <v>921251</v>
      </c>
    </row>
    <row r="33" spans="1:3" ht="12.75">
      <c r="A33" s="480" t="s">
        <v>763</v>
      </c>
      <c r="B33" s="481" t="s">
        <v>662</v>
      </c>
      <c r="C33" s="514"/>
    </row>
    <row r="34" spans="1:3" ht="12.75">
      <c r="A34" s="480" t="s">
        <v>764</v>
      </c>
      <c r="B34" s="481" t="s">
        <v>664</v>
      </c>
      <c r="C34" s="514">
        <v>-909001</v>
      </c>
    </row>
    <row r="35" spans="1:3" ht="12.75">
      <c r="A35" s="480" t="s">
        <v>765</v>
      </c>
      <c r="B35" s="481" t="s">
        <v>666</v>
      </c>
      <c r="C35" s="515">
        <f>+C29+C30+C31+C32+C33+C34</f>
        <v>679769</v>
      </c>
    </row>
    <row r="36" spans="1:3" ht="12.75">
      <c r="A36" s="480" t="s">
        <v>766</v>
      </c>
      <c r="B36" s="481" t="s">
        <v>668</v>
      </c>
      <c r="C36" s="516"/>
    </row>
    <row r="37" spans="1:3" ht="12.75">
      <c r="A37" s="480" t="s">
        <v>767</v>
      </c>
      <c r="B37" s="481" t="s">
        <v>670</v>
      </c>
      <c r="C37" s="514">
        <v>0</v>
      </c>
    </row>
    <row r="38" spans="1:3" ht="12.75">
      <c r="A38" s="480" t="s">
        <v>768</v>
      </c>
      <c r="B38" s="481" t="s">
        <v>364</v>
      </c>
      <c r="C38" s="514"/>
    </row>
    <row r="39" spans="1:3" ht="12.75">
      <c r="A39" s="480" t="s">
        <v>769</v>
      </c>
      <c r="B39" s="481" t="s">
        <v>388</v>
      </c>
      <c r="C39" s="515">
        <f>+C36+C37+C38</f>
        <v>0</v>
      </c>
    </row>
    <row r="40" spans="1:3" ht="12.75">
      <c r="A40" s="480" t="s">
        <v>770</v>
      </c>
      <c r="B40" s="481" t="s">
        <v>389</v>
      </c>
      <c r="C40" s="514"/>
    </row>
    <row r="41" spans="1:3" ht="12.75">
      <c r="A41" s="480" t="s">
        <v>771</v>
      </c>
      <c r="B41" s="481" t="s">
        <v>390</v>
      </c>
      <c r="C41" s="514">
        <v>3836453</v>
      </c>
    </row>
    <row r="42" spans="1:3" ht="12.75">
      <c r="A42" s="518" t="s">
        <v>772</v>
      </c>
      <c r="B42" s="496" t="s">
        <v>393</v>
      </c>
      <c r="C42" s="519">
        <f>+C35+C39+C40+C41</f>
        <v>4516222</v>
      </c>
    </row>
    <row r="44" spans="1:3" ht="12.75">
      <c r="A44" s="506" t="s">
        <v>821</v>
      </c>
      <c r="B44" s="702" t="s">
        <v>756</v>
      </c>
      <c r="C44" s="702"/>
    </row>
    <row r="45" spans="1:3" ht="12.75" customHeight="1">
      <c r="A45" s="703" t="s">
        <v>757</v>
      </c>
      <c r="B45" s="701" t="s">
        <v>624</v>
      </c>
      <c r="C45" s="704" t="s">
        <v>758</v>
      </c>
    </row>
    <row r="46" spans="1:3" ht="12.75">
      <c r="A46" s="703"/>
      <c r="B46" s="701"/>
      <c r="C46" s="704"/>
    </row>
    <row r="47" spans="1:3" ht="12.75">
      <c r="A47" s="508" t="s">
        <v>45</v>
      </c>
      <c r="B47" s="509" t="s">
        <v>46</v>
      </c>
      <c r="C47" s="510" t="s">
        <v>47</v>
      </c>
    </row>
    <row r="48" spans="1:3" ht="12.75">
      <c r="A48" s="480" t="s">
        <v>759</v>
      </c>
      <c r="B48" s="512" t="s">
        <v>654</v>
      </c>
      <c r="C48" s="513">
        <v>0</v>
      </c>
    </row>
    <row r="49" spans="1:3" ht="12.75">
      <c r="A49" s="480" t="s">
        <v>760</v>
      </c>
      <c r="B49" s="481" t="s">
        <v>656</v>
      </c>
      <c r="C49" s="513"/>
    </row>
    <row r="50" spans="1:3" ht="12.75">
      <c r="A50" s="480" t="s">
        <v>761</v>
      </c>
      <c r="B50" s="481" t="s">
        <v>658</v>
      </c>
      <c r="C50" s="513">
        <v>0</v>
      </c>
    </row>
    <row r="51" spans="1:3" ht="12.75">
      <c r="A51" s="480" t="s">
        <v>762</v>
      </c>
      <c r="B51" s="481" t="s">
        <v>660</v>
      </c>
      <c r="C51" s="514">
        <v>-103806</v>
      </c>
    </row>
    <row r="52" spans="1:3" ht="12.75">
      <c r="A52" s="480" t="s">
        <v>763</v>
      </c>
      <c r="B52" s="481" t="s">
        <v>662</v>
      </c>
      <c r="C52" s="514"/>
    </row>
    <row r="53" spans="1:3" ht="12.75">
      <c r="A53" s="480" t="s">
        <v>764</v>
      </c>
      <c r="B53" s="481" t="s">
        <v>664</v>
      </c>
      <c r="C53" s="514">
        <v>174388</v>
      </c>
    </row>
    <row r="54" spans="1:3" ht="12.75">
      <c r="A54" s="480" t="s">
        <v>765</v>
      </c>
      <c r="B54" s="481" t="s">
        <v>666</v>
      </c>
      <c r="C54" s="515">
        <f>+C48+C49+C50+C51+C52+C53</f>
        <v>70582</v>
      </c>
    </row>
    <row r="55" spans="1:3" ht="12.75">
      <c r="A55" s="480" t="s">
        <v>766</v>
      </c>
      <c r="B55" s="481" t="s">
        <v>668</v>
      </c>
      <c r="C55" s="516"/>
    </row>
    <row r="56" spans="1:3" ht="12.75">
      <c r="A56" s="480" t="s">
        <v>767</v>
      </c>
      <c r="B56" s="481" t="s">
        <v>670</v>
      </c>
      <c r="C56" s="514">
        <v>0</v>
      </c>
    </row>
    <row r="57" spans="1:3" ht="12.75">
      <c r="A57" s="480" t="s">
        <v>768</v>
      </c>
      <c r="B57" s="481" t="s">
        <v>364</v>
      </c>
      <c r="C57" s="514"/>
    </row>
    <row r="58" spans="1:3" ht="12.75">
      <c r="A58" s="480" t="s">
        <v>769</v>
      </c>
      <c r="B58" s="481" t="s">
        <v>388</v>
      </c>
      <c r="C58" s="515">
        <f>+C55+C56+C57</f>
        <v>0</v>
      </c>
    </row>
    <row r="59" spans="1:3" ht="12.75">
      <c r="A59" s="480" t="s">
        <v>770</v>
      </c>
      <c r="B59" s="481" t="s">
        <v>389</v>
      </c>
      <c r="C59" s="514"/>
    </row>
    <row r="60" spans="1:3" ht="12.75">
      <c r="A60" s="480" t="s">
        <v>771</v>
      </c>
      <c r="B60" s="481" t="s">
        <v>390</v>
      </c>
      <c r="C60" s="514">
        <v>12379</v>
      </c>
    </row>
    <row r="61" spans="1:3" ht="12.75">
      <c r="A61" s="518" t="s">
        <v>772</v>
      </c>
      <c r="B61" s="496" t="s">
        <v>393</v>
      </c>
      <c r="C61" s="519">
        <f>+C54+C58+C59+C60</f>
        <v>82961</v>
      </c>
    </row>
    <row r="63" spans="1:3" ht="12.75">
      <c r="A63" s="506" t="s">
        <v>646</v>
      </c>
      <c r="B63" s="702" t="s">
        <v>756</v>
      </c>
      <c r="C63" s="702"/>
    </row>
    <row r="64" spans="1:3" ht="12.75" customHeight="1">
      <c r="A64" s="703" t="s">
        <v>757</v>
      </c>
      <c r="B64" s="701" t="s">
        <v>624</v>
      </c>
      <c r="C64" s="704" t="s">
        <v>758</v>
      </c>
    </row>
    <row r="65" spans="1:3" ht="12.75">
      <c r="A65" s="703"/>
      <c r="B65" s="701"/>
      <c r="C65" s="704"/>
    </row>
    <row r="66" spans="1:3" ht="12.75">
      <c r="A66" s="508" t="s">
        <v>45</v>
      </c>
      <c r="B66" s="509" t="s">
        <v>46</v>
      </c>
      <c r="C66" s="510" t="s">
        <v>47</v>
      </c>
    </row>
    <row r="67" spans="1:3" ht="12.75">
      <c r="A67" s="480" t="s">
        <v>759</v>
      </c>
      <c r="B67" s="512" t="s">
        <v>654</v>
      </c>
      <c r="C67" s="513">
        <f aca="true" t="shared" si="0" ref="C67:C80">C10+C29+C48</f>
        <v>1802836172</v>
      </c>
    </row>
    <row r="68" spans="1:3" ht="12.75">
      <c r="A68" s="480" t="s">
        <v>760</v>
      </c>
      <c r="B68" s="481" t="s">
        <v>656</v>
      </c>
      <c r="C68" s="513">
        <f t="shared" si="0"/>
        <v>-88832300</v>
      </c>
    </row>
    <row r="69" spans="1:3" ht="12.75">
      <c r="A69" s="480" t="s">
        <v>761</v>
      </c>
      <c r="B69" s="481" t="s">
        <v>658</v>
      </c>
      <c r="C69" s="513">
        <f t="shared" si="0"/>
        <v>49031807</v>
      </c>
    </row>
    <row r="70" spans="1:3" ht="12.75">
      <c r="A70" s="480" t="s">
        <v>762</v>
      </c>
      <c r="B70" s="481" t="s">
        <v>660</v>
      </c>
      <c r="C70" s="513">
        <f t="shared" si="0"/>
        <v>-409180967</v>
      </c>
    </row>
    <row r="71" spans="1:3" ht="12.75">
      <c r="A71" s="480" t="s">
        <v>763</v>
      </c>
      <c r="B71" s="481" t="s">
        <v>662</v>
      </c>
      <c r="C71" s="513">
        <f t="shared" si="0"/>
        <v>0</v>
      </c>
    </row>
    <row r="72" spans="1:3" ht="12.75">
      <c r="A72" s="480" t="s">
        <v>764</v>
      </c>
      <c r="B72" s="481" t="s">
        <v>664</v>
      </c>
      <c r="C72" s="513">
        <f t="shared" si="0"/>
        <v>-38627018</v>
      </c>
    </row>
    <row r="73" spans="1:3" ht="12.75">
      <c r="A73" s="480" t="s">
        <v>765</v>
      </c>
      <c r="B73" s="481" t="s">
        <v>666</v>
      </c>
      <c r="C73" s="513">
        <f t="shared" si="0"/>
        <v>1315227694</v>
      </c>
    </row>
    <row r="74" spans="1:3" ht="12.75">
      <c r="A74" s="480" t="s">
        <v>766</v>
      </c>
      <c r="B74" s="481" t="s">
        <v>668</v>
      </c>
      <c r="C74" s="513">
        <f t="shared" si="0"/>
        <v>0</v>
      </c>
    </row>
    <row r="75" spans="1:3" ht="12.75">
      <c r="A75" s="480" t="s">
        <v>767</v>
      </c>
      <c r="B75" s="481" t="s">
        <v>670</v>
      </c>
      <c r="C75" s="513">
        <f t="shared" si="0"/>
        <v>2696433</v>
      </c>
    </row>
    <row r="76" spans="1:3" ht="12.75">
      <c r="A76" s="480" t="s">
        <v>768</v>
      </c>
      <c r="B76" s="481" t="s">
        <v>364</v>
      </c>
      <c r="C76" s="513">
        <f t="shared" si="0"/>
        <v>6789951</v>
      </c>
    </row>
    <row r="77" spans="1:3" ht="12.75">
      <c r="A77" s="480" t="s">
        <v>769</v>
      </c>
      <c r="B77" s="481" t="s">
        <v>388</v>
      </c>
      <c r="C77" s="513">
        <f t="shared" si="0"/>
        <v>9486384</v>
      </c>
    </row>
    <row r="78" spans="1:3" ht="12.75">
      <c r="A78" s="480" t="s">
        <v>770</v>
      </c>
      <c r="B78" s="481" t="s">
        <v>389</v>
      </c>
      <c r="C78" s="513">
        <f t="shared" si="0"/>
        <v>0</v>
      </c>
    </row>
    <row r="79" spans="1:3" ht="12.75">
      <c r="A79" s="480" t="s">
        <v>771</v>
      </c>
      <c r="B79" s="481" t="s">
        <v>390</v>
      </c>
      <c r="C79" s="513">
        <f t="shared" si="0"/>
        <v>399915917</v>
      </c>
    </row>
    <row r="80" spans="1:3" ht="12.75">
      <c r="A80" s="518" t="s">
        <v>772</v>
      </c>
      <c r="B80" s="496" t="s">
        <v>393</v>
      </c>
      <c r="C80" s="513">
        <f t="shared" si="0"/>
        <v>1724629995</v>
      </c>
    </row>
  </sheetData>
  <sheetProtection selectLockedCells="1" selectUnlockedCells="1"/>
  <mergeCells count="18">
    <mergeCell ref="B63:C63"/>
    <mergeCell ref="A64:A65"/>
    <mergeCell ref="B64:B65"/>
    <mergeCell ref="C64:C65"/>
    <mergeCell ref="B44:C44"/>
    <mergeCell ref="A45:A46"/>
    <mergeCell ref="B45:B46"/>
    <mergeCell ref="C45:C46"/>
    <mergeCell ref="B25:C25"/>
    <mergeCell ref="A26:A27"/>
    <mergeCell ref="B26:B27"/>
    <mergeCell ref="C26:C27"/>
    <mergeCell ref="A3:C3"/>
    <mergeCell ref="A4:C4"/>
    <mergeCell ref="B6:C6"/>
    <mergeCell ref="A7:A8"/>
    <mergeCell ref="B7:B8"/>
    <mergeCell ref="C7:C8"/>
  </mergeCells>
  <printOptions horizontalCentered="1"/>
  <pageMargins left="0.7875" right="0.7875" top="1.2472222222222222" bottom="0.9840277777777777" header="0.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D2" sqref="D2"/>
    </sheetView>
  </sheetViews>
  <sheetFormatPr defaultColWidth="12.00390625" defaultRowHeight="12.75"/>
  <cols>
    <col min="1" max="1" width="56.375" style="464" customWidth="1"/>
    <col min="2" max="2" width="6.75390625" style="464" customWidth="1"/>
    <col min="3" max="3" width="14.625" style="464" customWidth="1"/>
    <col min="4" max="4" width="16.00390625" style="464" customWidth="1"/>
    <col min="5" max="16384" width="12.00390625" style="464" customWidth="1"/>
  </cols>
  <sheetData>
    <row r="1" ht="15">
      <c r="D1" s="577" t="str">
        <f>+CONCATENATE("4. sz. tájékoztató tábla a 6/",LEFT(ÖSSZEFÜGGÉSEK!A4,4)+1,".(VII.17.)  önkormányzati rendelethez")</f>
        <v>4. sz. tájékoztató tábla a 6/2020.(VII.17.)  önkormányzati rendelethez</v>
      </c>
    </row>
    <row r="3" spans="1:4" ht="48" customHeight="1">
      <c r="A3" s="689" t="str">
        <f>+CONCATENATE("VAGYONKIMUTATÁS",CHAR(10),"az érték nélkül nyilvántartott eszközökről",CHAR(10),LEFT(ÖSSZEFÜGGÉSEK!A4,4),".")</f>
        <v>VAGYONKIMUTATÁS
az érték nélkül nyilvántartott eszközökről
2019.</v>
      </c>
      <c r="B3" s="689"/>
      <c r="C3" s="689"/>
      <c r="D3" s="689"/>
    </row>
    <row r="5" spans="1:4" ht="43.5" customHeight="1">
      <c r="A5" s="520" t="s">
        <v>374</v>
      </c>
      <c r="B5" s="521" t="s">
        <v>624</v>
      </c>
      <c r="C5" s="522" t="s">
        <v>773</v>
      </c>
      <c r="D5" s="523" t="s">
        <v>774</v>
      </c>
    </row>
    <row r="6" spans="1:4" ht="15">
      <c r="A6" s="524" t="s">
        <v>45</v>
      </c>
      <c r="B6" s="525" t="s">
        <v>46</v>
      </c>
      <c r="C6" s="525" t="s">
        <v>47</v>
      </c>
      <c r="D6" s="526" t="s">
        <v>48</v>
      </c>
    </row>
    <row r="7" spans="1:4" ht="15.75" customHeight="1">
      <c r="A7" s="527" t="s">
        <v>775</v>
      </c>
      <c r="B7" s="528" t="s">
        <v>50</v>
      </c>
      <c r="C7" s="529">
        <v>346</v>
      </c>
      <c r="D7" s="530">
        <v>4945000</v>
      </c>
    </row>
    <row r="8" spans="1:4" ht="15.75" customHeight="1">
      <c r="A8" s="527" t="s">
        <v>776</v>
      </c>
      <c r="B8" s="531" t="s">
        <v>71</v>
      </c>
      <c r="C8" s="532"/>
      <c r="D8" s="533"/>
    </row>
    <row r="9" spans="1:4" ht="15.75" customHeight="1">
      <c r="A9" s="527" t="s">
        <v>777</v>
      </c>
      <c r="B9" s="531" t="s">
        <v>92</v>
      </c>
      <c r="C9" s="532"/>
      <c r="D9" s="533"/>
    </row>
    <row r="10" spans="1:4" ht="15.75" customHeight="1">
      <c r="A10" s="534" t="s">
        <v>778</v>
      </c>
      <c r="B10" s="535" t="s">
        <v>341</v>
      </c>
      <c r="C10" s="536"/>
      <c r="D10" s="537"/>
    </row>
    <row r="11" spans="1:4" ht="15.75" customHeight="1">
      <c r="A11" s="538" t="s">
        <v>779</v>
      </c>
      <c r="B11" s="539" t="s">
        <v>134</v>
      </c>
      <c r="C11" s="540"/>
      <c r="D11" s="541">
        <f>+D12+D13+D14+D15</f>
        <v>0</v>
      </c>
    </row>
    <row r="12" spans="1:4" ht="15.75" customHeight="1">
      <c r="A12" s="542" t="s">
        <v>780</v>
      </c>
      <c r="B12" s="528" t="s">
        <v>167</v>
      </c>
      <c r="C12" s="529"/>
      <c r="D12" s="530"/>
    </row>
    <row r="13" spans="1:4" ht="15.75" customHeight="1">
      <c r="A13" s="527" t="s">
        <v>781</v>
      </c>
      <c r="B13" s="531" t="s">
        <v>352</v>
      </c>
      <c r="C13" s="532"/>
      <c r="D13" s="533"/>
    </row>
    <row r="14" spans="1:4" ht="15.75" customHeight="1">
      <c r="A14" s="527" t="s">
        <v>782</v>
      </c>
      <c r="B14" s="531" t="s">
        <v>200</v>
      </c>
      <c r="C14" s="532"/>
      <c r="D14" s="533"/>
    </row>
    <row r="15" spans="1:4" ht="15.75" customHeight="1">
      <c r="A15" s="534" t="s">
        <v>783</v>
      </c>
      <c r="B15" s="535" t="s">
        <v>215</v>
      </c>
      <c r="C15" s="536"/>
      <c r="D15" s="537"/>
    </row>
    <row r="16" spans="1:4" ht="15.75" customHeight="1">
      <c r="A16" s="538" t="s">
        <v>784</v>
      </c>
      <c r="B16" s="539" t="s">
        <v>364</v>
      </c>
      <c r="C16" s="540"/>
      <c r="D16" s="541">
        <f>+D17+D18+D19</f>
        <v>0</v>
      </c>
    </row>
    <row r="17" spans="1:4" ht="15.75" customHeight="1">
      <c r="A17" s="542" t="s">
        <v>785</v>
      </c>
      <c r="B17" s="528" t="s">
        <v>388</v>
      </c>
      <c r="C17" s="529"/>
      <c r="D17" s="530"/>
    </row>
    <row r="18" spans="1:4" ht="15.75" customHeight="1">
      <c r="A18" s="527" t="s">
        <v>786</v>
      </c>
      <c r="B18" s="531" t="s">
        <v>389</v>
      </c>
      <c r="C18" s="532"/>
      <c r="D18" s="533"/>
    </row>
    <row r="19" spans="1:4" ht="15.75" customHeight="1">
      <c r="A19" s="534" t="s">
        <v>787</v>
      </c>
      <c r="B19" s="535" t="s">
        <v>390</v>
      </c>
      <c r="C19" s="536"/>
      <c r="D19" s="537"/>
    </row>
    <row r="20" spans="1:4" ht="15.75" customHeight="1">
      <c r="A20" s="538" t="s">
        <v>788</v>
      </c>
      <c r="B20" s="539" t="s">
        <v>393</v>
      </c>
      <c r="C20" s="540"/>
      <c r="D20" s="541">
        <f>+D21+D22+D23</f>
        <v>0</v>
      </c>
    </row>
    <row r="21" spans="1:4" ht="15.75" customHeight="1">
      <c r="A21" s="542" t="s">
        <v>789</v>
      </c>
      <c r="B21" s="528" t="s">
        <v>396</v>
      </c>
      <c r="C21" s="529"/>
      <c r="D21" s="530"/>
    </row>
    <row r="22" spans="1:4" ht="15.75" customHeight="1">
      <c r="A22" s="527" t="s">
        <v>790</v>
      </c>
      <c r="B22" s="531" t="s">
        <v>399</v>
      </c>
      <c r="C22" s="532"/>
      <c r="D22" s="533"/>
    </row>
    <row r="23" spans="1:4" ht="15.75" customHeight="1">
      <c r="A23" s="527" t="s">
        <v>791</v>
      </c>
      <c r="B23" s="531" t="s">
        <v>402</v>
      </c>
      <c r="C23" s="532"/>
      <c r="D23" s="533"/>
    </row>
    <row r="24" spans="1:4" ht="15.75" customHeight="1">
      <c r="A24" s="527" t="s">
        <v>792</v>
      </c>
      <c r="B24" s="531" t="s">
        <v>405</v>
      </c>
      <c r="C24" s="532"/>
      <c r="D24" s="533"/>
    </row>
    <row r="25" spans="1:4" ht="15.75" customHeight="1">
      <c r="A25" s="527"/>
      <c r="B25" s="531" t="s">
        <v>408</v>
      </c>
      <c r="C25" s="532"/>
      <c r="D25" s="533"/>
    </row>
    <row r="26" spans="1:4" ht="15.75" customHeight="1">
      <c r="A26" s="527"/>
      <c r="B26" s="531" t="s">
        <v>411</v>
      </c>
      <c r="C26" s="532"/>
      <c r="D26" s="533"/>
    </row>
    <row r="27" spans="1:4" ht="15.75" customHeight="1">
      <c r="A27" s="527"/>
      <c r="B27" s="531" t="s">
        <v>414</v>
      </c>
      <c r="C27" s="532"/>
      <c r="D27" s="533"/>
    </row>
    <row r="28" spans="1:4" ht="15.75" customHeight="1">
      <c r="A28" s="527"/>
      <c r="B28" s="531" t="s">
        <v>416</v>
      </c>
      <c r="C28" s="532"/>
      <c r="D28" s="533"/>
    </row>
    <row r="29" spans="1:4" ht="15.75" customHeight="1">
      <c r="A29" s="527"/>
      <c r="B29" s="531" t="s">
        <v>419</v>
      </c>
      <c r="C29" s="532"/>
      <c r="D29" s="533"/>
    </row>
    <row r="30" spans="1:4" ht="15.75" customHeight="1">
      <c r="A30" s="527"/>
      <c r="B30" s="531" t="s">
        <v>422</v>
      </c>
      <c r="C30" s="532"/>
      <c r="D30" s="533"/>
    </row>
    <row r="31" spans="1:4" ht="15.75" customHeight="1">
      <c r="A31" s="527"/>
      <c r="B31" s="531" t="s">
        <v>425</v>
      </c>
      <c r="C31" s="532"/>
      <c r="D31" s="533"/>
    </row>
    <row r="32" spans="1:4" ht="15.75" customHeight="1">
      <c r="A32" s="527"/>
      <c r="B32" s="531" t="s">
        <v>456</v>
      </c>
      <c r="C32" s="532"/>
      <c r="D32" s="533"/>
    </row>
    <row r="33" spans="1:4" ht="15.75" customHeight="1">
      <c r="A33" s="527"/>
      <c r="B33" s="531" t="s">
        <v>459</v>
      </c>
      <c r="C33" s="532"/>
      <c r="D33" s="533"/>
    </row>
    <row r="34" spans="1:4" ht="15.75" customHeight="1">
      <c r="A34" s="527"/>
      <c r="B34" s="531" t="s">
        <v>460</v>
      </c>
      <c r="C34" s="532"/>
      <c r="D34" s="533"/>
    </row>
    <row r="35" spans="1:4" ht="15.75" customHeight="1">
      <c r="A35" s="527"/>
      <c r="B35" s="531" t="s">
        <v>570</v>
      </c>
      <c r="C35" s="532"/>
      <c r="D35" s="533"/>
    </row>
    <row r="36" spans="1:4" ht="15.75" customHeight="1">
      <c r="A36" s="527"/>
      <c r="B36" s="531" t="s">
        <v>571</v>
      </c>
      <c r="C36" s="532"/>
      <c r="D36" s="533"/>
    </row>
    <row r="37" spans="1:4" ht="15.75" customHeight="1">
      <c r="A37" s="527"/>
      <c r="B37" s="531" t="s">
        <v>572</v>
      </c>
      <c r="C37" s="532"/>
      <c r="D37" s="533"/>
    </row>
    <row r="38" spans="1:4" ht="15.75" customHeight="1">
      <c r="A38" s="527"/>
      <c r="B38" s="531" t="s">
        <v>694</v>
      </c>
      <c r="C38" s="532"/>
      <c r="D38" s="533"/>
    </row>
    <row r="39" spans="1:4" ht="15.75" customHeight="1">
      <c r="A39" s="534"/>
      <c r="B39" s="535" t="s">
        <v>696</v>
      </c>
      <c r="C39" s="536"/>
      <c r="D39" s="537"/>
    </row>
    <row r="40" spans="1:6" ht="15.75" customHeight="1">
      <c r="A40" s="707" t="s">
        <v>793</v>
      </c>
      <c r="B40" s="707"/>
      <c r="C40" s="543"/>
      <c r="D40" s="541">
        <f>+D7+D8+D9+D10+D11+D16+D20+D24+D25+D26+D27+D28+D29+D30+D31+D32+D33+D34+D35+D36+D37+D38+D39</f>
        <v>4945000</v>
      </c>
      <c r="F40" s="544"/>
    </row>
    <row r="41" ht="15">
      <c r="A41" s="545" t="s">
        <v>794</v>
      </c>
    </row>
    <row r="42" spans="1:4" ht="15">
      <c r="A42" s="500"/>
      <c r="C42" s="708"/>
      <c r="D42" s="708"/>
    </row>
    <row r="43" spans="1:4" ht="15">
      <c r="A43" s="500"/>
      <c r="C43" s="502"/>
      <c r="D43" s="502"/>
    </row>
    <row r="44" spans="3:4" ht="15">
      <c r="C44" s="708"/>
      <c r="D44" s="708"/>
    </row>
  </sheetData>
  <sheetProtection selectLockedCells="1" selectUnlockedCells="1"/>
  <mergeCells count="4">
    <mergeCell ref="A3:D3"/>
    <mergeCell ref="A40:B40"/>
    <mergeCell ref="C42:D42"/>
    <mergeCell ref="C44:D44"/>
  </mergeCells>
  <printOptions horizontalCentered="1"/>
  <pageMargins left="0.7875" right="0.7875" top="1.1479166666666667" bottom="0.9840277777777777" header="0.5" footer="0.5118055555555555"/>
  <pageSetup fitToHeight="1" fitToWidth="1"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" sqref="A4"/>
    </sheetView>
  </sheetViews>
  <sheetFormatPr defaultColWidth="9.375" defaultRowHeight="12.75"/>
  <cols>
    <col min="1" max="1" width="7.625" style="0" customWidth="1"/>
    <col min="2" max="2" width="60.75390625" style="0" customWidth="1"/>
    <col min="3" max="3" width="25.625" style="0" customWidth="1"/>
    <col min="4" max="4" width="9.375" style="0" customWidth="1"/>
    <col min="5" max="5" width="11.75390625" style="0" bestFit="1" customWidth="1"/>
  </cols>
  <sheetData>
    <row r="1" ht="14.25">
      <c r="C1" s="546" t="str">
        <f>+CONCATENATE("2. sz. tájékoztató tábla a 6/",LEFT(ÖSSZEFÜGGÉSEK!A4,4)+1,".(VII.17.)  önkormányzati rendelethez")</f>
        <v>2. sz. tájékoztató tábla a 6/2020.(VII.17.)  önkormányzati rendelethez</v>
      </c>
    </row>
    <row r="2" spans="1:3" ht="13.5">
      <c r="A2" s="547"/>
      <c r="B2" s="547"/>
      <c r="C2" s="547"/>
    </row>
    <row r="3" spans="1:3" ht="33.75" customHeight="1">
      <c r="A3" s="709" t="s">
        <v>795</v>
      </c>
      <c r="B3" s="709"/>
      <c r="C3" s="709"/>
    </row>
    <row r="4" spans="2:3" ht="12.75">
      <c r="B4" s="548" t="s">
        <v>498</v>
      </c>
      <c r="C4" s="549"/>
    </row>
    <row r="5" spans="1:3" s="548" customFormat="1" ht="43.5" customHeight="1">
      <c r="A5" s="550" t="s">
        <v>560</v>
      </c>
      <c r="B5" s="551" t="s">
        <v>374</v>
      </c>
      <c r="C5" s="552" t="s">
        <v>796</v>
      </c>
    </row>
    <row r="6" spans="1:3" ht="28.5" customHeight="1">
      <c r="A6" s="553" t="s">
        <v>50</v>
      </c>
      <c r="B6" s="554" t="str">
        <f>+CONCATENATE("Pénzkészlet ",LEFT(ÖSSZEFÜGGÉSEK!A4,4),". január 1-jén",CHAR(10),"ebből:")</f>
        <v>Pénzkészlet 2019. január 1-jén
ebből:</v>
      </c>
      <c r="C6" s="555">
        <f>C7+C8</f>
        <v>180252861</v>
      </c>
    </row>
    <row r="7" spans="1:3" ht="18" customHeight="1">
      <c r="A7" s="556" t="s">
        <v>71</v>
      </c>
      <c r="B7" s="557" t="s">
        <v>797</v>
      </c>
      <c r="C7" s="558">
        <v>180116721</v>
      </c>
    </row>
    <row r="8" spans="1:3" ht="18" customHeight="1">
      <c r="A8" s="556" t="s">
        <v>92</v>
      </c>
      <c r="B8" s="557" t="s">
        <v>798</v>
      </c>
      <c r="C8" s="558">
        <v>136140</v>
      </c>
    </row>
    <row r="9" spans="1:3" ht="18" customHeight="1">
      <c r="A9" s="556" t="s">
        <v>341</v>
      </c>
      <c r="B9" s="559" t="s">
        <v>799</v>
      </c>
      <c r="C9" s="558">
        <f>389277394+180605158</f>
        <v>569882552</v>
      </c>
    </row>
    <row r="10" spans="1:3" ht="18" customHeight="1">
      <c r="A10" s="560" t="s">
        <v>134</v>
      </c>
      <c r="B10" s="561" t="s">
        <v>800</v>
      </c>
      <c r="C10" s="562">
        <f>60070796+317210847</f>
        <v>377281643</v>
      </c>
    </row>
    <row r="11" spans="1:3" ht="18" customHeight="1">
      <c r="A11" s="563" t="s">
        <v>167</v>
      </c>
      <c r="B11" s="564" t="s">
        <v>801</v>
      </c>
      <c r="C11" s="565">
        <f>C9-C10</f>
        <v>192600909</v>
      </c>
    </row>
    <row r="12" spans="1:3" ht="25.5" customHeight="1">
      <c r="A12" s="566" t="s">
        <v>352</v>
      </c>
      <c r="B12" s="567" t="str">
        <f>+CONCATENATE("Záró pénzkészlet ",LEFT(ÖSSZEFÜGGÉSEK!A4,4),". december 31-én",CHAR(10),"ebből:")</f>
        <v>Záró pénzkészlet 2019. december 31-én
ebből:</v>
      </c>
      <c r="C12" s="568">
        <f>C13+C14</f>
        <v>199029345</v>
      </c>
    </row>
    <row r="13" spans="1:3" ht="18" customHeight="1">
      <c r="A13" s="556" t="s">
        <v>200</v>
      </c>
      <c r="B13" s="557" t="s">
        <v>797</v>
      </c>
      <c r="C13" s="558">
        <v>198999400</v>
      </c>
    </row>
    <row r="14" spans="1:3" ht="18" customHeight="1">
      <c r="A14" s="569" t="s">
        <v>215</v>
      </c>
      <c r="B14" s="570" t="s">
        <v>798</v>
      </c>
      <c r="C14" s="571">
        <v>29945</v>
      </c>
    </row>
    <row r="15" spans="1:5" ht="12.75">
      <c r="A15" s="566" t="s">
        <v>364</v>
      </c>
      <c r="B15" s="572" t="s">
        <v>802</v>
      </c>
      <c r="C15" s="573">
        <v>-6428436</v>
      </c>
      <c r="E15" s="610"/>
    </row>
    <row r="16" spans="1:5" ht="12.75">
      <c r="A16" s="574" t="s">
        <v>388</v>
      </c>
      <c r="B16" s="575" t="s">
        <v>803</v>
      </c>
      <c r="C16" s="576">
        <f>C12+C15</f>
        <v>192600909</v>
      </c>
      <c r="E16" s="610">
        <f>C16-C11</f>
        <v>0</v>
      </c>
    </row>
    <row r="19" spans="2:3" ht="12.75">
      <c r="B19" s="548" t="s">
        <v>645</v>
      </c>
      <c r="C19" s="549"/>
    </row>
    <row r="20" spans="1:3" ht="26.25">
      <c r="A20" s="550" t="s">
        <v>560</v>
      </c>
      <c r="B20" s="551" t="s">
        <v>374</v>
      </c>
      <c r="C20" s="552" t="s">
        <v>796</v>
      </c>
    </row>
    <row r="21" spans="1:3" ht="26.25">
      <c r="A21" s="553" t="s">
        <v>50</v>
      </c>
      <c r="B21" s="554" t="s">
        <v>830</v>
      </c>
      <c r="C21" s="555">
        <f>C22+C23</f>
        <v>5465458</v>
      </c>
    </row>
    <row r="22" spans="1:3" ht="12.75">
      <c r="A22" s="556" t="s">
        <v>71</v>
      </c>
      <c r="B22" s="557" t="s">
        <v>797</v>
      </c>
      <c r="C22" s="558">
        <v>5462278</v>
      </c>
    </row>
    <row r="23" spans="1:3" ht="12.75">
      <c r="A23" s="556" t="s">
        <v>92</v>
      </c>
      <c r="B23" s="557" t="s">
        <v>798</v>
      </c>
      <c r="C23" s="558">
        <v>3180</v>
      </c>
    </row>
    <row r="24" spans="1:3" ht="12.75">
      <c r="A24" s="556" t="s">
        <v>341</v>
      </c>
      <c r="B24" s="559" t="s">
        <v>799</v>
      </c>
      <c r="C24" s="558">
        <f>10931158+61116695</f>
        <v>72047853</v>
      </c>
    </row>
    <row r="25" spans="1:3" ht="12.75">
      <c r="A25" s="560" t="s">
        <v>134</v>
      </c>
      <c r="B25" s="561" t="s">
        <v>800</v>
      </c>
      <c r="C25" s="562">
        <v>67598590</v>
      </c>
    </row>
    <row r="26" spans="1:5" ht="12.75">
      <c r="A26" s="563" t="s">
        <v>167</v>
      </c>
      <c r="B26" s="564" t="s">
        <v>801</v>
      </c>
      <c r="C26" s="565">
        <f>C24-C25</f>
        <v>4449263</v>
      </c>
      <c r="E26" s="610"/>
    </row>
    <row r="27" spans="1:5" ht="26.25">
      <c r="A27" s="566" t="s">
        <v>352</v>
      </c>
      <c r="B27" s="567" t="s">
        <v>831</v>
      </c>
      <c r="C27" s="568">
        <f>C28+C29</f>
        <v>4314667</v>
      </c>
      <c r="E27" s="610"/>
    </row>
    <row r="28" spans="1:3" ht="12.75">
      <c r="A28" s="556" t="s">
        <v>200</v>
      </c>
      <c r="B28" s="557" t="s">
        <v>797</v>
      </c>
      <c r="C28" s="558">
        <v>4295167</v>
      </c>
    </row>
    <row r="29" spans="1:3" ht="12.75">
      <c r="A29" s="569" t="s">
        <v>215</v>
      </c>
      <c r="B29" s="570" t="s">
        <v>798</v>
      </c>
      <c r="C29" s="571">
        <v>19500</v>
      </c>
    </row>
    <row r="30" spans="1:3" ht="12.75">
      <c r="A30" s="566" t="s">
        <v>364</v>
      </c>
      <c r="B30" s="572" t="s">
        <v>802</v>
      </c>
      <c r="C30" s="573">
        <v>134596</v>
      </c>
    </row>
    <row r="31" spans="1:3" ht="12.75">
      <c r="A31" s="574" t="s">
        <v>388</v>
      </c>
      <c r="B31" s="575" t="s">
        <v>803</v>
      </c>
      <c r="C31" s="576">
        <f>C27+C30</f>
        <v>4449263</v>
      </c>
    </row>
    <row r="33" spans="2:3" ht="12.75">
      <c r="B33" s="548" t="s">
        <v>821</v>
      </c>
      <c r="C33" s="549"/>
    </row>
    <row r="34" spans="1:3" ht="26.25">
      <c r="A34" s="550" t="s">
        <v>560</v>
      </c>
      <c r="B34" s="551" t="s">
        <v>374</v>
      </c>
      <c r="C34" s="552" t="s">
        <v>796</v>
      </c>
    </row>
    <row r="35" spans="1:3" ht="26.25">
      <c r="A35" s="553" t="s">
        <v>50</v>
      </c>
      <c r="B35" s="554" t="s">
        <v>830</v>
      </c>
      <c r="C35" s="555">
        <f>C36+C37</f>
        <v>85776</v>
      </c>
    </row>
    <row r="36" spans="1:3" ht="12.75">
      <c r="A36" s="556" t="s">
        <v>71</v>
      </c>
      <c r="B36" s="557" t="s">
        <v>797</v>
      </c>
      <c r="C36" s="558">
        <v>85776</v>
      </c>
    </row>
    <row r="37" spans="1:3" ht="12.75">
      <c r="A37" s="556" t="s">
        <v>92</v>
      </c>
      <c r="B37" s="557" t="s">
        <v>798</v>
      </c>
      <c r="C37" s="558">
        <v>0</v>
      </c>
    </row>
    <row r="38" spans="1:3" ht="12.75">
      <c r="A38" s="556" t="s">
        <v>341</v>
      </c>
      <c r="B38" s="559" t="s">
        <v>799</v>
      </c>
      <c r="C38" s="558">
        <f>1952053+7117</f>
        <v>1959170</v>
      </c>
    </row>
    <row r="39" spans="1:3" ht="12.75">
      <c r="A39" s="560" t="s">
        <v>134</v>
      </c>
      <c r="B39" s="561" t="s">
        <v>800</v>
      </c>
      <c r="C39" s="562">
        <v>1876209</v>
      </c>
    </row>
    <row r="40" spans="1:3" ht="12.75">
      <c r="A40" s="563" t="s">
        <v>167</v>
      </c>
      <c r="B40" s="564" t="s">
        <v>801</v>
      </c>
      <c r="C40" s="565">
        <f>C38-C39</f>
        <v>82961</v>
      </c>
    </row>
    <row r="41" spans="1:3" ht="26.25">
      <c r="A41" s="566" t="s">
        <v>352</v>
      </c>
      <c r="B41" s="567" t="s">
        <v>831</v>
      </c>
      <c r="C41" s="568">
        <f>C42+C43</f>
        <v>82961</v>
      </c>
    </row>
    <row r="42" spans="1:3" ht="12.75">
      <c r="A42" s="556" t="s">
        <v>200</v>
      </c>
      <c r="B42" s="557" t="s">
        <v>797</v>
      </c>
      <c r="C42" s="558">
        <v>82961</v>
      </c>
    </row>
    <row r="43" spans="1:3" ht="12.75">
      <c r="A43" s="569" t="s">
        <v>215</v>
      </c>
      <c r="B43" s="570" t="s">
        <v>798</v>
      </c>
      <c r="C43" s="571"/>
    </row>
    <row r="44" spans="1:3" ht="12.75">
      <c r="A44" s="566" t="s">
        <v>364</v>
      </c>
      <c r="B44" s="572" t="s">
        <v>802</v>
      </c>
      <c r="C44" s="573"/>
    </row>
    <row r="45" spans="1:3" ht="12.75">
      <c r="A45" s="574" t="s">
        <v>388</v>
      </c>
      <c r="B45" s="575" t="s">
        <v>803</v>
      </c>
      <c r="C45" s="576">
        <f>C41+C44</f>
        <v>82961</v>
      </c>
    </row>
    <row r="47" spans="2:3" ht="12.75">
      <c r="B47" s="548" t="s">
        <v>646</v>
      </c>
      <c r="C47" s="549"/>
    </row>
    <row r="48" spans="1:3" ht="26.25">
      <c r="A48" s="550" t="s">
        <v>560</v>
      </c>
      <c r="B48" s="551" t="s">
        <v>374</v>
      </c>
      <c r="C48" s="552" t="s">
        <v>863</v>
      </c>
    </row>
    <row r="49" spans="1:3" ht="26.25">
      <c r="A49" s="553" t="s">
        <v>50</v>
      </c>
      <c r="B49" s="554" t="s">
        <v>830</v>
      </c>
      <c r="C49" s="555">
        <f aca="true" t="shared" si="0" ref="C49:C58">C6+C21+C35</f>
        <v>185804095</v>
      </c>
    </row>
    <row r="50" spans="1:3" ht="12.75">
      <c r="A50" s="556" t="s">
        <v>71</v>
      </c>
      <c r="B50" s="557" t="s">
        <v>797</v>
      </c>
      <c r="C50" s="555">
        <f t="shared" si="0"/>
        <v>185664775</v>
      </c>
    </row>
    <row r="51" spans="1:3" ht="12.75">
      <c r="A51" s="556" t="s">
        <v>92</v>
      </c>
      <c r="B51" s="557" t="s">
        <v>798</v>
      </c>
      <c r="C51" s="555">
        <f t="shared" si="0"/>
        <v>139320</v>
      </c>
    </row>
    <row r="52" spans="1:3" ht="12.75">
      <c r="A52" s="556" t="s">
        <v>341</v>
      </c>
      <c r="B52" s="559" t="s">
        <v>799</v>
      </c>
      <c r="C52" s="555">
        <f t="shared" si="0"/>
        <v>643889575</v>
      </c>
    </row>
    <row r="53" spans="1:3" ht="12.75">
      <c r="A53" s="560" t="s">
        <v>134</v>
      </c>
      <c r="B53" s="561" t="s">
        <v>800</v>
      </c>
      <c r="C53" s="555">
        <f t="shared" si="0"/>
        <v>446756442</v>
      </c>
    </row>
    <row r="54" spans="1:5" ht="12.75">
      <c r="A54" s="563" t="s">
        <v>167</v>
      </c>
      <c r="B54" s="564" t="s">
        <v>801</v>
      </c>
      <c r="C54" s="555">
        <f t="shared" si="0"/>
        <v>197133133</v>
      </c>
      <c r="E54" s="610"/>
    </row>
    <row r="55" spans="1:5" ht="26.25">
      <c r="A55" s="566" t="s">
        <v>352</v>
      </c>
      <c r="B55" s="567" t="s">
        <v>831</v>
      </c>
      <c r="C55" s="555">
        <f t="shared" si="0"/>
        <v>203426973</v>
      </c>
      <c r="E55" s="610"/>
    </row>
    <row r="56" spans="1:3" ht="12.75">
      <c r="A56" s="556" t="s">
        <v>200</v>
      </c>
      <c r="B56" s="557" t="s">
        <v>797</v>
      </c>
      <c r="C56" s="555">
        <f t="shared" si="0"/>
        <v>203377528</v>
      </c>
    </row>
    <row r="57" spans="1:3" ht="12.75">
      <c r="A57" s="569" t="s">
        <v>215</v>
      </c>
      <c r="B57" s="570" t="s">
        <v>798</v>
      </c>
      <c r="C57" s="555">
        <f t="shared" si="0"/>
        <v>49445</v>
      </c>
    </row>
    <row r="58" spans="1:3" ht="12.75">
      <c r="A58" s="566" t="s">
        <v>364</v>
      </c>
      <c r="B58" s="572" t="s">
        <v>802</v>
      </c>
      <c r="C58" s="555">
        <f t="shared" si="0"/>
        <v>-6293840</v>
      </c>
    </row>
    <row r="59" spans="1:3" ht="12.75">
      <c r="A59" s="574" t="s">
        <v>388</v>
      </c>
      <c r="B59" s="575" t="s">
        <v>803</v>
      </c>
      <c r="C59" s="555">
        <f>C55+C58</f>
        <v>197133133</v>
      </c>
    </row>
    <row r="60" ht="12.75">
      <c r="E60" s="610"/>
    </row>
    <row r="61" ht="12.75">
      <c r="C61" s="610"/>
    </row>
  </sheetData>
  <sheetProtection selectLockedCells="1" selectUnlockedCells="1"/>
  <mergeCells count="1">
    <mergeCell ref="A3:C3"/>
  </mergeCells>
  <conditionalFormatting sqref="C12 C27 C41">
    <cfRule type="cellIs" priority="1" dxfId="2" operator="notEqual" stopIfTrue="1">
      <formula>SUM(C13:C14)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5" sqref="A5"/>
    </sheetView>
  </sheetViews>
  <sheetFormatPr defaultColWidth="9.375" defaultRowHeight="12.75"/>
  <cols>
    <col min="1" max="1" width="46.375" style="0" customWidth="1"/>
    <col min="2" max="2" width="66.125" style="0" customWidth="1"/>
  </cols>
  <sheetData>
    <row r="1" ht="17.25">
      <c r="A1" s="1" t="s">
        <v>0</v>
      </c>
    </row>
    <row r="3" spans="1:2" ht="12.75">
      <c r="A3" s="2"/>
      <c r="B3" s="2"/>
    </row>
    <row r="4" spans="1:2" ht="15">
      <c r="A4" s="3" t="s">
        <v>829</v>
      </c>
      <c r="B4" s="4"/>
    </row>
    <row r="5" spans="1:2" s="5" customFormat="1" ht="12.75">
      <c r="A5" s="2"/>
      <c r="B5" s="2"/>
    </row>
    <row r="6" spans="1:2" ht="12.75">
      <c r="A6" s="2" t="s">
        <v>1</v>
      </c>
      <c r="B6" s="2" t="s">
        <v>2</v>
      </c>
    </row>
    <row r="7" spans="1:2" ht="12.75">
      <c r="A7" s="2" t="s">
        <v>3</v>
      </c>
      <c r="B7" s="2" t="s">
        <v>4</v>
      </c>
    </row>
    <row r="8" spans="1:2" ht="12.75">
      <c r="A8" s="2" t="s">
        <v>5</v>
      </c>
      <c r="B8" s="2" t="s">
        <v>6</v>
      </c>
    </row>
    <row r="9" spans="1:2" ht="12.75">
      <c r="A9" s="2"/>
      <c r="B9" s="2"/>
    </row>
    <row r="10" spans="1:2" ht="15">
      <c r="A10" s="3" t="str">
        <f>+CONCATENATE(LEFT(A4,4),". évi módosított előirányzat BEVÉTELEK")</f>
        <v>2019. évi módosított előirányzat BEVÉTELEK</v>
      </c>
      <c r="B10" s="4"/>
    </row>
    <row r="11" spans="1:2" ht="12.75">
      <c r="A11" s="2"/>
      <c r="B11" s="2"/>
    </row>
    <row r="12" spans="1:2" s="5" customFormat="1" ht="12.75">
      <c r="A12" s="2" t="s">
        <v>7</v>
      </c>
      <c r="B12" s="2" t="s">
        <v>8</v>
      </c>
    </row>
    <row r="13" spans="1:2" ht="12.75">
      <c r="A13" s="2" t="s">
        <v>9</v>
      </c>
      <c r="B13" s="2" t="s">
        <v>10</v>
      </c>
    </row>
    <row r="14" spans="1:2" ht="12.75">
      <c r="A14" s="2" t="s">
        <v>11</v>
      </c>
      <c r="B14" s="2" t="s">
        <v>12</v>
      </c>
    </row>
    <row r="15" spans="1:2" ht="12.75">
      <c r="A15" s="2"/>
      <c r="B15" s="2"/>
    </row>
    <row r="16" spans="1:2" ht="13.5">
      <c r="A16" s="6" t="str">
        <f>+CONCATENATE(LEFT(A4,4),". évi teljesítés BEVÉTELEK")</f>
        <v>2019. évi teljesítés BEVÉTELEK</v>
      </c>
      <c r="B16" s="4"/>
    </row>
    <row r="17" spans="1:2" ht="12.75">
      <c r="A17" s="2"/>
      <c r="B17" s="2"/>
    </row>
    <row r="18" spans="1:2" ht="12.75">
      <c r="A18" s="2" t="s">
        <v>13</v>
      </c>
      <c r="B18" s="2" t="s">
        <v>14</v>
      </c>
    </row>
    <row r="19" spans="1:2" ht="12.75">
      <c r="A19" s="2" t="s">
        <v>15</v>
      </c>
      <c r="B19" s="2" t="s">
        <v>16</v>
      </c>
    </row>
    <row r="20" spans="1:2" ht="12.75">
      <c r="A20" s="2" t="s">
        <v>17</v>
      </c>
      <c r="B20" s="2" t="s">
        <v>18</v>
      </c>
    </row>
    <row r="21" spans="1:2" ht="12.75">
      <c r="A21" s="2"/>
      <c r="B21" s="2"/>
    </row>
    <row r="22" spans="1:2" ht="15">
      <c r="A22" s="3" t="str">
        <f>+CONCATENATE(LEFT(A4,4),". évi eredeti előirányzat KIADÁSOK")</f>
        <v>2019. évi eredeti előirányzat KIADÁSOK</v>
      </c>
      <c r="B22" s="4"/>
    </row>
    <row r="23" spans="1:2" ht="12.75">
      <c r="A23" s="2"/>
      <c r="B23" s="2"/>
    </row>
    <row r="24" spans="1:2" ht="12.75">
      <c r="A24" s="2" t="s">
        <v>19</v>
      </c>
      <c r="B24" s="2" t="s">
        <v>20</v>
      </c>
    </row>
    <row r="25" spans="1:2" ht="12.75">
      <c r="A25" s="2" t="s">
        <v>21</v>
      </c>
      <c r="B25" s="2" t="s">
        <v>22</v>
      </c>
    </row>
    <row r="26" spans="1:2" ht="12.75">
      <c r="A26" s="2" t="s">
        <v>23</v>
      </c>
      <c r="B26" s="2" t="s">
        <v>24</v>
      </c>
    </row>
    <row r="27" spans="1:2" ht="12.75">
      <c r="A27" s="2"/>
      <c r="B27" s="2"/>
    </row>
    <row r="28" spans="1:2" ht="15">
      <c r="A28" s="3" t="str">
        <f>+CONCATENATE(LEFT(A4,4),". évi módosított előirányzat KIADÁSOK")</f>
        <v>2019. évi módosított előirányzat KIADÁSOK</v>
      </c>
      <c r="B28" s="4"/>
    </row>
    <row r="29" spans="1:2" ht="12.75">
      <c r="A29" s="2"/>
      <c r="B29" s="2"/>
    </row>
    <row r="30" spans="1:2" ht="12.75">
      <c r="A30" s="2" t="s">
        <v>25</v>
      </c>
      <c r="B30" s="2" t="s">
        <v>26</v>
      </c>
    </row>
    <row r="31" spans="1:2" ht="12.75">
      <c r="A31" s="2" t="s">
        <v>27</v>
      </c>
      <c r="B31" s="2" t="s">
        <v>28</v>
      </c>
    </row>
    <row r="32" spans="1:2" ht="12.75">
      <c r="A32" s="2" t="s">
        <v>29</v>
      </c>
      <c r="B32" s="2" t="s">
        <v>30</v>
      </c>
    </row>
    <row r="33" spans="1:2" ht="12.75">
      <c r="A33" s="2"/>
      <c r="B33" s="2"/>
    </row>
    <row r="34" spans="1:2" ht="15">
      <c r="A34" s="3" t="str">
        <f>+CONCATENATE(LEFT(A4,4),". évi teljesítés KIADÁSOK")</f>
        <v>2019. évi teljesítés KIADÁSOK</v>
      </c>
      <c r="B34" s="4"/>
    </row>
    <row r="35" spans="1:2" ht="12.75">
      <c r="A35" s="2"/>
      <c r="B35" s="2"/>
    </row>
    <row r="36" spans="1:2" ht="12.75">
      <c r="A36" s="2" t="s">
        <v>31</v>
      </c>
      <c r="B36" s="2" t="s">
        <v>32</v>
      </c>
    </row>
    <row r="37" spans="1:2" ht="12.75">
      <c r="A37" s="2" t="s">
        <v>33</v>
      </c>
      <c r="B37" s="2" t="s">
        <v>34</v>
      </c>
    </row>
    <row r="38" spans="1:2" ht="12.75">
      <c r="A38" s="2" t="s">
        <v>35</v>
      </c>
      <c r="B38" s="2" t="s">
        <v>36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15" zoomScalePageLayoutView="0" workbookViewId="0" topLeftCell="A1">
      <selection activeCell="E7" sqref="E7"/>
    </sheetView>
  </sheetViews>
  <sheetFormatPr defaultColWidth="9.37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" t="s">
        <v>0</v>
      </c>
      <c r="E1" s="142" t="s">
        <v>461</v>
      </c>
    </row>
    <row r="3" spans="1:5" ht="12.75">
      <c r="A3" s="2"/>
      <c r="B3" s="143"/>
      <c r="C3" s="2"/>
      <c r="D3" s="144"/>
      <c r="E3" s="143"/>
    </row>
    <row r="4" spans="1:5" ht="15">
      <c r="A4" s="3" t="str">
        <f>+ÖSSZEFÜGGÉSEK!A4</f>
        <v>2019. évi eredeti előirányzat BEVÉTELEK</v>
      </c>
      <c r="B4" s="145"/>
      <c r="C4" s="4"/>
      <c r="D4" s="144"/>
      <c r="E4" s="143"/>
    </row>
    <row r="5" spans="1:5" ht="12.75">
      <c r="A5" s="2"/>
      <c r="B5" s="143"/>
      <c r="C5" s="2"/>
      <c r="D5" s="144"/>
      <c r="E5" s="143"/>
    </row>
    <row r="6" spans="1:5" ht="12.75">
      <c r="A6" s="2" t="s">
        <v>1</v>
      </c>
      <c r="B6" s="143">
        <f>+'1.sz.mell.'!C63</f>
        <v>268432031</v>
      </c>
      <c r="C6" s="2" t="s">
        <v>2</v>
      </c>
      <c r="D6" s="144">
        <f>+'2.1.sz.mell  '!C20+'2.2.sz.mell  '!C19</f>
        <v>268432031</v>
      </c>
      <c r="E6" s="143">
        <f>+B6-D6</f>
        <v>0</v>
      </c>
    </row>
    <row r="7" spans="1:5" ht="12.75">
      <c r="A7" s="2" t="s">
        <v>3</v>
      </c>
      <c r="B7" s="143">
        <f>+'1.sz.mell.'!C86</f>
        <v>183506456</v>
      </c>
      <c r="C7" s="2" t="s">
        <v>4</v>
      </c>
      <c r="D7" s="144">
        <f>+'2.1.sz.mell  '!C29+'2.2.sz.mell  '!C32</f>
        <v>183506456</v>
      </c>
      <c r="E7" s="143">
        <f>+B7-D7</f>
        <v>0</v>
      </c>
    </row>
    <row r="8" spans="1:5" ht="12.75">
      <c r="A8" s="2" t="s">
        <v>5</v>
      </c>
      <c r="B8" s="143">
        <f>+'1.sz.mell.'!C87</f>
        <v>451938487</v>
      </c>
      <c r="C8" s="2" t="s">
        <v>6</v>
      </c>
      <c r="D8" s="144">
        <f>+'2.1.sz.mell  '!C30+'2.2.sz.mell  '!C33</f>
        <v>451938487</v>
      </c>
      <c r="E8" s="143">
        <f>+B8-D8</f>
        <v>0</v>
      </c>
    </row>
    <row r="9" spans="1:5" ht="12.75">
      <c r="A9" s="2"/>
      <c r="B9" s="143"/>
      <c r="C9" s="2"/>
      <c r="D9" s="144"/>
      <c r="E9" s="143"/>
    </row>
    <row r="10" spans="1:5" ht="15">
      <c r="A10" s="3" t="str">
        <f>+ÖSSZEFÜGGÉSEK!A10</f>
        <v>2019. évi módosított előirányzat BEVÉTELEK</v>
      </c>
      <c r="B10" s="145"/>
      <c r="C10" s="4"/>
      <c r="D10" s="144"/>
      <c r="E10" s="143"/>
    </row>
    <row r="11" spans="1:5" ht="12.75">
      <c r="A11" s="2"/>
      <c r="B11" s="143"/>
      <c r="C11" s="2"/>
      <c r="D11" s="144"/>
      <c r="E11" s="143"/>
    </row>
    <row r="12" spans="1:5" ht="12.75">
      <c r="A12" s="2" t="s">
        <v>7</v>
      </c>
      <c r="B12" s="143">
        <f>+'1.sz.mell.'!D63</f>
        <v>400215669</v>
      </c>
      <c r="C12" s="2" t="s">
        <v>8</v>
      </c>
      <c r="D12" s="144">
        <f>+'2.1.sz.mell  '!D20+'2.2.sz.mell  '!D19</f>
        <v>400215669</v>
      </c>
      <c r="E12" s="143">
        <f>+B12-D12</f>
        <v>0</v>
      </c>
    </row>
    <row r="13" spans="1:5" ht="12.75">
      <c r="A13" s="2" t="s">
        <v>9</v>
      </c>
      <c r="B13" s="143">
        <f>+'1.sz.mell.'!D86</f>
        <v>186156392</v>
      </c>
      <c r="C13" s="2" t="s">
        <v>10</v>
      </c>
      <c r="D13" s="144">
        <f>+'2.1.sz.mell  '!D29+'2.2.sz.mell  '!D32</f>
        <v>186156392</v>
      </c>
      <c r="E13" s="143">
        <f>+B13-D13</f>
        <v>0</v>
      </c>
    </row>
    <row r="14" spans="1:5" ht="12.75">
      <c r="A14" s="2" t="s">
        <v>11</v>
      </c>
      <c r="B14" s="143">
        <f>+'1.sz.mell.'!D87</f>
        <v>586372061</v>
      </c>
      <c r="C14" s="2" t="s">
        <v>12</v>
      </c>
      <c r="D14" s="144">
        <f>+'2.1.sz.mell  '!D30+'2.2.sz.mell  '!D33</f>
        <v>586372061</v>
      </c>
      <c r="E14" s="143">
        <f>+B14-D14</f>
        <v>0</v>
      </c>
    </row>
    <row r="15" spans="1:5" ht="12.75">
      <c r="A15" s="2"/>
      <c r="B15" s="143"/>
      <c r="C15" s="2"/>
      <c r="D15" s="144"/>
      <c r="E15" s="143"/>
    </row>
    <row r="16" spans="1:5" ht="13.5">
      <c r="A16" s="6" t="str">
        <f>+ÖSSZEFÜGGÉSEK!A16</f>
        <v>2019. évi teljesítés BEVÉTELEK</v>
      </c>
      <c r="C16" s="4"/>
      <c r="D16" s="144"/>
      <c r="E16" s="143"/>
    </row>
    <row r="17" spans="1:5" ht="12.75">
      <c r="A17" s="2"/>
      <c r="B17" s="143"/>
      <c r="C17" s="2"/>
      <c r="D17" s="144"/>
      <c r="E17" s="143"/>
    </row>
    <row r="18" spans="1:5" ht="12.75">
      <c r="A18" s="2" t="s">
        <v>13</v>
      </c>
      <c r="B18" s="143">
        <f>+'1.sz.mell.'!E63</f>
        <v>400215669</v>
      </c>
      <c r="C18" s="2" t="s">
        <v>14</v>
      </c>
      <c r="D18" s="144">
        <f>+'2.1.sz.mell  '!E20+'2.2.sz.mell  '!E19</f>
        <v>400215669</v>
      </c>
      <c r="E18" s="143">
        <f>+B18-D18</f>
        <v>0</v>
      </c>
    </row>
    <row r="19" spans="1:5" ht="12.75">
      <c r="A19" s="2" t="s">
        <v>15</v>
      </c>
      <c r="B19" s="143">
        <f>+'1.sz.mell.'!E86</f>
        <v>186156392</v>
      </c>
      <c r="C19" s="2" t="s">
        <v>16</v>
      </c>
      <c r="D19" s="144">
        <f>+'2.1.sz.mell  '!E29+'2.2.sz.mell  '!E32</f>
        <v>186156392</v>
      </c>
      <c r="E19" s="143">
        <f>+B19-D19</f>
        <v>0</v>
      </c>
    </row>
    <row r="20" spans="1:5" ht="12.75">
      <c r="A20" s="2" t="s">
        <v>17</v>
      </c>
      <c r="B20" s="143">
        <f>+'1.sz.mell.'!E87</f>
        <v>586372061</v>
      </c>
      <c r="C20" s="2" t="s">
        <v>18</v>
      </c>
      <c r="D20" s="144">
        <f>+'2.1.sz.mell  '!E30+'2.2.sz.mell  '!E33</f>
        <v>586372061</v>
      </c>
      <c r="E20" s="143">
        <f>+B20-D20</f>
        <v>0</v>
      </c>
    </row>
    <row r="21" spans="1:5" ht="12.75">
      <c r="A21" s="2"/>
      <c r="B21" s="143"/>
      <c r="C21" s="2"/>
      <c r="D21" s="144"/>
      <c r="E21" s="143"/>
    </row>
    <row r="22" spans="1:5" ht="15">
      <c r="A22" s="3" t="str">
        <f>+ÖSSZEFÜGGÉSEK!A22</f>
        <v>2019. évi eredeti előirányzat KIADÁSOK</v>
      </c>
      <c r="B22" s="145"/>
      <c r="C22" s="4"/>
      <c r="D22" s="144"/>
      <c r="E22" s="143"/>
    </row>
    <row r="23" spans="1:5" ht="12.75">
      <c r="A23" s="2"/>
      <c r="B23" s="143"/>
      <c r="C23" s="2"/>
      <c r="D23" s="144"/>
      <c r="E23" s="143"/>
    </row>
    <row r="24" spans="1:5" ht="12.75">
      <c r="A24" s="2" t="s">
        <v>19</v>
      </c>
      <c r="B24" s="143">
        <f>+'1.sz.mell.'!C127</f>
        <v>449385205</v>
      </c>
      <c r="C24" s="2" t="s">
        <v>20</v>
      </c>
      <c r="D24" s="144">
        <f>+'2.1.sz.mell  '!G20+'2.2.sz.mell  '!G19</f>
        <v>449385205</v>
      </c>
      <c r="E24" s="143">
        <f>+B24-D24</f>
        <v>0</v>
      </c>
    </row>
    <row r="25" spans="1:5" ht="12.75">
      <c r="A25" s="2" t="s">
        <v>21</v>
      </c>
      <c r="B25" s="143">
        <f>+'1.sz.mell.'!C147</f>
        <v>2553282</v>
      </c>
      <c r="C25" s="2" t="s">
        <v>22</v>
      </c>
      <c r="D25" s="144">
        <f>+'2.1.sz.mell  '!G29+'2.2.sz.mell  '!G32</f>
        <v>2553282</v>
      </c>
      <c r="E25" s="143">
        <f>+B25-D25</f>
        <v>0</v>
      </c>
    </row>
    <row r="26" spans="1:5" ht="12.75">
      <c r="A26" s="2" t="s">
        <v>23</v>
      </c>
      <c r="B26" s="143">
        <f>+'1.sz.mell.'!C148</f>
        <v>451938487</v>
      </c>
      <c r="C26" s="2" t="s">
        <v>24</v>
      </c>
      <c r="D26" s="144">
        <f>+'2.1.sz.mell  '!G30+'2.2.sz.mell  '!G33</f>
        <v>451938487</v>
      </c>
      <c r="E26" s="143">
        <f>+B26-D26</f>
        <v>0</v>
      </c>
    </row>
    <row r="27" spans="1:5" ht="12.75">
      <c r="A27" s="2"/>
      <c r="B27" s="143"/>
      <c r="C27" s="2"/>
      <c r="D27" s="144"/>
      <c r="E27" s="143"/>
    </row>
    <row r="28" spans="1:5" ht="15">
      <c r="A28" s="3" t="str">
        <f>+ÖSSZEFÜGGÉSEK!A28</f>
        <v>2019. évi módosított előirányzat KIADÁSOK</v>
      </c>
      <c r="B28" s="145"/>
      <c r="C28" s="4"/>
      <c r="D28" s="144"/>
      <c r="E28" s="143"/>
    </row>
    <row r="29" spans="1:5" ht="12.75">
      <c r="A29" s="2"/>
      <c r="B29" s="143"/>
      <c r="C29" s="2"/>
      <c r="D29" s="144"/>
      <c r="E29" s="143"/>
    </row>
    <row r="30" spans="1:5" ht="12.75">
      <c r="A30" s="2" t="s">
        <v>25</v>
      </c>
      <c r="B30" s="143">
        <f>+'1.sz.mell.'!D127</f>
        <v>583818779</v>
      </c>
      <c r="C30" s="2" t="s">
        <v>26</v>
      </c>
      <c r="D30" s="144">
        <f>+'2.1.sz.mell  '!H20+'2.2.sz.mell  '!H19</f>
        <v>583818779</v>
      </c>
      <c r="E30" s="143">
        <f>+B30-D30</f>
        <v>0</v>
      </c>
    </row>
    <row r="31" spans="1:5" ht="12.75">
      <c r="A31" s="2" t="s">
        <v>27</v>
      </c>
      <c r="B31" s="143">
        <f>+'1.sz.mell.'!D147</f>
        <v>2553282</v>
      </c>
      <c r="C31" s="2" t="s">
        <v>28</v>
      </c>
      <c r="D31" s="144">
        <f>+'2.1.sz.mell  '!H29+'2.2.sz.mell  '!H32</f>
        <v>2553282</v>
      </c>
      <c r="E31" s="143">
        <f>+B31-D31</f>
        <v>0</v>
      </c>
    </row>
    <row r="32" spans="1:5" ht="12.75">
      <c r="A32" s="2" t="s">
        <v>29</v>
      </c>
      <c r="B32" s="143">
        <f>+'1.sz.mell.'!D148</f>
        <v>586372061</v>
      </c>
      <c r="C32" s="2" t="s">
        <v>30</v>
      </c>
      <c r="D32" s="144">
        <f>+'2.1.sz.mell  '!H30+'2.2.sz.mell  '!H33</f>
        <v>586372061</v>
      </c>
      <c r="E32" s="143">
        <f>+B32-D32</f>
        <v>0</v>
      </c>
    </row>
    <row r="33" spans="1:5" ht="12.75">
      <c r="A33" s="2"/>
      <c r="B33" s="143"/>
      <c r="C33" s="2"/>
      <c r="D33" s="144"/>
      <c r="E33" s="143"/>
    </row>
    <row r="34" spans="1:5" ht="15">
      <c r="A34" s="3" t="str">
        <f>+ÖSSZEFÜGGÉSEK!A34</f>
        <v>2019. évi teljesítés KIADÁSOK</v>
      </c>
      <c r="B34" s="145"/>
      <c r="C34" s="4"/>
      <c r="D34" s="144"/>
      <c r="E34" s="143"/>
    </row>
    <row r="35" spans="1:5" ht="12.75">
      <c r="A35" s="2"/>
      <c r="B35" s="143"/>
      <c r="C35" s="2"/>
      <c r="D35" s="144"/>
      <c r="E35" s="143"/>
    </row>
    <row r="36" spans="1:5" ht="12.75">
      <c r="A36" s="2" t="s">
        <v>31</v>
      </c>
      <c r="B36" s="143">
        <f>+'1.sz.mell.'!E127</f>
        <v>386685646</v>
      </c>
      <c r="C36" s="2" t="s">
        <v>32</v>
      </c>
      <c r="D36" s="144">
        <f>+'2.1.sz.mell  '!I20+'2.2.sz.mell  '!I19</f>
        <v>386685646</v>
      </c>
      <c r="E36" s="143">
        <f>+B36-D36</f>
        <v>0</v>
      </c>
    </row>
    <row r="37" spans="1:5" ht="12.75">
      <c r="A37" s="2" t="s">
        <v>33</v>
      </c>
      <c r="B37" s="143">
        <f>+'1.sz.mell.'!E147</f>
        <v>2553282</v>
      </c>
      <c r="C37" s="2" t="s">
        <v>34</v>
      </c>
      <c r="D37" s="144">
        <f>+'2.1.sz.mell  '!I29+'2.2.sz.mell  '!I32</f>
        <v>2553282</v>
      </c>
      <c r="E37" s="143">
        <f>+B37-D37</f>
        <v>0</v>
      </c>
    </row>
    <row r="38" spans="1:5" ht="12.75">
      <c r="A38" s="2" t="s">
        <v>35</v>
      </c>
      <c r="B38" s="143">
        <f>+'1.sz.mell.'!E148</f>
        <v>389238928</v>
      </c>
      <c r="C38" s="2" t="s">
        <v>36</v>
      </c>
      <c r="D38" s="144">
        <f>+'2.1.sz.mell  '!I30+'2.2.sz.mell  '!I33</f>
        <v>389238928</v>
      </c>
      <c r="E38" s="143">
        <f>+B38-D38</f>
        <v>0</v>
      </c>
    </row>
  </sheetData>
  <sheetProtection sheet="1"/>
  <conditionalFormatting sqref="E3:E38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15" zoomScalePageLayoutView="0" workbookViewId="0" topLeftCell="A1">
      <selection activeCell="A2" sqref="A2"/>
    </sheetView>
  </sheetViews>
  <sheetFormatPr defaultColWidth="9.375" defaultRowHeight="12.75"/>
  <cols>
    <col min="1" max="1" width="6.75390625" style="84" customWidth="1"/>
    <col min="2" max="2" width="55.125" style="85" customWidth="1"/>
    <col min="3" max="5" width="16.375" style="84" customWidth="1"/>
    <col min="6" max="6" width="55.125" style="84" customWidth="1"/>
    <col min="7" max="9" width="16.375" style="84" customWidth="1"/>
    <col min="10" max="10" width="0" style="86" hidden="1" customWidth="1"/>
    <col min="11" max="16384" width="9.375" style="84" customWidth="1"/>
  </cols>
  <sheetData>
    <row r="1" spans="1:9" ht="12.75">
      <c r="A1" s="633" t="str">
        <f>+CONCATENATE("2.2. melléklet a 6/",LEFT(ÖSSZEFÜGGÉSEK!A4,4)+1,". (VII.17.) önkormányzati rendelethez")</f>
        <v>2.2. melléklet a 6/2020. (VII.17.) önkormányzati rendelethez</v>
      </c>
      <c r="B1" s="634"/>
      <c r="C1" s="634"/>
      <c r="D1" s="634"/>
      <c r="E1" s="634"/>
      <c r="F1" s="634"/>
      <c r="G1" s="634"/>
      <c r="H1" s="634"/>
      <c r="I1" s="634"/>
    </row>
    <row r="3" spans="2:9" ht="39.75" customHeight="1">
      <c r="B3" s="635" t="s">
        <v>428</v>
      </c>
      <c r="C3" s="635"/>
      <c r="D3" s="635"/>
      <c r="E3" s="635"/>
      <c r="F3" s="635"/>
      <c r="G3" s="635"/>
      <c r="H3" s="635"/>
      <c r="I3" s="635"/>
    </row>
    <row r="4" spans="7:9" ht="13.5">
      <c r="G4" s="87"/>
      <c r="H4" s="87"/>
      <c r="I4" s="87" t="s">
        <v>371</v>
      </c>
    </row>
    <row r="5" spans="1:9" ht="24" customHeight="1">
      <c r="A5" s="636" t="s">
        <v>40</v>
      </c>
      <c r="B5" s="637" t="s">
        <v>372</v>
      </c>
      <c r="C5" s="637"/>
      <c r="D5" s="637"/>
      <c r="E5" s="637"/>
      <c r="F5" s="636" t="s">
        <v>373</v>
      </c>
      <c r="G5" s="636"/>
      <c r="H5" s="636"/>
      <c r="I5" s="636"/>
    </row>
    <row r="6" spans="1:10" s="93" customFormat="1" ht="35.25" customHeight="1">
      <c r="A6" s="636"/>
      <c r="B6" s="88" t="s">
        <v>374</v>
      </c>
      <c r="C6" s="89" t="str">
        <f>+'2.1.sz.mell  '!C6</f>
        <v>2019. évi eredeti előirányzat</v>
      </c>
      <c r="D6" s="90" t="str">
        <f>+'2.1.sz.mell  '!D6</f>
        <v>2019. évi módosított előirányzat</v>
      </c>
      <c r="E6" s="89" t="str">
        <f>+'2.1.sz.mell  '!E6</f>
        <v>2019. évi teljesítés</v>
      </c>
      <c r="F6" s="88" t="s">
        <v>374</v>
      </c>
      <c r="G6" s="89" t="str">
        <f>+'2.1.sz.mell  '!C6</f>
        <v>2019. évi eredeti előirányzat</v>
      </c>
      <c r="H6" s="90" t="str">
        <f>+'2.1.sz.mell  '!D6</f>
        <v>2019. évi módosított előirányzat</v>
      </c>
      <c r="I6" s="91" t="str">
        <f>+'2.1.sz.mell  '!E6</f>
        <v>2019. évi teljesítés</v>
      </c>
      <c r="J6" s="92"/>
    </row>
    <row r="7" spans="1:10" s="93" customFormat="1" ht="12.75">
      <c r="A7" s="94" t="s">
        <v>45</v>
      </c>
      <c r="B7" s="95" t="s">
        <v>46</v>
      </c>
      <c r="C7" s="96" t="s">
        <v>47</v>
      </c>
      <c r="D7" s="96" t="s">
        <v>48</v>
      </c>
      <c r="E7" s="96" t="s">
        <v>49</v>
      </c>
      <c r="F7" s="95" t="s">
        <v>375</v>
      </c>
      <c r="G7" s="96" t="s">
        <v>376</v>
      </c>
      <c r="H7" s="96" t="s">
        <v>377</v>
      </c>
      <c r="I7" s="97" t="s">
        <v>378</v>
      </c>
      <c r="J7" s="98"/>
    </row>
    <row r="8" spans="1:10" ht="12.75" customHeight="1">
      <c r="A8" s="100" t="s">
        <v>50</v>
      </c>
      <c r="B8" s="101" t="s">
        <v>429</v>
      </c>
      <c r="C8" s="102">
        <f>'1.sz.mell.'!C22</f>
        <v>95000000</v>
      </c>
      <c r="D8" s="102">
        <f>'1.sz.mell.'!D22</f>
        <v>151681249</v>
      </c>
      <c r="E8" s="102">
        <f>'1.sz.mell.'!E22</f>
        <v>151681249</v>
      </c>
      <c r="F8" s="101" t="s">
        <v>320</v>
      </c>
      <c r="G8" s="102">
        <f>'1.sz.mell.'!C111</f>
        <v>11429400</v>
      </c>
      <c r="H8" s="102">
        <f>'1.sz.mell.'!D111</f>
        <v>25151531</v>
      </c>
      <c r="I8" s="102">
        <f>'1.sz.mell.'!E111</f>
        <v>20960365</v>
      </c>
      <c r="J8" s="86" t="s">
        <v>52</v>
      </c>
    </row>
    <row r="9" spans="1:10" ht="12.75">
      <c r="A9" s="103" t="s">
        <v>71</v>
      </c>
      <c r="B9" s="104" t="s">
        <v>430</v>
      </c>
      <c r="C9" s="105"/>
      <c r="D9" s="105"/>
      <c r="E9" s="105"/>
      <c r="F9" s="104" t="s">
        <v>431</v>
      </c>
      <c r="G9" s="105"/>
      <c r="H9" s="105"/>
      <c r="I9" s="109"/>
      <c r="J9" s="86" t="s">
        <v>55</v>
      </c>
    </row>
    <row r="10" spans="1:10" ht="12.75" customHeight="1">
      <c r="A10" s="103" t="s">
        <v>92</v>
      </c>
      <c r="B10" s="104" t="s">
        <v>432</v>
      </c>
      <c r="C10" s="102">
        <f>'1.sz.mell.'!C47</f>
        <v>0</v>
      </c>
      <c r="D10" s="102">
        <f>'1.sz.mell.'!D47</f>
        <v>186614</v>
      </c>
      <c r="E10" s="102">
        <f>'1.sz.mell.'!E47</f>
        <v>186614</v>
      </c>
      <c r="F10" s="104" t="s">
        <v>322</v>
      </c>
      <c r="G10" s="105">
        <f>'1.sz.mell.'!C113</f>
        <v>166497000</v>
      </c>
      <c r="H10" s="105">
        <f>'1.sz.mell.'!D113</f>
        <v>159572870</v>
      </c>
      <c r="I10" s="105">
        <f>'1.sz.mell.'!E113</f>
        <v>112146749</v>
      </c>
      <c r="J10" s="86" t="s">
        <v>58</v>
      </c>
    </row>
    <row r="11" spans="1:10" ht="12.75" customHeight="1">
      <c r="A11" s="103" t="s">
        <v>341</v>
      </c>
      <c r="B11" s="104" t="s">
        <v>433</v>
      </c>
      <c r="C11" s="102">
        <f>'1.sz.mell.'!C58</f>
        <v>0</v>
      </c>
      <c r="D11" s="102">
        <f>'1.sz.mell.'!D58</f>
        <v>22432122</v>
      </c>
      <c r="E11" s="102">
        <f>'1.sz.mell.'!E58</f>
        <v>22432122</v>
      </c>
      <c r="F11" s="104" t="s">
        <v>434</v>
      </c>
      <c r="G11" s="105"/>
      <c r="H11" s="105"/>
      <c r="I11" s="109"/>
      <c r="J11" s="86" t="s">
        <v>61</v>
      </c>
    </row>
    <row r="12" spans="1:10" ht="12.75" customHeight="1">
      <c r="A12" s="103" t="s">
        <v>134</v>
      </c>
      <c r="B12" s="104" t="s">
        <v>435</v>
      </c>
      <c r="C12" s="105"/>
      <c r="D12" s="105"/>
      <c r="E12" s="105"/>
      <c r="F12" s="104" t="s">
        <v>324</v>
      </c>
      <c r="G12" s="105">
        <f>'1.sz.mell.'!C115</f>
        <v>25000000</v>
      </c>
      <c r="H12" s="105">
        <f>'1.sz.mell.'!D115</f>
        <v>53432122</v>
      </c>
      <c r="I12" s="105">
        <f>'1.sz.mell.'!E115</f>
        <v>53382122</v>
      </c>
      <c r="J12" s="86" t="s">
        <v>64</v>
      </c>
    </row>
    <row r="13" spans="1:10" ht="12.75" customHeight="1">
      <c r="A13" s="103" t="s">
        <v>167</v>
      </c>
      <c r="B13" s="104" t="s">
        <v>436</v>
      </c>
      <c r="C13" s="107"/>
      <c r="D13" s="107"/>
      <c r="E13" s="107"/>
      <c r="F13" s="125"/>
      <c r="G13" s="105"/>
      <c r="H13" s="105"/>
      <c r="I13" s="109"/>
      <c r="J13" s="86" t="s">
        <v>67</v>
      </c>
    </row>
    <row r="14" spans="1:9" ht="12.75" customHeight="1">
      <c r="A14" s="103" t="s">
        <v>352</v>
      </c>
      <c r="B14" s="108"/>
      <c r="C14" s="105"/>
      <c r="D14" s="105"/>
      <c r="E14" s="105"/>
      <c r="F14" s="125"/>
      <c r="G14" s="105"/>
      <c r="H14" s="105"/>
      <c r="I14" s="109"/>
    </row>
    <row r="15" spans="1:9" ht="12.75" customHeight="1">
      <c r="A15" s="103" t="s">
        <v>200</v>
      </c>
      <c r="B15" s="108"/>
      <c r="C15" s="105"/>
      <c r="D15" s="105"/>
      <c r="E15" s="105"/>
      <c r="F15" s="125"/>
      <c r="G15" s="105"/>
      <c r="H15" s="105"/>
      <c r="I15" s="109"/>
    </row>
    <row r="16" spans="1:9" ht="12.75" customHeight="1">
      <c r="A16" s="103" t="s">
        <v>215</v>
      </c>
      <c r="B16" s="126"/>
      <c r="C16" s="107"/>
      <c r="D16" s="107"/>
      <c r="E16" s="107"/>
      <c r="F16" s="125"/>
      <c r="G16" s="105"/>
      <c r="H16" s="105"/>
      <c r="I16" s="109"/>
    </row>
    <row r="17" spans="1:9" ht="12.75">
      <c r="A17" s="103" t="s">
        <v>364</v>
      </c>
      <c r="B17" s="108"/>
      <c r="C17" s="107"/>
      <c r="D17" s="107"/>
      <c r="E17" s="107"/>
      <c r="F17" s="125"/>
      <c r="G17" s="105"/>
      <c r="H17" s="105"/>
      <c r="I17" s="109"/>
    </row>
    <row r="18" spans="1:9" ht="12.75" customHeight="1">
      <c r="A18" s="117" t="s">
        <v>388</v>
      </c>
      <c r="B18" s="127"/>
      <c r="C18" s="128"/>
      <c r="D18" s="129"/>
      <c r="E18" s="130"/>
      <c r="F18" s="118" t="s">
        <v>387</v>
      </c>
      <c r="G18" s="105"/>
      <c r="H18" s="105"/>
      <c r="I18" s="109"/>
    </row>
    <row r="19" spans="1:10" ht="15.75" customHeight="1">
      <c r="A19" s="114" t="s">
        <v>389</v>
      </c>
      <c r="B19" s="115" t="s">
        <v>437</v>
      </c>
      <c r="C19" s="116">
        <f>+C8+C10+C11+C13+C14+C15+C16+C17+C18</f>
        <v>95000000</v>
      </c>
      <c r="D19" s="116">
        <f>+D8+D10+D11+D13+D14+D15+D16+D17+D18</f>
        <v>174299985</v>
      </c>
      <c r="E19" s="116">
        <f>+E8+E10+E11+E13+E14+E15+E16+E17+E18</f>
        <v>174299985</v>
      </c>
      <c r="F19" s="115" t="s">
        <v>438</v>
      </c>
      <c r="G19" s="116">
        <f>+G8+G10+G12+G13+G14+G15+G16+G17+G18</f>
        <v>202926400</v>
      </c>
      <c r="H19" s="116">
        <f>+H8+H10+H12+H13+H14+H15+H16+H17+H18</f>
        <v>238156523</v>
      </c>
      <c r="I19" s="131">
        <f>+I8+I10+I12+I13+I14+I15+I16+I17+I18</f>
        <v>186489236</v>
      </c>
      <c r="J19" s="86" t="s">
        <v>70</v>
      </c>
    </row>
    <row r="20" spans="1:10" ht="12.75" customHeight="1">
      <c r="A20" s="100" t="s">
        <v>390</v>
      </c>
      <c r="B20" s="132" t="s">
        <v>439</v>
      </c>
      <c r="C20" s="133">
        <f>+C21+C22+C23+C24+C25</f>
        <v>0</v>
      </c>
      <c r="D20" s="133">
        <f>+D21+D22+D23+D24+D25</f>
        <v>0</v>
      </c>
      <c r="E20" s="133">
        <f>+E21+E22+E23+E24+E25</f>
        <v>0</v>
      </c>
      <c r="F20" s="104" t="s">
        <v>395</v>
      </c>
      <c r="G20" s="102">
        <f>'6.1. sz. mell_k'!C130</f>
        <v>0</v>
      </c>
      <c r="H20" s="102">
        <f>'6.1. sz. mell_k'!D130</f>
        <v>0</v>
      </c>
      <c r="I20" s="102">
        <f>'6.1. sz. mell_k'!E130</f>
        <v>0</v>
      </c>
      <c r="J20" s="86" t="s">
        <v>73</v>
      </c>
    </row>
    <row r="21" spans="1:10" ht="12.75" customHeight="1">
      <c r="A21" s="103" t="s">
        <v>393</v>
      </c>
      <c r="B21" s="135" t="s">
        <v>440</v>
      </c>
      <c r="C21" s="105"/>
      <c r="D21" s="105"/>
      <c r="E21" s="105"/>
      <c r="F21" s="104" t="s">
        <v>441</v>
      </c>
      <c r="G21" s="105"/>
      <c r="H21" s="105"/>
      <c r="I21" s="109"/>
      <c r="J21" s="86" t="s">
        <v>76</v>
      </c>
    </row>
    <row r="22" spans="1:10" ht="12.75" customHeight="1">
      <c r="A22" s="100" t="s">
        <v>396</v>
      </c>
      <c r="B22" s="135" t="s">
        <v>442</v>
      </c>
      <c r="C22" s="105"/>
      <c r="D22" s="105"/>
      <c r="E22" s="105"/>
      <c r="F22" s="104" t="s">
        <v>401</v>
      </c>
      <c r="G22" s="105"/>
      <c r="H22" s="105"/>
      <c r="I22" s="109"/>
      <c r="J22" s="86" t="s">
        <v>79</v>
      </c>
    </row>
    <row r="23" spans="1:10" ht="12.75" customHeight="1">
      <c r="A23" s="103" t="s">
        <v>399</v>
      </c>
      <c r="B23" s="135" t="s">
        <v>443</v>
      </c>
      <c r="C23" s="105">
        <f>'1.sz.mell.'!C79</f>
        <v>0</v>
      </c>
      <c r="D23" s="105">
        <f>'1.sz.mell.'!D79</f>
        <v>0</v>
      </c>
      <c r="E23" s="105">
        <f>'1.sz.mell.'!E79</f>
        <v>0</v>
      </c>
      <c r="F23" s="104" t="s">
        <v>404</v>
      </c>
      <c r="G23" s="105"/>
      <c r="H23" s="105"/>
      <c r="I23" s="109"/>
      <c r="J23" s="86" t="s">
        <v>82</v>
      </c>
    </row>
    <row r="24" spans="1:10" ht="12.75" customHeight="1">
      <c r="A24" s="100" t="s">
        <v>402</v>
      </c>
      <c r="B24" s="135" t="s">
        <v>444</v>
      </c>
      <c r="C24" s="105">
        <v>0</v>
      </c>
      <c r="D24" s="105">
        <v>0</v>
      </c>
      <c r="E24" s="105">
        <v>0</v>
      </c>
      <c r="F24" s="118" t="s">
        <v>407</v>
      </c>
      <c r="G24" s="105"/>
      <c r="H24" s="105"/>
      <c r="I24" s="109"/>
      <c r="J24" s="86" t="s">
        <v>85</v>
      </c>
    </row>
    <row r="25" spans="1:10" ht="12.75" customHeight="1">
      <c r="A25" s="103" t="s">
        <v>405</v>
      </c>
      <c r="B25" s="136" t="s">
        <v>445</v>
      </c>
      <c r="C25" s="105"/>
      <c r="D25" s="105"/>
      <c r="E25" s="105"/>
      <c r="F25" s="104" t="s">
        <v>446</v>
      </c>
      <c r="G25" s="105"/>
      <c r="H25" s="105"/>
      <c r="I25" s="109"/>
      <c r="J25" s="86" t="s">
        <v>88</v>
      </c>
    </row>
    <row r="26" spans="1:10" ht="12.75" customHeight="1">
      <c r="A26" s="100" t="s">
        <v>408</v>
      </c>
      <c r="B26" s="137" t="s">
        <v>447</v>
      </c>
      <c r="C26" s="121">
        <f>+C27+C28+C29+C30+C31</f>
        <v>0</v>
      </c>
      <c r="D26" s="121">
        <f>+D27+D28+D29+D30+D31</f>
        <v>0</v>
      </c>
      <c r="E26" s="121">
        <f>+E27+E28+E29+E30+E31</f>
        <v>0</v>
      </c>
      <c r="F26" s="101" t="s">
        <v>413</v>
      </c>
      <c r="G26" s="105">
        <f>'1.sz.mell.'!C140</f>
        <v>0</v>
      </c>
      <c r="H26" s="105">
        <f>'1.sz.mell.'!D140</f>
        <v>0</v>
      </c>
      <c r="I26" s="105">
        <f>'1.sz.mell.'!E140</f>
        <v>0</v>
      </c>
      <c r="J26" s="86" t="s">
        <v>91</v>
      </c>
    </row>
    <row r="27" spans="1:10" ht="12.75" customHeight="1">
      <c r="A27" s="103" t="s">
        <v>411</v>
      </c>
      <c r="B27" s="136" t="s">
        <v>448</v>
      </c>
      <c r="C27" s="105"/>
      <c r="D27" s="105"/>
      <c r="E27" s="105"/>
      <c r="F27" s="101" t="s">
        <v>449</v>
      </c>
      <c r="G27" s="105"/>
      <c r="H27" s="105"/>
      <c r="I27" s="109"/>
      <c r="J27" s="86" t="s">
        <v>94</v>
      </c>
    </row>
    <row r="28" spans="1:10" ht="12.75" customHeight="1">
      <c r="A28" s="100" t="s">
        <v>414</v>
      </c>
      <c r="B28" s="136" t="s">
        <v>450</v>
      </c>
      <c r="C28" s="105"/>
      <c r="D28" s="105"/>
      <c r="E28" s="105"/>
      <c r="F28" s="138"/>
      <c r="G28" s="105"/>
      <c r="H28" s="105"/>
      <c r="I28" s="105"/>
      <c r="J28" s="86" t="s">
        <v>97</v>
      </c>
    </row>
    <row r="29" spans="1:10" ht="12.75" customHeight="1">
      <c r="A29" s="103" t="s">
        <v>416</v>
      </c>
      <c r="B29" s="135" t="s">
        <v>451</v>
      </c>
      <c r="C29" s="105"/>
      <c r="D29" s="105"/>
      <c r="E29" s="105"/>
      <c r="F29" s="138"/>
      <c r="G29" s="105"/>
      <c r="H29" s="105"/>
      <c r="I29" s="109"/>
      <c r="J29" s="86" t="s">
        <v>100</v>
      </c>
    </row>
    <row r="30" spans="1:10" ht="12.75" customHeight="1">
      <c r="A30" s="100" t="s">
        <v>419</v>
      </c>
      <c r="B30" s="139" t="s">
        <v>452</v>
      </c>
      <c r="C30" s="105"/>
      <c r="D30" s="105"/>
      <c r="E30" s="105"/>
      <c r="F30" s="108"/>
      <c r="G30" s="105"/>
      <c r="H30" s="105"/>
      <c r="I30" s="109"/>
      <c r="J30" s="86" t="s">
        <v>103</v>
      </c>
    </row>
    <row r="31" spans="1:10" ht="12.75" customHeight="1">
      <c r="A31" s="103" t="s">
        <v>422</v>
      </c>
      <c r="B31" s="140" t="s">
        <v>453</v>
      </c>
      <c r="C31" s="105"/>
      <c r="D31" s="105"/>
      <c r="E31" s="105"/>
      <c r="F31" s="138"/>
      <c r="G31" s="105"/>
      <c r="H31" s="105"/>
      <c r="I31" s="109"/>
      <c r="J31" s="86" t="s">
        <v>106</v>
      </c>
    </row>
    <row r="32" spans="1:10" ht="16.5" customHeight="1">
      <c r="A32" s="114" t="s">
        <v>425</v>
      </c>
      <c r="B32" s="115" t="s">
        <v>454</v>
      </c>
      <c r="C32" s="116">
        <f>+C20+C26</f>
        <v>0</v>
      </c>
      <c r="D32" s="116">
        <f>+D20+D26</f>
        <v>0</v>
      </c>
      <c r="E32" s="116">
        <f>+E20+E26</f>
        <v>0</v>
      </c>
      <c r="F32" s="115" t="s">
        <v>455</v>
      </c>
      <c r="G32" s="116">
        <f>SUM(G20:G31)</f>
        <v>0</v>
      </c>
      <c r="H32" s="116">
        <f>SUM(H20:H31)</f>
        <v>0</v>
      </c>
      <c r="I32" s="131">
        <f>SUM(I20:I31)</f>
        <v>0</v>
      </c>
      <c r="J32" s="86" t="s">
        <v>109</v>
      </c>
    </row>
    <row r="33" spans="1:10" ht="16.5" customHeight="1">
      <c r="A33" s="114" t="s">
        <v>456</v>
      </c>
      <c r="B33" s="122" t="s">
        <v>457</v>
      </c>
      <c r="C33" s="123">
        <f>+C19+C32</f>
        <v>95000000</v>
      </c>
      <c r="D33" s="123">
        <f>+D19+D32</f>
        <v>174299985</v>
      </c>
      <c r="E33" s="124">
        <f>+E19+E32</f>
        <v>174299985</v>
      </c>
      <c r="F33" s="122" t="s">
        <v>458</v>
      </c>
      <c r="G33" s="123">
        <f>+G19+G32</f>
        <v>202926400</v>
      </c>
      <c r="H33" s="123">
        <f>+H19+H32</f>
        <v>238156523</v>
      </c>
      <c r="I33" s="141">
        <f>+I19+I32</f>
        <v>186489236</v>
      </c>
      <c r="J33" s="86" t="s">
        <v>112</v>
      </c>
    </row>
    <row r="34" spans="1:10" ht="16.5" customHeight="1">
      <c r="A34" s="114" t="s">
        <v>459</v>
      </c>
      <c r="B34" s="122" t="s">
        <v>423</v>
      </c>
      <c r="C34" s="123">
        <f>IF(C19-G19&lt;0,G19-C19,"-")</f>
        <v>107926400</v>
      </c>
      <c r="D34" s="123">
        <f>IF(D19-H19&lt;0,H19-D19,"-")</f>
        <v>63856538</v>
      </c>
      <c r="E34" s="124">
        <f>IF(E19-I19&lt;0,I19-E19,"-")</f>
        <v>12189251</v>
      </c>
      <c r="F34" s="122" t="s">
        <v>424</v>
      </c>
      <c r="G34" s="123" t="str">
        <f>IF(C19-G19&gt;0,C19-G19,"-")</f>
        <v>-</v>
      </c>
      <c r="H34" s="123" t="str">
        <f>IF(D19-H19&gt;0,D19-H19,"-")</f>
        <v>-</v>
      </c>
      <c r="I34" s="141" t="str">
        <f>IF(E19-I19&gt;0,E19-I19,"-")</f>
        <v>-</v>
      </c>
      <c r="J34" s="86" t="s">
        <v>115</v>
      </c>
    </row>
    <row r="35" spans="1:10" ht="16.5" customHeight="1">
      <c r="A35" s="114" t="s">
        <v>460</v>
      </c>
      <c r="B35" s="122" t="s">
        <v>426</v>
      </c>
      <c r="C35" s="123" t="str">
        <f>IF(C28-G28&lt;0,G28-C28,"-")</f>
        <v>-</v>
      </c>
      <c r="D35" s="123" t="str">
        <f>IF(D28-H28&lt;0,H28-D28,"-")</f>
        <v>-</v>
      </c>
      <c r="E35" s="124" t="str">
        <f>IF(E28-I28&lt;0,I28-E28,"-")</f>
        <v>-</v>
      </c>
      <c r="F35" s="122" t="s">
        <v>427</v>
      </c>
      <c r="G35" s="123" t="str">
        <f>IF(C28-G28&gt;0,C28-G28,"-")</f>
        <v>-</v>
      </c>
      <c r="H35" s="123" t="str">
        <f>IF(D28-H28&gt;0,D28-H28,"-")</f>
        <v>-</v>
      </c>
      <c r="I35" s="141" t="str">
        <f>IF(E28-I28&gt;0,E28-I28,"-")</f>
        <v>-</v>
      </c>
      <c r="J35" s="86" t="s">
        <v>118</v>
      </c>
    </row>
  </sheetData>
  <sheetProtection selectLockedCells="1" selectUnlockedCells="1"/>
  <mergeCells count="5">
    <mergeCell ref="A1:I1"/>
    <mergeCell ref="B3:I3"/>
    <mergeCell ref="A5:A6"/>
    <mergeCell ref="B5:E5"/>
    <mergeCell ref="F5:I5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H28" sqref="H28"/>
    </sheetView>
  </sheetViews>
  <sheetFormatPr defaultColWidth="9.375" defaultRowHeight="12.75"/>
  <cols>
    <col min="1" max="1" width="39.625" style="85" customWidth="1"/>
    <col min="2" max="7" width="15.625" style="84" customWidth="1"/>
    <col min="8" max="8" width="5.125" style="84" customWidth="1"/>
    <col min="9" max="16384" width="9.375" style="84" customWidth="1"/>
  </cols>
  <sheetData>
    <row r="1" spans="1:8" ht="18" customHeight="1">
      <c r="A1" s="635" t="s">
        <v>462</v>
      </c>
      <c r="B1" s="635"/>
      <c r="C1" s="635"/>
      <c r="D1" s="635"/>
      <c r="E1" s="635"/>
      <c r="F1" s="635"/>
      <c r="G1" s="635"/>
      <c r="H1" s="638" t="str">
        <f>+CONCATENATE("3. melléklet a 6/",LEFT(ÖSSZEFÜGGÉSEK!A4,4)+1,". (VII.17.) önkormányzati rendelethez")</f>
        <v>3. melléklet a 6/2020. (VII.17.) önkormányzati rendelethez</v>
      </c>
    </row>
    <row r="2" spans="6:8" ht="22.5" customHeight="1">
      <c r="F2" s="639" t="s">
        <v>371</v>
      </c>
      <c r="G2" s="639"/>
      <c r="H2" s="638"/>
    </row>
    <row r="3" spans="1:8" s="93" customFormat="1" ht="50.25" customHeight="1">
      <c r="A3" s="88" t="s">
        <v>463</v>
      </c>
      <c r="B3" s="89" t="s">
        <v>464</v>
      </c>
      <c r="C3" s="89" t="s">
        <v>465</v>
      </c>
      <c r="D3" s="89" t="str">
        <f>+CONCATENATE("Felhasználás ",LEFT(ÖSSZEFÜGGÉSEK!A4,4)-1,". XII.31-ig")</f>
        <v>Felhasználás 2018. XII.31-ig</v>
      </c>
      <c r="E3" s="89" t="str">
        <f>+CONCATENATE(LEFT(ÖSSZEFÜGGÉSEK!A4,4),". évi módosított előirányzat")</f>
        <v>2019. évi módosított előirányzat</v>
      </c>
      <c r="F3" s="146" t="str">
        <f>+CONCATENATE(LEFT(ÖSSZEFÜGGÉSEK!A4,4),". évi teljesítés")</f>
        <v>2019. évi teljesítés</v>
      </c>
      <c r="G3" s="147" t="str">
        <f>+CONCATENATE("Összes teljesítés ",LEFT(ÖSSZEFÜGGÉSEK!A4,4),". dec. 31-ig")</f>
        <v>Összes teljesítés 2019. dec. 31-ig</v>
      </c>
      <c r="H3" s="638"/>
    </row>
    <row r="4" spans="1:8" ht="12" customHeight="1" thickBot="1">
      <c r="A4" s="148" t="s">
        <v>45</v>
      </c>
      <c r="B4" s="149" t="s">
        <v>46</v>
      </c>
      <c r="C4" s="149" t="s">
        <v>47</v>
      </c>
      <c r="D4" s="149" t="s">
        <v>48</v>
      </c>
      <c r="E4" s="149" t="s">
        <v>49</v>
      </c>
      <c r="F4" s="150" t="s">
        <v>375</v>
      </c>
      <c r="G4" s="151" t="s">
        <v>466</v>
      </c>
      <c r="H4" s="638"/>
    </row>
    <row r="5" spans="1:8" ht="15.75" customHeight="1">
      <c r="A5" s="615" t="s">
        <v>842</v>
      </c>
      <c r="B5" s="609"/>
      <c r="C5" s="153">
        <v>2019</v>
      </c>
      <c r="D5" s="152"/>
      <c r="E5" s="609">
        <v>1800000</v>
      </c>
      <c r="F5" s="609">
        <v>1800000</v>
      </c>
      <c r="G5" s="155">
        <f aca="true" t="shared" si="0" ref="G5:G26">+D5+F5</f>
        <v>1800000</v>
      </c>
      <c r="H5" s="638"/>
    </row>
    <row r="6" spans="1:8" ht="15.75" customHeight="1">
      <c r="A6" s="615" t="s">
        <v>843</v>
      </c>
      <c r="B6" s="609"/>
      <c r="C6" s="153">
        <v>2019</v>
      </c>
      <c r="D6" s="152"/>
      <c r="E6" s="609">
        <v>635000</v>
      </c>
      <c r="F6" s="609">
        <v>495300</v>
      </c>
      <c r="G6" s="155">
        <f t="shared" si="0"/>
        <v>495300</v>
      </c>
      <c r="H6" s="638"/>
    </row>
    <row r="7" spans="1:8" ht="15.75" customHeight="1">
      <c r="A7" s="615" t="s">
        <v>844</v>
      </c>
      <c r="B7" s="609"/>
      <c r="C7" s="153">
        <v>2019</v>
      </c>
      <c r="D7" s="152"/>
      <c r="E7" s="609">
        <v>8890000</v>
      </c>
      <c r="F7" s="609">
        <v>8860155</v>
      </c>
      <c r="G7" s="155">
        <f t="shared" si="0"/>
        <v>8860155</v>
      </c>
      <c r="H7" s="638"/>
    </row>
    <row r="8" spans="1:8" ht="15.75" customHeight="1">
      <c r="A8" s="615" t="s">
        <v>828</v>
      </c>
      <c r="B8" s="609"/>
      <c r="C8" s="153">
        <v>2019</v>
      </c>
      <c r="D8" s="152"/>
      <c r="E8" s="609">
        <v>1524000</v>
      </c>
      <c r="F8" s="609">
        <f>499426+218000+180000</f>
        <v>897426</v>
      </c>
      <c r="G8" s="155">
        <f t="shared" si="0"/>
        <v>897426</v>
      </c>
      <c r="H8" s="638"/>
    </row>
    <row r="9" spans="1:8" ht="15.75" customHeight="1">
      <c r="A9" s="615" t="s">
        <v>845</v>
      </c>
      <c r="B9" s="609"/>
      <c r="C9" s="153">
        <v>2019</v>
      </c>
      <c r="D9" s="152"/>
      <c r="E9" s="609">
        <v>50800</v>
      </c>
      <c r="F9" s="609">
        <v>20828</v>
      </c>
      <c r="G9" s="155">
        <f t="shared" si="0"/>
        <v>20828</v>
      </c>
      <c r="H9" s="638"/>
    </row>
    <row r="10" spans="1:8" ht="15.75" customHeight="1">
      <c r="A10" s="615" t="s">
        <v>846</v>
      </c>
      <c r="B10" s="609"/>
      <c r="C10" s="153">
        <v>2019</v>
      </c>
      <c r="D10" s="152"/>
      <c r="E10" s="609">
        <v>68580</v>
      </c>
      <c r="F10" s="609">
        <v>40990</v>
      </c>
      <c r="G10" s="155">
        <f t="shared" si="0"/>
        <v>40990</v>
      </c>
      <c r="H10" s="638"/>
    </row>
    <row r="11" spans="1:8" ht="15.75" customHeight="1">
      <c r="A11" s="615" t="s">
        <v>847</v>
      </c>
      <c r="B11" s="609"/>
      <c r="C11" s="153">
        <v>2019</v>
      </c>
      <c r="D11" s="152"/>
      <c r="E11" s="609">
        <v>58420</v>
      </c>
      <c r="F11" s="609">
        <v>58420</v>
      </c>
      <c r="G11" s="155">
        <f t="shared" si="0"/>
        <v>58420</v>
      </c>
      <c r="H11" s="638"/>
    </row>
    <row r="12" spans="1:9" ht="15.75" customHeight="1">
      <c r="A12" s="615" t="s">
        <v>848</v>
      </c>
      <c r="B12" s="609"/>
      <c r="C12" s="153">
        <v>2019</v>
      </c>
      <c r="D12" s="152"/>
      <c r="E12" s="609">
        <v>101600</v>
      </c>
      <c r="F12" s="609">
        <v>28870</v>
      </c>
      <c r="G12" s="155">
        <f t="shared" si="0"/>
        <v>28870</v>
      </c>
      <c r="H12" s="638"/>
      <c r="I12" s="84" t="s">
        <v>861</v>
      </c>
    </row>
    <row r="13" spans="1:8" ht="15.75" customHeight="1">
      <c r="A13" s="615" t="s">
        <v>849</v>
      </c>
      <c r="B13" s="609"/>
      <c r="C13" s="153">
        <v>2019</v>
      </c>
      <c r="D13" s="152"/>
      <c r="E13" s="609">
        <v>968000</v>
      </c>
      <c r="F13" s="609">
        <v>923036</v>
      </c>
      <c r="G13" s="155">
        <f t="shared" si="0"/>
        <v>923036</v>
      </c>
      <c r="H13" s="638"/>
    </row>
    <row r="14" spans="1:8" ht="15.75" customHeight="1">
      <c r="A14" s="615" t="s">
        <v>850</v>
      </c>
      <c r="B14" s="609"/>
      <c r="C14" s="153">
        <v>2019</v>
      </c>
      <c r="D14" s="152"/>
      <c r="E14" s="609">
        <v>478500</v>
      </c>
      <c r="F14" s="609">
        <v>0</v>
      </c>
      <c r="G14" s="155">
        <f t="shared" si="0"/>
        <v>0</v>
      </c>
      <c r="H14" s="638"/>
    </row>
    <row r="15" spans="1:8" ht="15.75" customHeight="1">
      <c r="A15" s="615" t="s">
        <v>851</v>
      </c>
      <c r="B15" s="609"/>
      <c r="C15" s="153">
        <v>2019</v>
      </c>
      <c r="D15" s="152"/>
      <c r="E15" s="609">
        <v>127000</v>
      </c>
      <c r="F15" s="609">
        <v>93747</v>
      </c>
      <c r="G15" s="155">
        <f t="shared" si="0"/>
        <v>93747</v>
      </c>
      <c r="H15" s="638"/>
    </row>
    <row r="16" spans="1:8" ht="15.75" customHeight="1">
      <c r="A16" s="615" t="s">
        <v>852</v>
      </c>
      <c r="B16" s="609"/>
      <c r="C16" s="153">
        <v>2019</v>
      </c>
      <c r="D16" s="152"/>
      <c r="E16" s="609">
        <v>250271</v>
      </c>
      <c r="F16" s="609">
        <v>250271</v>
      </c>
      <c r="G16" s="155">
        <f t="shared" si="0"/>
        <v>250271</v>
      </c>
      <c r="H16" s="638"/>
    </row>
    <row r="17" spans="1:8" ht="15.75" customHeight="1">
      <c r="A17" s="615" t="s">
        <v>853</v>
      </c>
      <c r="B17" s="609"/>
      <c r="C17" s="153">
        <v>2019</v>
      </c>
      <c r="D17" s="152"/>
      <c r="E17" s="609">
        <v>162900</v>
      </c>
      <c r="F17" s="609">
        <v>162900</v>
      </c>
      <c r="G17" s="155">
        <f t="shared" si="0"/>
        <v>162900</v>
      </c>
      <c r="H17" s="638"/>
    </row>
    <row r="18" spans="1:8" ht="15.75" customHeight="1">
      <c r="A18" s="615" t="s">
        <v>854</v>
      </c>
      <c r="B18" s="609"/>
      <c r="C18" s="153">
        <v>2019</v>
      </c>
      <c r="D18" s="152"/>
      <c r="E18" s="609">
        <v>254000</v>
      </c>
      <c r="F18" s="609">
        <v>228600</v>
      </c>
      <c r="G18" s="155">
        <f t="shared" si="0"/>
        <v>228600</v>
      </c>
      <c r="H18" s="638"/>
    </row>
    <row r="19" spans="1:8" ht="15.75" customHeight="1">
      <c r="A19" s="615" t="s">
        <v>855</v>
      </c>
      <c r="B19" s="609"/>
      <c r="C19" s="153">
        <v>2019</v>
      </c>
      <c r="D19" s="152"/>
      <c r="E19" s="609">
        <v>129253</v>
      </c>
      <c r="F19" s="609">
        <v>129253</v>
      </c>
      <c r="G19" s="155">
        <f t="shared" si="0"/>
        <v>129253</v>
      </c>
      <c r="H19" s="638"/>
    </row>
    <row r="20" spans="1:8" ht="15.75" customHeight="1">
      <c r="A20" s="615" t="s">
        <v>856</v>
      </c>
      <c r="B20" s="609"/>
      <c r="C20" s="153">
        <v>2019</v>
      </c>
      <c r="D20" s="152"/>
      <c r="E20" s="609">
        <v>1905000</v>
      </c>
      <c r="F20" s="609">
        <v>0</v>
      </c>
      <c r="G20" s="155">
        <f t="shared" si="0"/>
        <v>0</v>
      </c>
      <c r="H20" s="638"/>
    </row>
    <row r="21" spans="1:8" ht="15.75" customHeight="1">
      <c r="A21" s="615" t="s">
        <v>857</v>
      </c>
      <c r="B21" s="609"/>
      <c r="C21" s="153">
        <v>2019</v>
      </c>
      <c r="D21" s="152"/>
      <c r="E21" s="609">
        <v>635000</v>
      </c>
      <c r="F21" s="609">
        <v>0</v>
      </c>
      <c r="G21" s="155">
        <f t="shared" si="0"/>
        <v>0</v>
      </c>
      <c r="H21" s="638"/>
    </row>
    <row r="22" spans="1:8" ht="15.75" customHeight="1">
      <c r="A22" s="615" t="s">
        <v>858</v>
      </c>
      <c r="B22" s="609"/>
      <c r="C22" s="153">
        <v>2019</v>
      </c>
      <c r="D22" s="152"/>
      <c r="E22" s="609">
        <v>200000</v>
      </c>
      <c r="F22" s="609">
        <v>158900</v>
      </c>
      <c r="G22" s="155">
        <f t="shared" si="0"/>
        <v>158900</v>
      </c>
      <c r="H22" s="638"/>
    </row>
    <row r="23" spans="1:8" ht="15.75" customHeight="1">
      <c r="A23" s="615" t="s">
        <v>859</v>
      </c>
      <c r="B23" s="609"/>
      <c r="C23" s="153">
        <v>2019</v>
      </c>
      <c r="D23" s="152"/>
      <c r="E23" s="609">
        <v>2447100</v>
      </c>
      <c r="F23" s="609">
        <v>2374545</v>
      </c>
      <c r="G23" s="155">
        <f t="shared" si="0"/>
        <v>2374545</v>
      </c>
      <c r="H23" s="638"/>
    </row>
    <row r="24" spans="1:8" ht="15.75" customHeight="1">
      <c r="A24" s="615" t="s">
        <v>860</v>
      </c>
      <c r="B24" s="609"/>
      <c r="C24" s="153">
        <v>2019</v>
      </c>
      <c r="D24" s="152"/>
      <c r="E24" s="609">
        <v>4466107</v>
      </c>
      <c r="F24" s="609">
        <v>4437124</v>
      </c>
      <c r="G24" s="155">
        <f t="shared" si="0"/>
        <v>4437124</v>
      </c>
      <c r="H24" s="638"/>
    </row>
    <row r="25" spans="1:8" ht="15.75" customHeight="1">
      <c r="A25" s="608"/>
      <c r="B25" s="609"/>
      <c r="C25" s="153"/>
      <c r="D25" s="152"/>
      <c r="E25" s="609"/>
      <c r="F25" s="609"/>
      <c r="G25" s="155">
        <f t="shared" si="0"/>
        <v>0</v>
      </c>
      <c r="H25" s="638"/>
    </row>
    <row r="26" spans="1:8" ht="15.75" customHeight="1" thickBot="1">
      <c r="A26" s="608"/>
      <c r="B26" s="609"/>
      <c r="C26" s="153"/>
      <c r="D26" s="152"/>
      <c r="E26" s="609"/>
      <c r="F26" s="609"/>
      <c r="G26" s="155">
        <f t="shared" si="0"/>
        <v>0</v>
      </c>
      <c r="H26" s="638"/>
    </row>
    <row r="27" spans="1:8" s="161" customFormat="1" ht="18" customHeight="1" thickBot="1">
      <c r="A27" s="157" t="s">
        <v>467</v>
      </c>
      <c r="B27" s="158">
        <f>SUM(B5:B26)</f>
        <v>0</v>
      </c>
      <c r="C27" s="159"/>
      <c r="D27" s="158">
        <f>SUM(D5:D26)</f>
        <v>0</v>
      </c>
      <c r="E27" s="158">
        <f>SUM(E5:E26)</f>
        <v>25151531</v>
      </c>
      <c r="F27" s="158">
        <f>SUM(F5:F26)</f>
        <v>20960365</v>
      </c>
      <c r="G27" s="160">
        <f>SUM(G5:G26)</f>
        <v>20960365</v>
      </c>
      <c r="H27" s="638"/>
    </row>
    <row r="28" spans="6:8" ht="12.75">
      <c r="F28" s="161"/>
      <c r="G28" s="161"/>
      <c r="H28" s="162"/>
    </row>
    <row r="29" ht="12.75">
      <c r="H29" s="162"/>
    </row>
    <row r="30" ht="12.75">
      <c r="H30" s="162"/>
    </row>
    <row r="31" ht="12.75">
      <c r="H31" s="162"/>
    </row>
    <row r="32" ht="12.75">
      <c r="H32" s="162"/>
    </row>
    <row r="33" ht="12.75">
      <c r="H33" s="162"/>
    </row>
    <row r="34" ht="12.75">
      <c r="H34" s="162"/>
    </row>
    <row r="35" ht="12.75">
      <c r="H35" s="162"/>
    </row>
    <row r="36" ht="12.75">
      <c r="H36" s="162"/>
    </row>
  </sheetData>
  <sheetProtection/>
  <mergeCells count="3">
    <mergeCell ref="A1:G1"/>
    <mergeCell ref="H1:H27"/>
    <mergeCell ref="F2:G2"/>
  </mergeCells>
  <printOptions horizontalCentered="1"/>
  <pageMargins left="0.7875" right="0.7875" top="1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SheetLayoutView="130" zoomScalePageLayoutView="0" workbookViewId="0" topLeftCell="A1">
      <selection activeCell="B10" sqref="B10"/>
    </sheetView>
  </sheetViews>
  <sheetFormatPr defaultColWidth="9.375" defaultRowHeight="12.75"/>
  <cols>
    <col min="1" max="1" width="48.125" style="85" customWidth="1"/>
    <col min="2" max="7" width="15.75390625" style="84" customWidth="1"/>
    <col min="8" max="8" width="4.125" style="84" customWidth="1"/>
    <col min="9" max="9" width="13.75390625" style="84" customWidth="1"/>
    <col min="10" max="10" width="9.875" style="84" bestFit="1" customWidth="1"/>
    <col min="11" max="16384" width="9.375" style="84" customWidth="1"/>
  </cols>
  <sheetData>
    <row r="1" spans="1:8" ht="24.75" customHeight="1">
      <c r="A1" s="635" t="s">
        <v>468</v>
      </c>
      <c r="B1" s="635"/>
      <c r="C1" s="635"/>
      <c r="D1" s="635"/>
      <c r="E1" s="635"/>
      <c r="F1" s="635"/>
      <c r="G1" s="635"/>
      <c r="H1" s="640" t="str">
        <f>+CONCATENATE("4. melléklet a 6/",LEFT(ÖSSZEFÜGGÉSEK!A4,4)+1,". (VII.17.) önkormányzati rendelethez")</f>
        <v>4. melléklet a 6/2020. (VII.17.) önkormányzati rendelethez</v>
      </c>
    </row>
    <row r="2" spans="6:8" ht="23.25" customHeight="1" thickBot="1">
      <c r="F2" s="639" t="s">
        <v>834</v>
      </c>
      <c r="G2" s="639"/>
      <c r="H2" s="640"/>
    </row>
    <row r="3" spans="1:8" s="93" customFormat="1" ht="48.75" customHeight="1" thickBot="1">
      <c r="A3" s="613" t="s">
        <v>469</v>
      </c>
      <c r="B3" s="613" t="s">
        <v>464</v>
      </c>
      <c r="C3" s="613" t="s">
        <v>465</v>
      </c>
      <c r="D3" s="613" t="str">
        <f>+'3.sz.mell.'!D3</f>
        <v>Felhasználás 2018. XII.31-ig</v>
      </c>
      <c r="E3" s="613" t="str">
        <f>+'3.sz.mell.'!E3</f>
        <v>2019. évi módosított előirányzat</v>
      </c>
      <c r="F3" s="614" t="str">
        <f>+'3.sz.mell.'!F3</f>
        <v>2019. évi teljesítés</v>
      </c>
      <c r="G3" s="613" t="str">
        <f>+'3.sz.mell.'!G3</f>
        <v>Összes teljesítés 2019. dec. 31-ig</v>
      </c>
      <c r="H3" s="640"/>
    </row>
    <row r="4" spans="1:8" ht="15" customHeight="1" thickBot="1">
      <c r="A4" s="94" t="s">
        <v>45</v>
      </c>
      <c r="B4" s="94" t="s">
        <v>46</v>
      </c>
      <c r="C4" s="94" t="s">
        <v>47</v>
      </c>
      <c r="D4" s="94" t="s">
        <v>48</v>
      </c>
      <c r="E4" s="94" t="s">
        <v>49</v>
      </c>
      <c r="F4" s="94" t="s">
        <v>375</v>
      </c>
      <c r="G4" s="94" t="s">
        <v>466</v>
      </c>
      <c r="H4" s="640"/>
    </row>
    <row r="5" spans="1:8" ht="15.75" customHeight="1" thickBot="1">
      <c r="A5" s="611"/>
      <c r="B5" s="617"/>
      <c r="C5" s="618"/>
      <c r="D5" s="619"/>
      <c r="E5" s="617"/>
      <c r="F5" s="617"/>
      <c r="G5" s="617"/>
      <c r="H5" s="640"/>
    </row>
    <row r="6" spans="1:8" ht="15.75" customHeight="1" thickBot="1">
      <c r="A6" s="611" t="s">
        <v>836</v>
      </c>
      <c r="B6" s="617">
        <v>3048000</v>
      </c>
      <c r="C6" s="618"/>
      <c r="D6" s="617">
        <v>0</v>
      </c>
      <c r="E6" s="616">
        <v>3048000</v>
      </c>
      <c r="F6" s="617">
        <v>0</v>
      </c>
      <c r="G6" s="617">
        <f>D6+F6</f>
        <v>0</v>
      </c>
      <c r="H6" s="640"/>
    </row>
    <row r="7" spans="1:8" ht="15.75" customHeight="1" thickBot="1">
      <c r="A7" s="620" t="s">
        <v>837</v>
      </c>
      <c r="B7" s="617">
        <v>15240000</v>
      </c>
      <c r="C7" s="618"/>
      <c r="D7" s="617">
        <v>0</v>
      </c>
      <c r="E7" s="616">
        <v>15240000</v>
      </c>
      <c r="F7" s="617">
        <v>0</v>
      </c>
      <c r="G7" s="617">
        <f>D7+F7</f>
        <v>0</v>
      </c>
      <c r="H7" s="640"/>
    </row>
    <row r="8" spans="1:8" ht="15.75" customHeight="1" thickBot="1">
      <c r="A8" s="620" t="s">
        <v>838</v>
      </c>
      <c r="B8" s="617">
        <v>11064403</v>
      </c>
      <c r="C8" s="618" t="s">
        <v>840</v>
      </c>
      <c r="D8" s="617">
        <v>0</v>
      </c>
      <c r="E8" s="616">
        <v>13162190</v>
      </c>
      <c r="F8" s="617">
        <v>11064403</v>
      </c>
      <c r="G8" s="617">
        <f>D8+F8</f>
        <v>11064403</v>
      </c>
      <c r="H8" s="640"/>
    </row>
    <row r="9" spans="1:8" ht="15.75" customHeight="1" thickBot="1">
      <c r="A9" s="620" t="s">
        <v>839</v>
      </c>
      <c r="B9" s="617">
        <v>95000000</v>
      </c>
      <c r="C9" s="621" t="s">
        <v>827</v>
      </c>
      <c r="D9" s="619"/>
      <c r="E9" s="616">
        <v>82550000</v>
      </c>
      <c r="F9" s="617">
        <v>78806234</v>
      </c>
      <c r="G9" s="617">
        <f>D9+F9</f>
        <v>78806234</v>
      </c>
      <c r="H9" s="640"/>
    </row>
    <row r="10" spans="1:8" ht="15.75" customHeight="1" thickBot="1">
      <c r="A10" s="620" t="s">
        <v>826</v>
      </c>
      <c r="B10" s="617">
        <v>46000000</v>
      </c>
      <c r="C10" s="618" t="s">
        <v>841</v>
      </c>
      <c r="D10" s="617"/>
      <c r="E10" s="616">
        <v>45572680</v>
      </c>
      <c r="F10" s="617">
        <v>22276112</v>
      </c>
      <c r="G10" s="617">
        <f>D10+F10</f>
        <v>22276112</v>
      </c>
      <c r="H10" s="640"/>
    </row>
    <row r="11" spans="1:8" ht="15.75" customHeight="1" thickBot="1">
      <c r="A11" s="611"/>
      <c r="B11" s="617"/>
      <c r="C11" s="618"/>
      <c r="D11" s="619"/>
      <c r="E11" s="617"/>
      <c r="F11" s="617"/>
      <c r="G11" s="617"/>
      <c r="H11" s="640"/>
    </row>
    <row r="12" spans="1:8" ht="15.75" customHeight="1" thickBot="1">
      <c r="A12" s="611"/>
      <c r="B12" s="617"/>
      <c r="C12" s="618"/>
      <c r="D12" s="619"/>
      <c r="E12" s="617"/>
      <c r="F12" s="617"/>
      <c r="G12" s="617"/>
      <c r="H12" s="640"/>
    </row>
    <row r="13" spans="1:8" ht="15.75" customHeight="1" thickBot="1">
      <c r="A13" s="611"/>
      <c r="B13" s="617"/>
      <c r="C13" s="618"/>
      <c r="D13" s="619"/>
      <c r="E13" s="617"/>
      <c r="F13" s="617"/>
      <c r="G13" s="617"/>
      <c r="H13" s="640"/>
    </row>
    <row r="14" spans="1:8" ht="15.75" customHeight="1" thickBot="1">
      <c r="A14" s="611"/>
      <c r="B14" s="617"/>
      <c r="C14" s="618"/>
      <c r="D14" s="619"/>
      <c r="E14" s="617"/>
      <c r="F14" s="617"/>
      <c r="G14" s="617"/>
      <c r="H14" s="640"/>
    </row>
    <row r="15" spans="1:8" ht="15.75" customHeight="1" thickBot="1">
      <c r="A15" s="622"/>
      <c r="B15" s="619"/>
      <c r="C15" s="623"/>
      <c r="D15" s="619"/>
      <c r="E15" s="619"/>
      <c r="F15" s="619"/>
      <c r="G15" s="463">
        <f aca="true" t="shared" si="0" ref="G15:G23">+D15+F15</f>
        <v>0</v>
      </c>
      <c r="H15" s="640"/>
    </row>
    <row r="16" spans="1:8" ht="15.75" customHeight="1" thickBot="1">
      <c r="A16" s="622"/>
      <c r="B16" s="619"/>
      <c r="C16" s="623"/>
      <c r="D16" s="619"/>
      <c r="E16" s="619"/>
      <c r="F16" s="619"/>
      <c r="G16" s="463">
        <f t="shared" si="0"/>
        <v>0</v>
      </c>
      <c r="H16" s="640"/>
    </row>
    <row r="17" spans="1:8" ht="15.75" customHeight="1" thickBot="1">
      <c r="A17" s="622"/>
      <c r="B17" s="619"/>
      <c r="C17" s="623"/>
      <c r="D17" s="619"/>
      <c r="E17" s="619"/>
      <c r="F17" s="619"/>
      <c r="G17" s="463">
        <f t="shared" si="0"/>
        <v>0</v>
      </c>
      <c r="H17" s="640"/>
    </row>
    <row r="18" spans="1:8" ht="15.75" customHeight="1" thickBot="1">
      <c r="A18" s="622"/>
      <c r="B18" s="619"/>
      <c r="C18" s="623"/>
      <c r="D18" s="619"/>
      <c r="E18" s="619"/>
      <c r="F18" s="619"/>
      <c r="G18" s="463">
        <f t="shared" si="0"/>
        <v>0</v>
      </c>
      <c r="H18" s="640"/>
    </row>
    <row r="19" spans="1:8" ht="15.75" customHeight="1" thickBot="1">
      <c r="A19" s="622"/>
      <c r="B19" s="619"/>
      <c r="C19" s="623"/>
      <c r="D19" s="619"/>
      <c r="E19" s="619"/>
      <c r="F19" s="619"/>
      <c r="G19" s="463">
        <f t="shared" si="0"/>
        <v>0</v>
      </c>
      <c r="H19" s="640"/>
    </row>
    <row r="20" spans="1:8" ht="15.75" customHeight="1" thickBot="1">
      <c r="A20" s="622"/>
      <c r="B20" s="619"/>
      <c r="C20" s="623"/>
      <c r="D20" s="619"/>
      <c r="E20" s="619"/>
      <c r="F20" s="619"/>
      <c r="G20" s="463">
        <f t="shared" si="0"/>
        <v>0</v>
      </c>
      <c r="H20" s="640"/>
    </row>
    <row r="21" spans="1:8" ht="15.75" customHeight="1" thickBot="1">
      <c r="A21" s="622"/>
      <c r="B21" s="619"/>
      <c r="C21" s="623"/>
      <c r="D21" s="619"/>
      <c r="E21" s="619"/>
      <c r="F21" s="619"/>
      <c r="G21" s="463">
        <f t="shared" si="0"/>
        <v>0</v>
      </c>
      <c r="H21" s="640"/>
    </row>
    <row r="22" spans="1:8" ht="15.75" customHeight="1" thickBot="1">
      <c r="A22" s="622"/>
      <c r="B22" s="619"/>
      <c r="C22" s="623"/>
      <c r="D22" s="619"/>
      <c r="E22" s="619"/>
      <c r="F22" s="619"/>
      <c r="G22" s="463">
        <f t="shared" si="0"/>
        <v>0</v>
      </c>
      <c r="H22" s="640"/>
    </row>
    <row r="23" spans="1:8" ht="15.75" customHeight="1" thickBot="1">
      <c r="A23" s="622"/>
      <c r="B23" s="619"/>
      <c r="C23" s="623"/>
      <c r="D23" s="619"/>
      <c r="E23" s="619"/>
      <c r="F23" s="619"/>
      <c r="G23" s="463">
        <f t="shared" si="0"/>
        <v>0</v>
      </c>
      <c r="H23" s="640"/>
    </row>
    <row r="24" spans="1:8" s="161" customFormat="1" ht="18" customHeight="1" thickBot="1">
      <c r="A24" s="624" t="s">
        <v>467</v>
      </c>
      <c r="B24" s="463">
        <f>SUM(B5:B23)</f>
        <v>170352403</v>
      </c>
      <c r="C24" s="625"/>
      <c r="D24" s="463">
        <f>SUM(D5:D23)</f>
        <v>0</v>
      </c>
      <c r="E24" s="463">
        <f>SUM(E5:E23)</f>
        <v>159572870</v>
      </c>
      <c r="F24" s="463">
        <f>SUM(F5:F23)</f>
        <v>112146749</v>
      </c>
      <c r="G24" s="463">
        <f>SUM(G5:G23)</f>
        <v>112146749</v>
      </c>
      <c r="H24" s="640"/>
    </row>
  </sheetData>
  <sheetProtection/>
  <mergeCells count="3">
    <mergeCell ref="A1:G1"/>
    <mergeCell ref="H1:H24"/>
    <mergeCell ref="F2:G2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130" zoomScaleNormal="130" zoomScaleSheetLayoutView="100" zoomScalePageLayoutView="0" workbookViewId="0" topLeftCell="A11">
      <selection activeCell="N34" sqref="N34"/>
    </sheetView>
  </sheetViews>
  <sheetFormatPr defaultColWidth="9.375" defaultRowHeight="12.75"/>
  <cols>
    <col min="1" max="1" width="28.50390625" style="0" customWidth="1"/>
    <col min="2" max="13" width="10.00390625" style="0" customWidth="1"/>
    <col min="14" max="14" width="4.00390625" style="0" customWidth="1"/>
    <col min="15" max="15" width="9.875" style="0" bestFit="1" customWidth="1"/>
  </cols>
  <sheetData>
    <row r="1" spans="1:14" ht="18" customHeight="1">
      <c r="A1" s="652" t="s">
        <v>825</v>
      </c>
      <c r="B1" s="652"/>
      <c r="C1" s="652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43" t="str">
        <f>+CONCATENATE("5. melléklet a 6/",LEFT(ÖSSZEFÜGGÉSEK!A4,4)+1,". (VII.17.) önkormányzati rendelethez    ")</f>
        <v>5. melléklet a 6/2020. (VII.17.) önkormányzati rendelethez    </v>
      </c>
    </row>
    <row r="2" spans="1:14" ht="13.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644" t="s">
        <v>371</v>
      </c>
      <c r="M2" s="644"/>
      <c r="N2" s="643"/>
    </row>
    <row r="3" spans="1:14" ht="12.75" customHeight="1">
      <c r="A3" s="654" t="s">
        <v>470</v>
      </c>
      <c r="B3" s="636" t="s">
        <v>471</v>
      </c>
      <c r="C3" s="636"/>
      <c r="D3" s="636"/>
      <c r="E3" s="636"/>
      <c r="F3" s="636"/>
      <c r="G3" s="636"/>
      <c r="H3" s="636"/>
      <c r="I3" s="636"/>
      <c r="J3" s="645" t="s">
        <v>44</v>
      </c>
      <c r="K3" s="645"/>
      <c r="L3" s="645"/>
      <c r="M3" s="645"/>
      <c r="N3" s="643"/>
    </row>
    <row r="4" spans="1:14" ht="15" customHeight="1">
      <c r="A4" s="654"/>
      <c r="B4" s="641" t="s">
        <v>472</v>
      </c>
      <c r="C4" s="642" t="s">
        <v>473</v>
      </c>
      <c r="D4" s="636" t="s">
        <v>474</v>
      </c>
      <c r="E4" s="636"/>
      <c r="F4" s="636"/>
      <c r="G4" s="636"/>
      <c r="H4" s="636"/>
      <c r="I4" s="636"/>
      <c r="J4" s="645"/>
      <c r="K4" s="645"/>
      <c r="L4" s="645"/>
      <c r="M4" s="645"/>
      <c r="N4" s="643"/>
    </row>
    <row r="5" spans="1:14" ht="12.75">
      <c r="A5" s="654"/>
      <c r="B5" s="641"/>
      <c r="C5" s="642"/>
      <c r="D5" s="94" t="s">
        <v>472</v>
      </c>
      <c r="E5" s="94" t="s">
        <v>473</v>
      </c>
      <c r="F5" s="94" t="s">
        <v>472</v>
      </c>
      <c r="G5" s="94" t="s">
        <v>473</v>
      </c>
      <c r="H5" s="94" t="s">
        <v>472</v>
      </c>
      <c r="I5" s="94" t="s">
        <v>473</v>
      </c>
      <c r="J5" s="645"/>
      <c r="K5" s="645"/>
      <c r="L5" s="645"/>
      <c r="M5" s="645"/>
      <c r="N5" s="643"/>
    </row>
    <row r="6" spans="1:14" ht="30" customHeight="1">
      <c r="A6" s="654"/>
      <c r="B6" s="642" t="s">
        <v>475</v>
      </c>
      <c r="C6" s="642"/>
      <c r="D6" s="642" t="str">
        <f>+CONCATENATE(LEFT(ÖSSZEFÜGGÉSEK!A4,4),". előtt")</f>
        <v>2019. előtt</v>
      </c>
      <c r="E6" s="642"/>
      <c r="F6" s="642" t="str">
        <f>+CONCATENATE(LEFT(ÖSSZEFÜGGÉSEK!A4,4),". évi")</f>
        <v>2019. évi</v>
      </c>
      <c r="G6" s="642"/>
      <c r="H6" s="641" t="str">
        <f>+CONCATENATE(LEFT(ÖSSZEFÜGGÉSEK!A4,4),". után")</f>
        <v>2019. után</v>
      </c>
      <c r="I6" s="641"/>
      <c r="J6" s="164" t="str">
        <f>+D6</f>
        <v>2019. előtt</v>
      </c>
      <c r="K6" s="94" t="str">
        <f>+F6</f>
        <v>2019. évi</v>
      </c>
      <c r="L6" s="164" t="s">
        <v>476</v>
      </c>
      <c r="M6" s="94" t="str">
        <f>+CONCATENATE("Teljesítés %-a ",LEFT(ÖSSZEFÜGGÉSEK!A4,4),". XII. 31-ig")</f>
        <v>Teljesítés %-a 2019. XII. 31-ig</v>
      </c>
      <c r="N6" s="643"/>
    </row>
    <row r="7" spans="1:14" ht="12.75">
      <c r="A7" s="165" t="s">
        <v>45</v>
      </c>
      <c r="B7" s="164" t="s">
        <v>46</v>
      </c>
      <c r="C7" s="164" t="s">
        <v>47</v>
      </c>
      <c r="D7" s="166" t="s">
        <v>48</v>
      </c>
      <c r="E7" s="94" t="s">
        <v>49</v>
      </c>
      <c r="F7" s="94" t="s">
        <v>375</v>
      </c>
      <c r="G7" s="94" t="s">
        <v>376</v>
      </c>
      <c r="H7" s="164" t="s">
        <v>377</v>
      </c>
      <c r="I7" s="166" t="s">
        <v>378</v>
      </c>
      <c r="J7" s="166" t="s">
        <v>477</v>
      </c>
      <c r="K7" s="166" t="s">
        <v>478</v>
      </c>
      <c r="L7" s="166" t="s">
        <v>479</v>
      </c>
      <c r="M7" s="167" t="s">
        <v>480</v>
      </c>
      <c r="N7" s="643"/>
    </row>
    <row r="8" spans="1:14" ht="12.75">
      <c r="A8" s="168" t="s">
        <v>481</v>
      </c>
      <c r="B8" s="169">
        <v>5670057</v>
      </c>
      <c r="C8" s="170">
        <v>5670057</v>
      </c>
      <c r="D8" s="170"/>
      <c r="E8" s="171"/>
      <c r="F8" s="170"/>
      <c r="G8" s="170"/>
      <c r="H8" s="170"/>
      <c r="I8" s="170"/>
      <c r="J8" s="170"/>
      <c r="K8" s="170"/>
      <c r="L8" s="172">
        <f aca="true" t="shared" si="0" ref="L8:L14">+J8+K8</f>
        <v>0</v>
      </c>
      <c r="M8" s="173">
        <f aca="true" t="shared" si="1" ref="M8:M15">IF((C8&lt;&gt;0),ROUND((L8/C8)*100,1),"")</f>
        <v>0</v>
      </c>
      <c r="N8" s="643"/>
    </row>
    <row r="9" spans="1:14" ht="12.75">
      <c r="A9" s="174" t="s">
        <v>482</v>
      </c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7">
        <f t="shared" si="0"/>
        <v>0</v>
      </c>
      <c r="M9" s="178">
        <f t="shared" si="1"/>
      </c>
      <c r="N9" s="643"/>
    </row>
    <row r="10" spans="1:14" ht="12.75">
      <c r="A10" s="179" t="s">
        <v>483</v>
      </c>
      <c r="B10" s="180">
        <v>84442680</v>
      </c>
      <c r="C10" s="181">
        <v>84442680</v>
      </c>
      <c r="D10" s="181"/>
      <c r="E10" s="181"/>
      <c r="F10" s="181"/>
      <c r="G10" s="181"/>
      <c r="H10" s="181"/>
      <c r="I10" s="181"/>
      <c r="J10" s="181"/>
      <c r="K10" s="181"/>
      <c r="L10" s="177">
        <f t="shared" si="0"/>
        <v>0</v>
      </c>
      <c r="M10" s="178">
        <f t="shared" si="1"/>
        <v>0</v>
      </c>
      <c r="N10" s="643"/>
    </row>
    <row r="11" spans="1:14" ht="12.75">
      <c r="A11" s="179" t="s">
        <v>484</v>
      </c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77">
        <f t="shared" si="0"/>
        <v>0</v>
      </c>
      <c r="M11" s="178">
        <f t="shared" si="1"/>
      </c>
      <c r="N11" s="643"/>
    </row>
    <row r="12" spans="1:14" ht="12.75">
      <c r="A12" s="179" t="s">
        <v>485</v>
      </c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77">
        <f t="shared" si="0"/>
        <v>0</v>
      </c>
      <c r="M12" s="178">
        <f t="shared" si="1"/>
      </c>
      <c r="N12" s="643"/>
    </row>
    <row r="13" spans="1:14" ht="12.75">
      <c r="A13" s="179" t="s">
        <v>486</v>
      </c>
      <c r="B13" s="180"/>
      <c r="C13" s="181"/>
      <c r="D13" s="181"/>
      <c r="E13" s="181"/>
      <c r="F13" s="181"/>
      <c r="G13" s="181"/>
      <c r="H13" s="181"/>
      <c r="I13" s="181"/>
      <c r="J13" s="181"/>
      <c r="K13" s="181"/>
      <c r="L13" s="177">
        <f t="shared" si="0"/>
        <v>0</v>
      </c>
      <c r="M13" s="178">
        <f t="shared" si="1"/>
      </c>
      <c r="N13" s="643"/>
    </row>
    <row r="14" spans="1:14" ht="15" customHeight="1">
      <c r="A14" s="182"/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77">
        <f t="shared" si="0"/>
        <v>0</v>
      </c>
      <c r="M14" s="185">
        <f t="shared" si="1"/>
      </c>
      <c r="N14" s="643"/>
    </row>
    <row r="15" spans="1:14" ht="12.75">
      <c r="A15" s="186" t="s">
        <v>835</v>
      </c>
      <c r="B15" s="187">
        <f aca="true" t="shared" si="2" ref="B15:L15">B8+SUM(B10:B14)</f>
        <v>90112737</v>
      </c>
      <c r="C15" s="187">
        <f t="shared" si="2"/>
        <v>90112737</v>
      </c>
      <c r="D15" s="187">
        <f t="shared" si="2"/>
        <v>0</v>
      </c>
      <c r="E15" s="187">
        <f t="shared" si="2"/>
        <v>0</v>
      </c>
      <c r="F15" s="187">
        <f t="shared" si="2"/>
        <v>0</v>
      </c>
      <c r="G15" s="187">
        <f t="shared" si="2"/>
        <v>0</v>
      </c>
      <c r="H15" s="187">
        <f t="shared" si="2"/>
        <v>0</v>
      </c>
      <c r="I15" s="187">
        <f t="shared" si="2"/>
        <v>0</v>
      </c>
      <c r="J15" s="187">
        <f t="shared" si="2"/>
        <v>0</v>
      </c>
      <c r="K15" s="187">
        <f t="shared" si="2"/>
        <v>0</v>
      </c>
      <c r="L15" s="187">
        <f t="shared" si="2"/>
        <v>0</v>
      </c>
      <c r="M15" s="188">
        <f t="shared" si="1"/>
        <v>0</v>
      </c>
      <c r="N15" s="643"/>
    </row>
    <row r="16" spans="1:14" ht="12.75">
      <c r="A16" s="189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643"/>
    </row>
    <row r="17" spans="1:14" ht="12.75">
      <c r="A17" s="192" t="s">
        <v>487</v>
      </c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643"/>
    </row>
    <row r="18" spans="1:14" ht="12.75">
      <c r="A18" s="195" t="s">
        <v>488</v>
      </c>
      <c r="B18" s="169">
        <v>4737632</v>
      </c>
      <c r="C18" s="170">
        <v>4737632</v>
      </c>
      <c r="D18" s="170"/>
      <c r="E18" s="171"/>
      <c r="F18" s="170">
        <v>4737632</v>
      </c>
      <c r="G18" s="170">
        <v>4737632</v>
      </c>
      <c r="H18" s="170"/>
      <c r="I18" s="170"/>
      <c r="J18" s="170"/>
      <c r="K18" s="170">
        <v>4737632</v>
      </c>
      <c r="L18" s="196">
        <f aca="true" t="shared" si="3" ref="L18:L23">+J18+K18</f>
        <v>4737632</v>
      </c>
      <c r="M18" s="173">
        <f aca="true" t="shared" si="4" ref="M18:M24">IF((C18&lt;&gt;0),ROUND((L18/C18)*100,1),"")</f>
        <v>100</v>
      </c>
      <c r="N18" s="643"/>
    </row>
    <row r="19" spans="1:15" ht="12.75">
      <c r="A19" s="197" t="s">
        <v>489</v>
      </c>
      <c r="B19" s="175">
        <v>85375105</v>
      </c>
      <c r="C19" s="181">
        <v>85375105</v>
      </c>
      <c r="D19" s="181"/>
      <c r="E19" s="181"/>
      <c r="F19" s="181">
        <v>56598402</v>
      </c>
      <c r="G19" s="181">
        <v>56598402</v>
      </c>
      <c r="H19" s="181">
        <v>24039071</v>
      </c>
      <c r="I19" s="181">
        <f>9310629+14728442</f>
        <v>24039071</v>
      </c>
      <c r="J19" s="181"/>
      <c r="K19" s="181">
        <v>61336034</v>
      </c>
      <c r="L19" s="177">
        <f t="shared" si="3"/>
        <v>61336034</v>
      </c>
      <c r="M19" s="178">
        <f t="shared" si="4"/>
        <v>71.8</v>
      </c>
      <c r="N19" s="643"/>
      <c r="O19" s="402"/>
    </row>
    <row r="20" spans="1:14" ht="12.75">
      <c r="A20" s="197" t="s">
        <v>490</v>
      </c>
      <c r="B20" s="180"/>
      <c r="C20" s="181"/>
      <c r="D20" s="181"/>
      <c r="E20" s="181"/>
      <c r="F20" s="181"/>
      <c r="G20" s="181"/>
      <c r="H20" s="181"/>
      <c r="I20" s="181"/>
      <c r="J20" s="181"/>
      <c r="K20" s="181"/>
      <c r="L20" s="177">
        <f t="shared" si="3"/>
        <v>0</v>
      </c>
      <c r="M20" s="178">
        <f t="shared" si="4"/>
      </c>
      <c r="N20" s="643"/>
    </row>
    <row r="21" spans="1:15" ht="12.75">
      <c r="A21" s="197" t="s">
        <v>491</v>
      </c>
      <c r="B21" s="180"/>
      <c r="C21" s="181"/>
      <c r="D21" s="181"/>
      <c r="E21" s="181"/>
      <c r="F21" s="181"/>
      <c r="G21" s="181"/>
      <c r="H21" s="181"/>
      <c r="I21" s="181"/>
      <c r="J21" s="181"/>
      <c r="K21" s="181"/>
      <c r="L21" s="177">
        <f t="shared" si="3"/>
        <v>0</v>
      </c>
      <c r="M21" s="178">
        <f t="shared" si="4"/>
      </c>
      <c r="N21" s="643"/>
      <c r="O21" s="402"/>
    </row>
    <row r="22" spans="1:14" ht="12.75">
      <c r="A22" s="198"/>
      <c r="B22" s="180"/>
      <c r="C22" s="181"/>
      <c r="D22" s="181"/>
      <c r="E22" s="181"/>
      <c r="F22" s="181"/>
      <c r="G22" s="181"/>
      <c r="H22" s="181"/>
      <c r="I22" s="181"/>
      <c r="J22" s="181"/>
      <c r="K22" s="181"/>
      <c r="L22" s="177">
        <f t="shared" si="3"/>
        <v>0</v>
      </c>
      <c r="M22" s="178">
        <f t="shared" si="4"/>
      </c>
      <c r="N22" s="643"/>
    </row>
    <row r="23" spans="1:14" ht="12.75">
      <c r="A23" s="199"/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77">
        <f t="shared" si="3"/>
        <v>0</v>
      </c>
      <c r="M23" s="185">
        <f t="shared" si="4"/>
      </c>
      <c r="N23" s="643"/>
    </row>
    <row r="24" spans="1:14" ht="12.75">
      <c r="A24" s="200" t="s">
        <v>492</v>
      </c>
      <c r="B24" s="187">
        <f aca="true" t="shared" si="5" ref="B24:L24">SUM(B18:B23)</f>
        <v>90112737</v>
      </c>
      <c r="C24" s="187">
        <f t="shared" si="5"/>
        <v>90112737</v>
      </c>
      <c r="D24" s="187">
        <f t="shared" si="5"/>
        <v>0</v>
      </c>
      <c r="E24" s="187">
        <f t="shared" si="5"/>
        <v>0</v>
      </c>
      <c r="F24" s="187">
        <f t="shared" si="5"/>
        <v>61336034</v>
      </c>
      <c r="G24" s="187">
        <f t="shared" si="5"/>
        <v>61336034</v>
      </c>
      <c r="H24" s="187">
        <f t="shared" si="5"/>
        <v>24039071</v>
      </c>
      <c r="I24" s="187">
        <f t="shared" si="5"/>
        <v>24039071</v>
      </c>
      <c r="J24" s="187">
        <f t="shared" si="5"/>
        <v>0</v>
      </c>
      <c r="K24" s="187">
        <f t="shared" si="5"/>
        <v>66073666</v>
      </c>
      <c r="L24" s="187">
        <f t="shared" si="5"/>
        <v>66073666</v>
      </c>
      <c r="M24" s="188">
        <f t="shared" si="4"/>
        <v>73.3</v>
      </c>
      <c r="N24" s="643"/>
    </row>
    <row r="25" spans="1:14" ht="12.75" customHeight="1">
      <c r="A25" s="646" t="s">
        <v>493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3"/>
    </row>
    <row r="26" spans="1:14" ht="5.2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643"/>
    </row>
    <row r="27" spans="1:14" ht="15">
      <c r="A27" s="647" t="str">
        <f>+CONCATENATE("Önkormányzaton kívüli EU-s projekthez történő hozzájárulás ",LEFT(ÖSSZEFÜGGÉSEK!A4,4),". évi előirányzata és teljesítése")</f>
        <v>Önkormányzaton kívüli EU-s projekthez történő hozzájárulás 2019. évi előirányzata és teljesítése</v>
      </c>
      <c r="B27" s="647"/>
      <c r="C27" s="647"/>
      <c r="D27" s="647"/>
      <c r="E27" s="647"/>
      <c r="F27" s="647"/>
      <c r="G27" s="647"/>
      <c r="H27" s="647"/>
      <c r="I27" s="647"/>
      <c r="J27" s="647"/>
      <c r="K27" s="647"/>
      <c r="L27" s="647"/>
      <c r="M27" s="647"/>
      <c r="N27" s="643"/>
    </row>
    <row r="28" spans="1:14" ht="12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644" t="s">
        <v>371</v>
      </c>
      <c r="M28" s="644"/>
      <c r="N28" s="643"/>
    </row>
    <row r="29" spans="1:14" ht="20.25" customHeight="1">
      <c r="A29" s="648" t="s">
        <v>494</v>
      </c>
      <c r="B29" s="648"/>
      <c r="C29" s="648"/>
      <c r="D29" s="648"/>
      <c r="E29" s="648"/>
      <c r="F29" s="648"/>
      <c r="G29" s="648"/>
      <c r="H29" s="648"/>
      <c r="I29" s="648"/>
      <c r="J29" s="648"/>
      <c r="K29" s="94" t="s">
        <v>495</v>
      </c>
      <c r="L29" s="94" t="s">
        <v>496</v>
      </c>
      <c r="M29" s="94" t="s">
        <v>44</v>
      </c>
      <c r="N29" s="643"/>
    </row>
    <row r="30" spans="1:14" ht="12.75">
      <c r="A30" s="649"/>
      <c r="B30" s="649"/>
      <c r="C30" s="649"/>
      <c r="D30" s="649"/>
      <c r="E30" s="649"/>
      <c r="F30" s="649"/>
      <c r="G30" s="649"/>
      <c r="H30" s="649"/>
      <c r="I30" s="649"/>
      <c r="J30" s="649"/>
      <c r="K30" s="171"/>
      <c r="L30" s="202"/>
      <c r="M30" s="202"/>
      <c r="N30" s="643"/>
    </row>
    <row r="31" spans="1:14" ht="12.75">
      <c r="A31" s="650"/>
      <c r="B31" s="650"/>
      <c r="C31" s="650"/>
      <c r="D31" s="650"/>
      <c r="E31" s="650"/>
      <c r="F31" s="650"/>
      <c r="G31" s="650"/>
      <c r="H31" s="650"/>
      <c r="I31" s="650"/>
      <c r="J31" s="650"/>
      <c r="K31" s="203"/>
      <c r="L31" s="184"/>
      <c r="M31" s="184"/>
      <c r="N31" s="643"/>
    </row>
    <row r="32" spans="1:14" ht="12.75" customHeight="1">
      <c r="A32" s="651" t="s">
        <v>497</v>
      </c>
      <c r="B32" s="651"/>
      <c r="C32" s="651"/>
      <c r="D32" s="651"/>
      <c r="E32" s="651"/>
      <c r="F32" s="651"/>
      <c r="G32" s="651"/>
      <c r="H32" s="651"/>
      <c r="I32" s="651"/>
      <c r="J32" s="651"/>
      <c r="K32" s="204">
        <f>SUM(K30:K31)</f>
        <v>0</v>
      </c>
      <c r="L32" s="204">
        <f>SUM(L30:L31)</f>
        <v>0</v>
      </c>
      <c r="M32" s="204">
        <f>SUM(M30:M31)</f>
        <v>0</v>
      </c>
      <c r="N32" s="643"/>
    </row>
    <row r="33" ht="12.75">
      <c r="N33" s="643"/>
    </row>
  </sheetData>
  <sheetProtection/>
  <mergeCells count="21">
    <mergeCell ref="L28:M28"/>
    <mergeCell ref="F6:G6"/>
    <mergeCell ref="A29:J29"/>
    <mergeCell ref="A30:J30"/>
    <mergeCell ref="A31:J31"/>
    <mergeCell ref="A32:J32"/>
    <mergeCell ref="A1:C1"/>
    <mergeCell ref="D1:M1"/>
    <mergeCell ref="D6:E6"/>
    <mergeCell ref="D4:I4"/>
    <mergeCell ref="A3:A6"/>
    <mergeCell ref="H6:I6"/>
    <mergeCell ref="B6:C6"/>
    <mergeCell ref="N1:N33"/>
    <mergeCell ref="L2:M2"/>
    <mergeCell ref="B3:I3"/>
    <mergeCell ref="J3:M5"/>
    <mergeCell ref="B4:B5"/>
    <mergeCell ref="C4:C5"/>
    <mergeCell ref="A25:M25"/>
    <mergeCell ref="A27:M27"/>
  </mergeCells>
  <printOptions horizontalCentered="1"/>
  <pageMargins left="0.7875" right="0.7875" top="1.3625" bottom="0.7798611111111111" header="0.5" footer="0.5118055555555555"/>
  <pageSetup fitToHeight="1" fitToWidth="1" horizontalDpi="300" verticalDpi="300" orientation="landscape" paperSize="9" scale="94" r:id="rId1"/>
  <headerFooter alignWithMargins="0">
    <oddHeader>&amp;C&amp;12Európai uniós támogatással megvalósuló projektek 
bevételei, kiadásai, hozzájárulások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52"/>
  <sheetViews>
    <sheetView zoomScaleSheetLayoutView="100" zoomScalePageLayoutView="0" workbookViewId="0" topLeftCell="A1">
      <selection activeCell="E2" sqref="E2"/>
    </sheetView>
  </sheetViews>
  <sheetFormatPr defaultColWidth="9.375" defaultRowHeight="12.75"/>
  <cols>
    <col min="1" max="1" width="14.75390625" style="205" customWidth="1"/>
    <col min="2" max="2" width="65.375" style="206" customWidth="1"/>
    <col min="3" max="5" width="17.00390625" style="207" customWidth="1"/>
    <col min="6" max="6" width="0" style="86" hidden="1" customWidth="1"/>
    <col min="7" max="7" width="9.375" style="206" customWidth="1"/>
    <col min="8" max="8" width="11.75390625" style="206" bestFit="1" customWidth="1"/>
    <col min="9" max="9" width="10.00390625" style="206" bestFit="1" customWidth="1"/>
    <col min="10" max="16384" width="9.375" style="206" customWidth="1"/>
  </cols>
  <sheetData>
    <row r="1" spans="1:6" s="213" customFormat="1" ht="16.5" customHeight="1">
      <c r="A1" s="208"/>
      <c r="B1" s="209"/>
      <c r="C1" s="210"/>
      <c r="D1" s="211"/>
      <c r="E1" s="210" t="str">
        <f>+CONCATENATE("6.1. melléklet a 6/",LEFT(ÖSSZEFÜGGÉSEK!A4,4)+1,". (VII.17.) önkormányzati rendelethez")</f>
        <v>6.1. melléklet a 6/2020. (VII.17.) önkormányzati rendelethez</v>
      </c>
      <c r="F1" s="212"/>
    </row>
    <row r="2" spans="1:6" s="217" customFormat="1" ht="15.75" customHeight="1">
      <c r="A2" s="214" t="s">
        <v>374</v>
      </c>
      <c r="B2" s="655" t="s">
        <v>498</v>
      </c>
      <c r="C2" s="655"/>
      <c r="D2" s="655"/>
      <c r="E2" s="215" t="s">
        <v>499</v>
      </c>
      <c r="F2" s="216"/>
    </row>
    <row r="3" spans="1:6" s="217" customFormat="1" ht="22.5">
      <c r="A3" s="218" t="s">
        <v>500</v>
      </c>
      <c r="B3" s="656" t="s">
        <v>501</v>
      </c>
      <c r="C3" s="656"/>
      <c r="D3" s="656"/>
      <c r="E3" s="219" t="s">
        <v>499</v>
      </c>
      <c r="F3" s="216"/>
    </row>
    <row r="4" spans="1:6" s="223" customFormat="1" ht="15.75" customHeight="1">
      <c r="A4" s="220"/>
      <c r="B4" s="220"/>
      <c r="C4" s="221"/>
      <c r="D4" s="221"/>
      <c r="E4" s="221" t="s">
        <v>816</v>
      </c>
      <c r="F4" s="222"/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6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  <c r="F6" s="232"/>
    </row>
    <row r="7" spans="1:6" s="233" customFormat="1" ht="15.75" customHeight="1">
      <c r="A7" s="657" t="s">
        <v>372</v>
      </c>
      <c r="B7" s="657"/>
      <c r="C7" s="657"/>
      <c r="D7" s="657"/>
      <c r="E7" s="657"/>
      <c r="F7" s="232"/>
    </row>
    <row r="8" spans="1:6" s="233" customFormat="1" ht="12" customHeight="1">
      <c r="A8" s="14" t="s">
        <v>50</v>
      </c>
      <c r="B8" s="20" t="s">
        <v>51</v>
      </c>
      <c r="C8" s="58">
        <f>SUM(C9:C14)</f>
        <v>63832031</v>
      </c>
      <c r="D8" s="58">
        <f>SUM(D9:D14)</f>
        <v>73656080</v>
      </c>
      <c r="E8" s="58">
        <f>SUM(E9:E14)</f>
        <v>73656080</v>
      </c>
      <c r="F8" s="232" t="s">
        <v>52</v>
      </c>
    </row>
    <row r="9" spans="1:8" s="235" customFormat="1" ht="12" customHeight="1">
      <c r="A9" s="234" t="s">
        <v>53</v>
      </c>
      <c r="B9" s="25" t="s">
        <v>54</v>
      </c>
      <c r="C9" s="35">
        <v>45483345</v>
      </c>
      <c r="D9" s="35">
        <v>47948212</v>
      </c>
      <c r="E9" s="35">
        <v>47948212</v>
      </c>
      <c r="F9" s="232" t="s">
        <v>55</v>
      </c>
      <c r="H9" s="163"/>
    </row>
    <row r="10" spans="1:6" s="237" customFormat="1" ht="12" customHeight="1">
      <c r="A10" s="236" t="s">
        <v>56</v>
      </c>
      <c r="B10" s="28" t="s">
        <v>57</v>
      </c>
      <c r="C10" s="37">
        <v>0</v>
      </c>
      <c r="D10" s="37">
        <v>0</v>
      </c>
      <c r="E10" s="37">
        <v>0</v>
      </c>
      <c r="F10" s="232" t="s">
        <v>58</v>
      </c>
    </row>
    <row r="11" spans="1:6" s="237" customFormat="1" ht="12" customHeight="1">
      <c r="A11" s="236" t="s">
        <v>59</v>
      </c>
      <c r="B11" s="28" t="s">
        <v>60</v>
      </c>
      <c r="C11" s="37">
        <v>16098086</v>
      </c>
      <c r="D11" s="37">
        <v>17202637</v>
      </c>
      <c r="E11" s="37">
        <v>17202637</v>
      </c>
      <c r="F11" s="232" t="s">
        <v>61</v>
      </c>
    </row>
    <row r="12" spans="1:6" s="237" customFormat="1" ht="12" customHeight="1">
      <c r="A12" s="236" t="s">
        <v>62</v>
      </c>
      <c r="B12" s="28" t="s">
        <v>63</v>
      </c>
      <c r="C12" s="37">
        <v>2250600</v>
      </c>
      <c r="D12" s="37">
        <v>2580716</v>
      </c>
      <c r="E12" s="37">
        <v>2580716</v>
      </c>
      <c r="F12" s="232" t="s">
        <v>64</v>
      </c>
    </row>
    <row r="13" spans="1:6" s="237" customFormat="1" ht="12" customHeight="1">
      <c r="A13" s="236" t="s">
        <v>65</v>
      </c>
      <c r="B13" s="28" t="s">
        <v>66</v>
      </c>
      <c r="C13" s="37">
        <v>0</v>
      </c>
      <c r="D13" s="37">
        <v>0</v>
      </c>
      <c r="E13" s="37">
        <v>0</v>
      </c>
      <c r="F13" s="232" t="s">
        <v>67</v>
      </c>
    </row>
    <row r="14" spans="1:8" s="235" customFormat="1" ht="12" customHeight="1">
      <c r="A14" s="238" t="s">
        <v>68</v>
      </c>
      <c r="B14" s="34" t="s">
        <v>69</v>
      </c>
      <c r="C14" s="39">
        <v>0</v>
      </c>
      <c r="D14" s="39">
        <v>5924515</v>
      </c>
      <c r="E14" s="39">
        <v>5924515</v>
      </c>
      <c r="F14" s="232" t="s">
        <v>70</v>
      </c>
      <c r="H14" s="163"/>
    </row>
    <row r="15" spans="1:8" s="235" customFormat="1" ht="12" customHeight="1">
      <c r="A15" s="14" t="s">
        <v>71</v>
      </c>
      <c r="B15" s="31" t="s">
        <v>72</v>
      </c>
      <c r="C15" s="58">
        <f>SUM(C16:C21)</f>
        <v>14000000</v>
      </c>
      <c r="D15" s="58">
        <f>SUM(D16:D21)</f>
        <v>40293818</v>
      </c>
      <c r="E15" s="58">
        <f>SUM(E16:E21)</f>
        <v>40293818</v>
      </c>
      <c r="F15" s="232" t="s">
        <v>73</v>
      </c>
      <c r="H15" s="163"/>
    </row>
    <row r="16" spans="1:8" s="235" customFormat="1" ht="12" customHeight="1">
      <c r="A16" s="234" t="s">
        <v>74</v>
      </c>
      <c r="B16" s="25" t="s">
        <v>75</v>
      </c>
      <c r="C16" s="35">
        <v>0</v>
      </c>
      <c r="D16" s="35">
        <v>0</v>
      </c>
      <c r="E16" s="36">
        <v>0</v>
      </c>
      <c r="F16" s="232" t="s">
        <v>76</v>
      </c>
      <c r="H16" s="163"/>
    </row>
    <row r="17" spans="1:6" s="235" customFormat="1" ht="12" customHeight="1">
      <c r="A17" s="236" t="s">
        <v>77</v>
      </c>
      <c r="B17" s="28" t="s">
        <v>78</v>
      </c>
      <c r="C17" s="37">
        <v>0</v>
      </c>
      <c r="D17" s="37">
        <v>0</v>
      </c>
      <c r="E17" s="38">
        <v>0</v>
      </c>
      <c r="F17" s="232" t="s">
        <v>79</v>
      </c>
    </row>
    <row r="18" spans="1:8" s="235" customFormat="1" ht="12" customHeight="1">
      <c r="A18" s="236" t="s">
        <v>80</v>
      </c>
      <c r="B18" s="28" t="s">
        <v>81</v>
      </c>
      <c r="C18" s="37">
        <v>0</v>
      </c>
      <c r="D18" s="38">
        <v>0</v>
      </c>
      <c r="E18" s="38">
        <v>0</v>
      </c>
      <c r="F18" s="232" t="s">
        <v>82</v>
      </c>
      <c r="H18" s="163"/>
    </row>
    <row r="19" spans="1:6" s="235" customFormat="1" ht="12" customHeight="1">
      <c r="A19" s="236" t="s">
        <v>83</v>
      </c>
      <c r="B19" s="28" t="s">
        <v>84</v>
      </c>
      <c r="C19" s="37">
        <v>0</v>
      </c>
      <c r="D19" s="37">
        <v>0</v>
      </c>
      <c r="E19" s="38">
        <v>0</v>
      </c>
      <c r="F19" s="232" t="s">
        <v>85</v>
      </c>
    </row>
    <row r="20" spans="1:6" s="235" customFormat="1" ht="12" customHeight="1">
      <c r="A20" s="236" t="s">
        <v>86</v>
      </c>
      <c r="B20" s="28" t="s">
        <v>87</v>
      </c>
      <c r="C20" s="37">
        <v>14000000</v>
      </c>
      <c r="D20" s="38">
        <v>40293818</v>
      </c>
      <c r="E20" s="38">
        <v>40293818</v>
      </c>
      <c r="F20" s="232" t="s">
        <v>88</v>
      </c>
    </row>
    <row r="21" spans="1:6" s="237" customFormat="1" ht="12" customHeight="1">
      <c r="A21" s="238" t="s">
        <v>89</v>
      </c>
      <c r="B21" s="34" t="s">
        <v>90</v>
      </c>
      <c r="C21" s="39">
        <v>0</v>
      </c>
      <c r="D21" s="39">
        <v>0</v>
      </c>
      <c r="E21" s="40">
        <v>0</v>
      </c>
      <c r="F21" s="232" t="s">
        <v>91</v>
      </c>
    </row>
    <row r="22" spans="1:6" s="237" customFormat="1" ht="12" customHeight="1">
      <c r="A22" s="14" t="s">
        <v>92</v>
      </c>
      <c r="B22" s="20" t="s">
        <v>93</v>
      </c>
      <c r="C22" s="58">
        <f>SUM(C23:C28)</f>
        <v>95000000</v>
      </c>
      <c r="D22" s="58">
        <f>SUM(D23:D27)</f>
        <v>151681249</v>
      </c>
      <c r="E22" s="58">
        <f>SUM(E23:E27)</f>
        <v>151681249</v>
      </c>
      <c r="F22" s="232" t="s">
        <v>94</v>
      </c>
    </row>
    <row r="23" spans="1:6" s="237" customFormat="1" ht="12" customHeight="1">
      <c r="A23" s="234" t="s">
        <v>95</v>
      </c>
      <c r="B23" s="25" t="s">
        <v>96</v>
      </c>
      <c r="C23" s="35">
        <v>0</v>
      </c>
      <c r="D23" s="35">
        <v>10068043</v>
      </c>
      <c r="E23" s="36">
        <v>10068043</v>
      </c>
      <c r="F23" s="232" t="s">
        <v>97</v>
      </c>
    </row>
    <row r="24" spans="1:6" s="235" customFormat="1" ht="12" customHeight="1">
      <c r="A24" s="236" t="s">
        <v>98</v>
      </c>
      <c r="B24" s="28" t="s">
        <v>99</v>
      </c>
      <c r="C24" s="37">
        <v>0</v>
      </c>
      <c r="D24" s="37"/>
      <c r="E24" s="38">
        <v>0</v>
      </c>
      <c r="F24" s="232" t="s">
        <v>100</v>
      </c>
    </row>
    <row r="25" spans="1:6" s="237" customFormat="1" ht="12" customHeight="1">
      <c r="A25" s="236" t="s">
        <v>101</v>
      </c>
      <c r="B25" s="28" t="s">
        <v>102</v>
      </c>
      <c r="C25" s="37"/>
      <c r="D25" s="37"/>
      <c r="E25" s="38">
        <v>0</v>
      </c>
      <c r="F25" s="232" t="s">
        <v>103</v>
      </c>
    </row>
    <row r="26" spans="1:6" s="237" customFormat="1" ht="12" customHeight="1">
      <c r="A26" s="236" t="s">
        <v>104</v>
      </c>
      <c r="B26" s="28" t="s">
        <v>105</v>
      </c>
      <c r="C26" s="37">
        <v>0</v>
      </c>
      <c r="D26" s="37">
        <v>0</v>
      </c>
      <c r="E26" s="38">
        <v>0</v>
      </c>
      <c r="F26" s="232" t="s">
        <v>106</v>
      </c>
    </row>
    <row r="27" spans="1:6" s="237" customFormat="1" ht="12" customHeight="1">
      <c r="A27" s="236" t="s">
        <v>107</v>
      </c>
      <c r="B27" s="28" t="s">
        <v>108</v>
      </c>
      <c r="C27" s="37">
        <v>95000000</v>
      </c>
      <c r="D27" s="37">
        <v>141613206</v>
      </c>
      <c r="E27" s="38">
        <v>141613206</v>
      </c>
      <c r="F27" s="232" t="s">
        <v>109</v>
      </c>
    </row>
    <row r="28" spans="1:6" s="237" customFormat="1" ht="12" customHeight="1">
      <c r="A28" s="238" t="s">
        <v>110</v>
      </c>
      <c r="B28" s="30" t="s">
        <v>111</v>
      </c>
      <c r="C28" s="39">
        <v>0</v>
      </c>
      <c r="D28" s="39">
        <v>0</v>
      </c>
      <c r="E28" s="40">
        <v>0</v>
      </c>
      <c r="F28" s="232" t="s">
        <v>112</v>
      </c>
    </row>
    <row r="29" spans="1:6" s="237" customFormat="1" ht="12" customHeight="1">
      <c r="A29" s="14" t="s">
        <v>113</v>
      </c>
      <c r="B29" s="20" t="s">
        <v>114</v>
      </c>
      <c r="C29" s="58">
        <f>+C32+C33+C34+C35+C31</f>
        <v>80000000</v>
      </c>
      <c r="D29" s="58">
        <f>+D32+D33+D34+D35+D31</f>
        <v>93332274</v>
      </c>
      <c r="E29" s="58">
        <f>+E32+E33+E34+E35+E31</f>
        <v>93332274</v>
      </c>
      <c r="F29" s="232" t="s">
        <v>115</v>
      </c>
    </row>
    <row r="30" spans="1:6" s="237" customFormat="1" ht="12" customHeight="1">
      <c r="A30" s="234" t="s">
        <v>116</v>
      </c>
      <c r="B30" s="25" t="s">
        <v>117</v>
      </c>
      <c r="C30" s="239">
        <f>C31+C32</f>
        <v>74179000</v>
      </c>
      <c r="D30" s="239">
        <f>D31+D32</f>
        <v>86631378</v>
      </c>
      <c r="E30" s="239">
        <f>E31+E32</f>
        <v>86631378</v>
      </c>
      <c r="F30" s="232" t="s">
        <v>118</v>
      </c>
    </row>
    <row r="31" spans="1:6" s="237" customFormat="1" ht="12" customHeight="1">
      <c r="A31" s="236" t="s">
        <v>119</v>
      </c>
      <c r="B31" s="28" t="s">
        <v>120</v>
      </c>
      <c r="C31" s="37">
        <v>6000000</v>
      </c>
      <c r="D31" s="37">
        <v>6582209</v>
      </c>
      <c r="E31" s="38">
        <v>6582209</v>
      </c>
      <c r="F31" s="232" t="s">
        <v>121</v>
      </c>
    </row>
    <row r="32" spans="1:6" s="237" customFormat="1" ht="12" customHeight="1">
      <c r="A32" s="236" t="s">
        <v>122</v>
      </c>
      <c r="B32" s="28" t="s">
        <v>505</v>
      </c>
      <c r="C32" s="37">
        <v>68179000</v>
      </c>
      <c r="D32" s="37">
        <v>80049169</v>
      </c>
      <c r="E32" s="38">
        <v>80049169</v>
      </c>
      <c r="F32" s="232" t="s">
        <v>124</v>
      </c>
    </row>
    <row r="33" spans="1:6" s="237" customFormat="1" ht="12" customHeight="1">
      <c r="A33" s="236" t="s">
        <v>125</v>
      </c>
      <c r="B33" s="28" t="s">
        <v>126</v>
      </c>
      <c r="C33" s="37">
        <v>5000000</v>
      </c>
      <c r="D33" s="37">
        <v>6340602</v>
      </c>
      <c r="E33" s="38">
        <v>6340602</v>
      </c>
      <c r="F33" s="232" t="s">
        <v>127</v>
      </c>
    </row>
    <row r="34" spans="1:6" s="237" customFormat="1" ht="12" customHeight="1">
      <c r="A34" s="236" t="s">
        <v>128</v>
      </c>
      <c r="B34" s="28" t="s">
        <v>129</v>
      </c>
      <c r="C34" s="37">
        <v>0</v>
      </c>
      <c r="D34" s="37">
        <v>0</v>
      </c>
      <c r="E34" s="38">
        <v>0</v>
      </c>
      <c r="F34" s="232" t="s">
        <v>130</v>
      </c>
    </row>
    <row r="35" spans="1:6" s="237" customFormat="1" ht="12" customHeight="1">
      <c r="A35" s="238" t="s">
        <v>131</v>
      </c>
      <c r="B35" s="30" t="s">
        <v>132</v>
      </c>
      <c r="C35" s="39">
        <v>821000</v>
      </c>
      <c r="D35" s="39">
        <v>360294</v>
      </c>
      <c r="E35" s="40">
        <v>360294</v>
      </c>
      <c r="F35" s="232" t="s">
        <v>133</v>
      </c>
    </row>
    <row r="36" spans="1:6" s="237" customFormat="1" ht="12" customHeight="1">
      <c r="A36" s="14" t="s">
        <v>134</v>
      </c>
      <c r="B36" s="20" t="s">
        <v>135</v>
      </c>
      <c r="C36" s="58">
        <f>SUM(C37:C46)</f>
        <v>8000000</v>
      </c>
      <c r="D36" s="58">
        <f>SUM(D37:D46)</f>
        <v>7695237</v>
      </c>
      <c r="E36" s="58">
        <f>SUM(E37:E46)</f>
        <v>7695237</v>
      </c>
      <c r="F36" s="232" t="s">
        <v>136</v>
      </c>
    </row>
    <row r="37" spans="1:6" s="237" customFormat="1" ht="12" customHeight="1">
      <c r="A37" s="234" t="s">
        <v>137</v>
      </c>
      <c r="B37" s="25" t="s">
        <v>138</v>
      </c>
      <c r="C37" s="35">
        <v>0</v>
      </c>
      <c r="D37" s="35">
        <v>0</v>
      </c>
      <c r="E37" s="36">
        <v>0</v>
      </c>
      <c r="F37" s="232" t="s">
        <v>139</v>
      </c>
    </row>
    <row r="38" spans="1:6" s="237" customFormat="1" ht="12" customHeight="1">
      <c r="A38" s="236" t="s">
        <v>140</v>
      </c>
      <c r="B38" s="28" t="s">
        <v>141</v>
      </c>
      <c r="C38" s="37">
        <v>700000</v>
      </c>
      <c r="D38" s="37">
        <v>76370</v>
      </c>
      <c r="E38" s="38">
        <v>76370</v>
      </c>
      <c r="F38" s="232" t="s">
        <v>142</v>
      </c>
    </row>
    <row r="39" spans="1:6" s="237" customFormat="1" ht="12" customHeight="1">
      <c r="A39" s="236" t="s">
        <v>143</v>
      </c>
      <c r="B39" s="28" t="s">
        <v>144</v>
      </c>
      <c r="C39" s="37">
        <v>100000</v>
      </c>
      <c r="D39" s="37">
        <v>0</v>
      </c>
      <c r="E39" s="38">
        <v>0</v>
      </c>
      <c r="F39" s="232" t="s">
        <v>145</v>
      </c>
    </row>
    <row r="40" spans="1:6" s="237" customFormat="1" ht="12" customHeight="1">
      <c r="A40" s="236" t="s">
        <v>146</v>
      </c>
      <c r="B40" s="28" t="s">
        <v>147</v>
      </c>
      <c r="C40" s="37">
        <v>5100000</v>
      </c>
      <c r="D40" s="38">
        <v>3701729</v>
      </c>
      <c r="E40" s="38">
        <v>3701729</v>
      </c>
      <c r="F40" s="232" t="s">
        <v>148</v>
      </c>
    </row>
    <row r="41" spans="1:6" s="237" customFormat="1" ht="12" customHeight="1">
      <c r="A41" s="236" t="s">
        <v>149</v>
      </c>
      <c r="B41" s="28" t="s">
        <v>150</v>
      </c>
      <c r="C41" s="37">
        <v>1000000</v>
      </c>
      <c r="D41" s="38">
        <v>1264767</v>
      </c>
      <c r="E41" s="38">
        <v>1264767</v>
      </c>
      <c r="F41" s="232" t="s">
        <v>151</v>
      </c>
    </row>
    <row r="42" spans="1:6" s="237" customFormat="1" ht="12" customHeight="1">
      <c r="A42" s="236" t="s">
        <v>152</v>
      </c>
      <c r="B42" s="28" t="s">
        <v>153</v>
      </c>
      <c r="C42" s="37">
        <v>1000000</v>
      </c>
      <c r="D42" s="38">
        <v>1138582</v>
      </c>
      <c r="E42" s="38">
        <v>1138582</v>
      </c>
      <c r="F42" s="232" t="s">
        <v>154</v>
      </c>
    </row>
    <row r="43" spans="1:6" s="237" customFormat="1" ht="12" customHeight="1">
      <c r="A43" s="236" t="s">
        <v>155</v>
      </c>
      <c r="B43" s="28" t="s">
        <v>156</v>
      </c>
      <c r="C43" s="37">
        <v>0</v>
      </c>
      <c r="D43" s="37">
        <v>0</v>
      </c>
      <c r="E43" s="38">
        <v>0</v>
      </c>
      <c r="F43" s="232" t="s">
        <v>157</v>
      </c>
    </row>
    <row r="44" spans="1:6" s="237" customFormat="1" ht="12" customHeight="1">
      <c r="A44" s="236" t="s">
        <v>158</v>
      </c>
      <c r="B44" s="28" t="s">
        <v>159</v>
      </c>
      <c r="C44" s="37">
        <v>100000</v>
      </c>
      <c r="D44" s="37">
        <v>448200</v>
      </c>
      <c r="E44" s="38">
        <v>448200</v>
      </c>
      <c r="F44" s="232" t="s">
        <v>160</v>
      </c>
    </row>
    <row r="45" spans="1:6" s="237" customFormat="1" ht="12" customHeight="1">
      <c r="A45" s="236" t="s">
        <v>161</v>
      </c>
      <c r="B45" s="28" t="s">
        <v>162</v>
      </c>
      <c r="C45" s="37">
        <v>0</v>
      </c>
      <c r="D45" s="37">
        <v>0</v>
      </c>
      <c r="E45" s="38">
        <v>0</v>
      </c>
      <c r="F45" s="232" t="s">
        <v>163</v>
      </c>
    </row>
    <row r="46" spans="1:6" s="235" customFormat="1" ht="12" customHeight="1">
      <c r="A46" s="238" t="s">
        <v>164</v>
      </c>
      <c r="B46" s="30" t="s">
        <v>165</v>
      </c>
      <c r="C46" s="39">
        <v>0</v>
      </c>
      <c r="D46" s="39">
        <f>515811+549778</f>
        <v>1065589</v>
      </c>
      <c r="E46" s="39">
        <f>515811+549778</f>
        <v>1065589</v>
      </c>
      <c r="F46" s="232" t="s">
        <v>166</v>
      </c>
    </row>
    <row r="47" spans="1:6" s="237" customFormat="1" ht="12" customHeight="1">
      <c r="A47" s="14" t="s">
        <v>167</v>
      </c>
      <c r="B47" s="20" t="s">
        <v>168</v>
      </c>
      <c r="C47" s="58">
        <f>SUM(C48:C52)</f>
        <v>0</v>
      </c>
      <c r="D47" s="58">
        <f>SUM(D48:D52)</f>
        <v>186614</v>
      </c>
      <c r="E47" s="58">
        <f>SUM(E48:E52)</f>
        <v>186614</v>
      </c>
      <c r="F47" s="232" t="s">
        <v>169</v>
      </c>
    </row>
    <row r="48" spans="1:6" s="237" customFormat="1" ht="12" customHeight="1">
      <c r="A48" s="234" t="s">
        <v>170</v>
      </c>
      <c r="B48" s="25" t="s">
        <v>171</v>
      </c>
      <c r="C48" s="35">
        <v>0</v>
      </c>
      <c r="D48" s="35">
        <v>0</v>
      </c>
      <c r="E48" s="36">
        <v>0</v>
      </c>
      <c r="F48" s="232" t="s">
        <v>172</v>
      </c>
    </row>
    <row r="49" spans="1:6" s="237" customFormat="1" ht="12" customHeight="1">
      <c r="A49" s="236" t="s">
        <v>173</v>
      </c>
      <c r="B49" s="28" t="s">
        <v>174</v>
      </c>
      <c r="C49" s="37">
        <v>0</v>
      </c>
      <c r="D49" s="37">
        <v>100000</v>
      </c>
      <c r="E49" s="38">
        <v>100000</v>
      </c>
      <c r="F49" s="232" t="s">
        <v>175</v>
      </c>
    </row>
    <row r="50" spans="1:6" s="237" customFormat="1" ht="12" customHeight="1">
      <c r="A50" s="236" t="s">
        <v>176</v>
      </c>
      <c r="B50" s="28" t="s">
        <v>177</v>
      </c>
      <c r="C50" s="37">
        <v>0</v>
      </c>
      <c r="D50" s="37">
        <v>86614</v>
      </c>
      <c r="E50" s="38">
        <v>86614</v>
      </c>
      <c r="F50" s="232" t="s">
        <v>178</v>
      </c>
    </row>
    <row r="51" spans="1:6" s="237" customFormat="1" ht="12" customHeight="1">
      <c r="A51" s="236" t="s">
        <v>179</v>
      </c>
      <c r="B51" s="28" t="s">
        <v>180</v>
      </c>
      <c r="C51" s="37">
        <v>0</v>
      </c>
      <c r="D51" s="37">
        <v>0</v>
      </c>
      <c r="E51" s="38">
        <v>0</v>
      </c>
      <c r="F51" s="232" t="s">
        <v>181</v>
      </c>
    </row>
    <row r="52" spans="1:6" s="237" customFormat="1" ht="12" customHeight="1">
      <c r="A52" s="238" t="s">
        <v>182</v>
      </c>
      <c r="B52" s="30" t="s">
        <v>183</v>
      </c>
      <c r="C52" s="39">
        <v>0</v>
      </c>
      <c r="D52" s="39">
        <v>0</v>
      </c>
      <c r="E52" s="40">
        <v>0</v>
      </c>
      <c r="F52" s="232" t="s">
        <v>184</v>
      </c>
    </row>
    <row r="53" spans="1:6" s="237" customFormat="1" ht="12" customHeight="1">
      <c r="A53" s="14" t="s">
        <v>185</v>
      </c>
      <c r="B53" s="20" t="s">
        <v>186</v>
      </c>
      <c r="C53" s="58">
        <f>SUM(C54:C57)</f>
        <v>0</v>
      </c>
      <c r="D53" s="58">
        <f>SUM(D54:D56)</f>
        <v>0</v>
      </c>
      <c r="E53" s="58">
        <f>SUM(E54:E56)</f>
        <v>0</v>
      </c>
      <c r="F53" s="232" t="s">
        <v>187</v>
      </c>
    </row>
    <row r="54" spans="1:6" s="235" customFormat="1" ht="12" customHeight="1">
      <c r="A54" s="234" t="s">
        <v>188</v>
      </c>
      <c r="B54" s="25" t="s">
        <v>189</v>
      </c>
      <c r="C54" s="35">
        <v>0</v>
      </c>
      <c r="D54" s="35">
        <v>0</v>
      </c>
      <c r="E54" s="36">
        <v>0</v>
      </c>
      <c r="F54" s="232" t="s">
        <v>190</v>
      </c>
    </row>
    <row r="55" spans="1:6" s="235" customFormat="1" ht="12" customHeight="1">
      <c r="A55" s="236" t="s">
        <v>191</v>
      </c>
      <c r="B55" s="28" t="s">
        <v>192</v>
      </c>
      <c r="C55" s="37"/>
      <c r="D55" s="37"/>
      <c r="E55" s="38">
        <v>0</v>
      </c>
      <c r="F55" s="232" t="s">
        <v>193</v>
      </c>
    </row>
    <row r="56" spans="1:6" s="235" customFormat="1" ht="12" customHeight="1">
      <c r="A56" s="236" t="s">
        <v>194</v>
      </c>
      <c r="B56" s="28" t="s">
        <v>195</v>
      </c>
      <c r="C56" s="37">
        <v>0</v>
      </c>
      <c r="D56" s="37">
        <v>0</v>
      </c>
      <c r="E56" s="38">
        <v>0</v>
      </c>
      <c r="F56" s="232" t="s">
        <v>196</v>
      </c>
    </row>
    <row r="57" spans="1:6" s="235" customFormat="1" ht="12" customHeight="1">
      <c r="A57" s="238" t="s">
        <v>197</v>
      </c>
      <c r="B57" s="30" t="s">
        <v>198</v>
      </c>
      <c r="C57" s="39">
        <v>0</v>
      </c>
      <c r="D57" s="39">
        <v>0</v>
      </c>
      <c r="E57" s="40">
        <v>0</v>
      </c>
      <c r="F57" s="232" t="s">
        <v>199</v>
      </c>
    </row>
    <row r="58" spans="1:6" s="237" customFormat="1" ht="12" customHeight="1">
      <c r="A58" s="14" t="s">
        <v>200</v>
      </c>
      <c r="B58" s="31" t="s">
        <v>201</v>
      </c>
      <c r="C58" s="58">
        <f>SUM(C59:C62)</f>
        <v>0</v>
      </c>
      <c r="D58" s="58">
        <f>SUM(D59:D62)</f>
        <v>22432122</v>
      </c>
      <c r="E58" s="58">
        <f>SUM(E59:E62)</f>
        <v>22432122</v>
      </c>
      <c r="F58" s="232" t="s">
        <v>202</v>
      </c>
    </row>
    <row r="59" spans="1:6" s="237" customFormat="1" ht="12" customHeight="1">
      <c r="A59" s="234" t="s">
        <v>203</v>
      </c>
      <c r="B59" s="25" t="s">
        <v>204</v>
      </c>
      <c r="C59" s="37">
        <v>0</v>
      </c>
      <c r="D59" s="37">
        <v>0</v>
      </c>
      <c r="E59" s="38">
        <v>0</v>
      </c>
      <c r="F59" s="232" t="s">
        <v>205</v>
      </c>
    </row>
    <row r="60" spans="1:6" s="237" customFormat="1" ht="12" customHeight="1">
      <c r="A60" s="236" t="s">
        <v>206</v>
      </c>
      <c r="B60" s="28" t="s">
        <v>506</v>
      </c>
      <c r="C60" s="37"/>
      <c r="D60" s="37">
        <v>22432122</v>
      </c>
      <c r="E60" s="38">
        <v>22432122</v>
      </c>
      <c r="F60" s="232" t="s">
        <v>208</v>
      </c>
    </row>
    <row r="61" spans="1:6" s="237" customFormat="1" ht="12" customHeight="1">
      <c r="A61" s="236" t="s">
        <v>209</v>
      </c>
      <c r="B61" s="28" t="s">
        <v>210</v>
      </c>
      <c r="C61" s="37">
        <v>0</v>
      </c>
      <c r="D61" s="37">
        <v>0</v>
      </c>
      <c r="E61" s="38">
        <v>0</v>
      </c>
      <c r="F61" s="232" t="s">
        <v>211</v>
      </c>
    </row>
    <row r="62" spans="1:6" s="237" customFormat="1" ht="12" customHeight="1">
      <c r="A62" s="238" t="s">
        <v>212</v>
      </c>
      <c r="B62" s="30" t="s">
        <v>213</v>
      </c>
      <c r="C62" s="37">
        <v>0</v>
      </c>
      <c r="D62" s="37">
        <v>0</v>
      </c>
      <c r="E62" s="38">
        <v>0</v>
      </c>
      <c r="F62" s="232" t="s">
        <v>214</v>
      </c>
    </row>
    <row r="63" spans="1:8" s="237" customFormat="1" ht="12" customHeight="1">
      <c r="A63" s="14" t="s">
        <v>215</v>
      </c>
      <c r="B63" s="20" t="s">
        <v>216</v>
      </c>
      <c r="C63" s="58">
        <f>C8+C15+C22+C29+C36+C47+C53+C58</f>
        <v>260832031</v>
      </c>
      <c r="D63" s="58">
        <f>D8+D15+D22+D29+D36+D47+D53+D58</f>
        <v>389277394</v>
      </c>
      <c r="E63" s="58">
        <f>E8+E15+E22+E29+E36+E47+E53+E58</f>
        <v>389277394</v>
      </c>
      <c r="F63" s="232" t="s">
        <v>217</v>
      </c>
      <c r="H63" s="582"/>
    </row>
    <row r="64" spans="1:6" s="237" customFormat="1" ht="12" customHeight="1">
      <c r="A64" s="240" t="s">
        <v>507</v>
      </c>
      <c r="B64" s="31" t="s">
        <v>219</v>
      </c>
      <c r="C64" s="58"/>
      <c r="D64" s="58"/>
      <c r="E64" s="241"/>
      <c r="F64" s="232" t="s">
        <v>220</v>
      </c>
    </row>
    <row r="65" spans="1:6" s="237" customFormat="1" ht="12" customHeight="1">
      <c r="A65" s="234" t="s">
        <v>221</v>
      </c>
      <c r="B65" s="25" t="s">
        <v>222</v>
      </c>
      <c r="C65" s="37">
        <v>0</v>
      </c>
      <c r="D65" s="37">
        <v>0</v>
      </c>
      <c r="E65" s="38">
        <v>0</v>
      </c>
      <c r="F65" s="232" t="s">
        <v>223</v>
      </c>
    </row>
    <row r="66" spans="1:6" s="237" customFormat="1" ht="12" customHeight="1">
      <c r="A66" s="236" t="s">
        <v>224</v>
      </c>
      <c r="B66" s="28" t="s">
        <v>225</v>
      </c>
      <c r="C66" s="37">
        <v>0</v>
      </c>
      <c r="D66" s="37">
        <v>0</v>
      </c>
      <c r="E66" s="38">
        <v>0</v>
      </c>
      <c r="F66" s="232" t="s">
        <v>226</v>
      </c>
    </row>
    <row r="67" spans="1:6" s="237" customFormat="1" ht="12" customHeight="1">
      <c r="A67" s="238" t="s">
        <v>227</v>
      </c>
      <c r="B67" s="242" t="s">
        <v>508</v>
      </c>
      <c r="C67" s="37">
        <v>0</v>
      </c>
      <c r="D67" s="37">
        <v>0</v>
      </c>
      <c r="E67" s="38">
        <v>0</v>
      </c>
      <c r="F67" s="232" t="s">
        <v>229</v>
      </c>
    </row>
    <row r="68" spans="1:6" s="237" customFormat="1" ht="12" customHeight="1">
      <c r="A68" s="240" t="s">
        <v>230</v>
      </c>
      <c r="B68" s="31" t="s">
        <v>231</v>
      </c>
      <c r="C68" s="58">
        <f>SUM(C69:C72)</f>
        <v>0</v>
      </c>
      <c r="D68" s="58">
        <f>SUM(D69:D72)</f>
        <v>0</v>
      </c>
      <c r="E68" s="58">
        <f>SUM(E69:E72)</f>
        <v>0</v>
      </c>
      <c r="F68" s="232" t="s">
        <v>232</v>
      </c>
    </row>
    <row r="69" spans="1:6" s="237" customFormat="1" ht="12" customHeight="1">
      <c r="A69" s="234" t="s">
        <v>233</v>
      </c>
      <c r="B69" s="25" t="s">
        <v>234</v>
      </c>
      <c r="C69" s="37">
        <v>0</v>
      </c>
      <c r="D69" s="37">
        <v>0</v>
      </c>
      <c r="E69" s="38">
        <v>0</v>
      </c>
      <c r="F69" s="232" t="s">
        <v>235</v>
      </c>
    </row>
    <row r="70" spans="1:6" s="237" customFormat="1" ht="12" customHeight="1">
      <c r="A70" s="236" t="s">
        <v>236</v>
      </c>
      <c r="B70" s="28" t="s">
        <v>237</v>
      </c>
      <c r="C70" s="37">
        <v>0</v>
      </c>
      <c r="D70" s="37">
        <v>0</v>
      </c>
      <c r="E70" s="38">
        <v>0</v>
      </c>
      <c r="F70" s="232" t="s">
        <v>238</v>
      </c>
    </row>
    <row r="71" spans="1:6" s="237" customFormat="1" ht="12" customHeight="1">
      <c r="A71" s="236" t="s">
        <v>239</v>
      </c>
      <c r="B71" s="28" t="s">
        <v>240</v>
      </c>
      <c r="C71" s="37">
        <v>0</v>
      </c>
      <c r="D71" s="37">
        <v>0</v>
      </c>
      <c r="E71" s="38">
        <v>0</v>
      </c>
      <c r="F71" s="232" t="s">
        <v>241</v>
      </c>
    </row>
    <row r="72" spans="1:6" s="237" customFormat="1" ht="12" customHeight="1">
      <c r="A72" s="238" t="s">
        <v>242</v>
      </c>
      <c r="B72" s="30" t="s">
        <v>243</v>
      </c>
      <c r="C72" s="37">
        <v>0</v>
      </c>
      <c r="D72" s="37">
        <v>0</v>
      </c>
      <c r="E72" s="38">
        <v>0</v>
      </c>
      <c r="F72" s="232" t="s">
        <v>244</v>
      </c>
    </row>
    <row r="73" spans="1:6" s="237" customFormat="1" ht="12" customHeight="1">
      <c r="A73" s="240" t="s">
        <v>245</v>
      </c>
      <c r="B73" s="31" t="s">
        <v>246</v>
      </c>
      <c r="C73" s="58">
        <f>SUM(C74:C75)</f>
        <v>177955222</v>
      </c>
      <c r="D73" s="58">
        <f>SUM(D74:D75)</f>
        <v>177955222</v>
      </c>
      <c r="E73" s="58">
        <f>SUM(E74:E75)</f>
        <v>177955222</v>
      </c>
      <c r="F73" s="232" t="s">
        <v>247</v>
      </c>
    </row>
    <row r="74" spans="1:6" s="237" customFormat="1" ht="12" customHeight="1">
      <c r="A74" s="234" t="s">
        <v>248</v>
      </c>
      <c r="B74" s="25" t="s">
        <v>249</v>
      </c>
      <c r="C74" s="37">
        <v>177955222</v>
      </c>
      <c r="D74" s="37">
        <v>177955222</v>
      </c>
      <c r="E74" s="38">
        <v>177955222</v>
      </c>
      <c r="F74" s="232" t="s">
        <v>250</v>
      </c>
    </row>
    <row r="75" spans="1:6" s="237" customFormat="1" ht="12" customHeight="1">
      <c r="A75" s="238" t="s">
        <v>251</v>
      </c>
      <c r="B75" s="30" t="s">
        <v>252</v>
      </c>
      <c r="C75" s="37">
        <v>0</v>
      </c>
      <c r="D75" s="37">
        <v>0</v>
      </c>
      <c r="E75" s="38">
        <v>0</v>
      </c>
      <c r="F75" s="232" t="s">
        <v>253</v>
      </c>
    </row>
    <row r="76" spans="1:6" s="237" customFormat="1" ht="12" customHeight="1">
      <c r="A76" s="240" t="s">
        <v>254</v>
      </c>
      <c r="B76" s="31" t="s">
        <v>255</v>
      </c>
      <c r="C76" s="58">
        <f>SUM(C77:C79)</f>
        <v>0</v>
      </c>
      <c r="D76" s="58">
        <f>SUM(D77:D79)</f>
        <v>2649936</v>
      </c>
      <c r="E76" s="58">
        <f>SUM(E77:E79)</f>
        <v>2649936</v>
      </c>
      <c r="F76" s="232" t="s">
        <v>256</v>
      </c>
    </row>
    <row r="77" spans="1:6" s="237" customFormat="1" ht="12" customHeight="1">
      <c r="A77" s="234" t="s">
        <v>257</v>
      </c>
      <c r="B77" s="25" t="s">
        <v>258</v>
      </c>
      <c r="C77" s="37">
        <v>0</v>
      </c>
      <c r="D77" s="37">
        <v>2649936</v>
      </c>
      <c r="E77" s="38">
        <v>2649936</v>
      </c>
      <c r="F77" s="232" t="s">
        <v>259</v>
      </c>
    </row>
    <row r="78" spans="1:6" s="237" customFormat="1" ht="12" customHeight="1">
      <c r="A78" s="236" t="s">
        <v>260</v>
      </c>
      <c r="B78" s="28" t="s">
        <v>261</v>
      </c>
      <c r="C78" s="37">
        <v>0</v>
      </c>
      <c r="D78" s="37">
        <v>0</v>
      </c>
      <c r="E78" s="38">
        <v>0</v>
      </c>
      <c r="F78" s="232" t="s">
        <v>262</v>
      </c>
    </row>
    <row r="79" spans="1:6" s="237" customFormat="1" ht="12" customHeight="1">
      <c r="A79" s="238" t="s">
        <v>263</v>
      </c>
      <c r="B79" s="30" t="s">
        <v>264</v>
      </c>
      <c r="C79" s="37">
        <v>0</v>
      </c>
      <c r="D79" s="37">
        <v>0</v>
      </c>
      <c r="E79" s="38">
        <v>0</v>
      </c>
      <c r="F79" s="232" t="s">
        <v>265</v>
      </c>
    </row>
    <row r="80" spans="1:6" s="237" customFormat="1" ht="12" customHeight="1">
      <c r="A80" s="240" t="s">
        <v>266</v>
      </c>
      <c r="B80" s="31" t="s">
        <v>267</v>
      </c>
      <c r="C80" s="58"/>
      <c r="D80" s="58"/>
      <c r="E80" s="241"/>
      <c r="F80" s="232" t="s">
        <v>268</v>
      </c>
    </row>
    <row r="81" spans="1:6" s="237" customFormat="1" ht="12" customHeight="1">
      <c r="A81" s="243" t="s">
        <v>269</v>
      </c>
      <c r="B81" s="25" t="s">
        <v>270</v>
      </c>
      <c r="C81" s="37">
        <v>0</v>
      </c>
      <c r="D81" s="37">
        <v>0</v>
      </c>
      <c r="E81" s="38">
        <v>0</v>
      </c>
      <c r="F81" s="232" t="s">
        <v>271</v>
      </c>
    </row>
    <row r="82" spans="1:6" s="237" customFormat="1" ht="12" customHeight="1">
      <c r="A82" s="244" t="s">
        <v>272</v>
      </c>
      <c r="B82" s="28" t="s">
        <v>273</v>
      </c>
      <c r="C82" s="37">
        <v>0</v>
      </c>
      <c r="D82" s="37">
        <v>0</v>
      </c>
      <c r="E82" s="38">
        <v>0</v>
      </c>
      <c r="F82" s="232" t="s">
        <v>274</v>
      </c>
    </row>
    <row r="83" spans="1:6" s="237" customFormat="1" ht="12" customHeight="1">
      <c r="A83" s="244" t="s">
        <v>275</v>
      </c>
      <c r="B83" s="28" t="s">
        <v>276</v>
      </c>
      <c r="C83" s="37">
        <v>0</v>
      </c>
      <c r="D83" s="37">
        <v>0</v>
      </c>
      <c r="E83" s="38">
        <v>0</v>
      </c>
      <c r="F83" s="232" t="s">
        <v>277</v>
      </c>
    </row>
    <row r="84" spans="1:6" s="237" customFormat="1" ht="12" customHeight="1">
      <c r="A84" s="245" t="s">
        <v>278</v>
      </c>
      <c r="B84" s="30" t="s">
        <v>279</v>
      </c>
      <c r="C84" s="37">
        <v>0</v>
      </c>
      <c r="D84" s="37">
        <v>0</v>
      </c>
      <c r="E84" s="38">
        <v>0</v>
      </c>
      <c r="F84" s="232" t="s">
        <v>280</v>
      </c>
    </row>
    <row r="85" spans="1:6" s="237" customFormat="1" ht="12" customHeight="1">
      <c r="A85" s="240" t="s">
        <v>281</v>
      </c>
      <c r="B85" s="31" t="s">
        <v>282</v>
      </c>
      <c r="C85" s="246">
        <v>0</v>
      </c>
      <c r="D85" s="246">
        <v>0</v>
      </c>
      <c r="E85" s="247">
        <v>0</v>
      </c>
      <c r="F85" s="232" t="s">
        <v>283</v>
      </c>
    </row>
    <row r="86" spans="1:6" s="237" customFormat="1" ht="12" customHeight="1">
      <c r="A86" s="240" t="s">
        <v>284</v>
      </c>
      <c r="B86" s="248" t="s">
        <v>285</v>
      </c>
      <c r="C86" s="58">
        <f>C64+C68+C73+C76+C80+C85</f>
        <v>177955222</v>
      </c>
      <c r="D86" s="58">
        <f>D64+D68+D73+D76+D80+D85</f>
        <v>180605158</v>
      </c>
      <c r="E86" s="58">
        <f>E64+E68+E73+E76+E80+E85</f>
        <v>180605158</v>
      </c>
      <c r="F86" s="232" t="s">
        <v>286</v>
      </c>
    </row>
    <row r="87" spans="1:6" s="237" customFormat="1" ht="12" customHeight="1">
      <c r="A87" s="249" t="s">
        <v>287</v>
      </c>
      <c r="B87" s="250" t="s">
        <v>509</v>
      </c>
      <c r="C87" s="58">
        <f>C63+C86</f>
        <v>438787253</v>
      </c>
      <c r="D87" s="58">
        <f>D63+D86</f>
        <v>569882552</v>
      </c>
      <c r="E87" s="58">
        <f>E63+E86</f>
        <v>569882552</v>
      </c>
      <c r="F87" s="232" t="s">
        <v>289</v>
      </c>
    </row>
    <row r="88" spans="1:6" s="237" customFormat="1" ht="15" customHeight="1">
      <c r="A88" s="251"/>
      <c r="B88" s="252"/>
      <c r="C88" s="253"/>
      <c r="D88" s="253"/>
      <c r="E88" s="253"/>
      <c r="F88" s="254"/>
    </row>
    <row r="89" spans="1:5" ht="12.75">
      <c r="A89" s="255"/>
      <c r="B89" s="256"/>
      <c r="C89" s="257"/>
      <c r="D89" s="257"/>
      <c r="E89" s="257"/>
    </row>
    <row r="90" spans="1:6" s="233" customFormat="1" ht="16.5" customHeight="1">
      <c r="A90" s="657" t="s">
        <v>373</v>
      </c>
      <c r="B90" s="657"/>
      <c r="C90" s="657"/>
      <c r="D90" s="657"/>
      <c r="E90" s="657"/>
      <c r="F90" s="232"/>
    </row>
    <row r="91" spans="1:6" s="261" customFormat="1" ht="12" customHeight="1">
      <c r="A91" s="258" t="s">
        <v>50</v>
      </c>
      <c r="B91" s="57" t="s">
        <v>293</v>
      </c>
      <c r="C91" s="259">
        <f>SUM(C92:C96)</f>
        <v>144215800</v>
      </c>
      <c r="D91" s="259">
        <f>SUM(D92:D96)</f>
        <v>162685165</v>
      </c>
      <c r="E91" s="259">
        <f>SUM(E92:E96)</f>
        <v>130721611</v>
      </c>
      <c r="F91" s="260" t="s">
        <v>52</v>
      </c>
    </row>
    <row r="92" spans="1:6" ht="12" customHeight="1">
      <c r="A92" s="262" t="s">
        <v>53</v>
      </c>
      <c r="B92" s="60" t="s">
        <v>294</v>
      </c>
      <c r="C92" s="263">
        <v>51000000</v>
      </c>
      <c r="D92" s="263">
        <v>54137500</v>
      </c>
      <c r="E92" s="263">
        <v>48130756</v>
      </c>
      <c r="F92" s="260" t="s">
        <v>55</v>
      </c>
    </row>
    <row r="93" spans="1:6" ht="12" customHeight="1">
      <c r="A93" s="236" t="s">
        <v>56</v>
      </c>
      <c r="B93" s="62" t="s">
        <v>295</v>
      </c>
      <c r="C93" s="264">
        <v>10200000</v>
      </c>
      <c r="D93" s="264">
        <v>10200000</v>
      </c>
      <c r="E93" s="264">
        <v>8501692</v>
      </c>
      <c r="F93" s="260" t="s">
        <v>58</v>
      </c>
    </row>
    <row r="94" spans="1:6" ht="12" customHeight="1">
      <c r="A94" s="236" t="s">
        <v>59</v>
      </c>
      <c r="B94" s="62" t="s">
        <v>296</v>
      </c>
      <c r="C94" s="265">
        <v>76000000</v>
      </c>
      <c r="D94" s="265">
        <v>90731865</v>
      </c>
      <c r="E94" s="265">
        <v>68997363</v>
      </c>
      <c r="F94" s="260" t="s">
        <v>61</v>
      </c>
    </row>
    <row r="95" spans="1:6" ht="12" customHeight="1">
      <c r="A95" s="236" t="s">
        <v>62</v>
      </c>
      <c r="B95" s="63" t="s">
        <v>297</v>
      </c>
      <c r="C95" s="265">
        <v>3363000</v>
      </c>
      <c r="D95" s="265">
        <v>3763000</v>
      </c>
      <c r="E95" s="265">
        <v>1744000</v>
      </c>
      <c r="F95" s="260" t="s">
        <v>64</v>
      </c>
    </row>
    <row r="96" spans="1:6" ht="12" customHeight="1">
      <c r="A96" s="236" t="s">
        <v>298</v>
      </c>
      <c r="B96" s="64" t="s">
        <v>299</v>
      </c>
      <c r="C96" s="265">
        <f>33395805-29743005</f>
        <v>3652800</v>
      </c>
      <c r="D96" s="265">
        <f>112822868-108970068</f>
        <v>3852800</v>
      </c>
      <c r="E96" s="265">
        <v>3347800</v>
      </c>
      <c r="F96" s="260" t="s">
        <v>67</v>
      </c>
    </row>
    <row r="97" spans="1:6" ht="12" customHeight="1">
      <c r="A97" s="236" t="s">
        <v>68</v>
      </c>
      <c r="B97" s="62" t="s">
        <v>300</v>
      </c>
      <c r="C97" s="265">
        <v>0</v>
      </c>
      <c r="D97" s="265">
        <v>0</v>
      </c>
      <c r="E97" s="265">
        <v>0</v>
      </c>
      <c r="F97" s="260" t="s">
        <v>70</v>
      </c>
    </row>
    <row r="98" spans="1:6" ht="12" customHeight="1">
      <c r="A98" s="236" t="s">
        <v>301</v>
      </c>
      <c r="B98" s="65" t="s">
        <v>302</v>
      </c>
      <c r="C98" s="265">
        <v>0</v>
      </c>
      <c r="D98" s="265">
        <v>0</v>
      </c>
      <c r="E98" s="265">
        <v>0</v>
      </c>
      <c r="F98" s="260" t="s">
        <v>73</v>
      </c>
    </row>
    <row r="99" spans="1:6" ht="12" customHeight="1">
      <c r="A99" s="236" t="s">
        <v>303</v>
      </c>
      <c r="B99" s="66" t="s">
        <v>304</v>
      </c>
      <c r="C99" s="265">
        <v>0</v>
      </c>
      <c r="D99" s="265">
        <v>0</v>
      </c>
      <c r="E99" s="265">
        <v>0</v>
      </c>
      <c r="F99" s="260" t="s">
        <v>76</v>
      </c>
    </row>
    <row r="100" spans="1:6" ht="12" customHeight="1">
      <c r="A100" s="236" t="s">
        <v>305</v>
      </c>
      <c r="B100" s="66" t="s">
        <v>306</v>
      </c>
      <c r="C100" s="265">
        <v>0</v>
      </c>
      <c r="D100" s="265">
        <v>0</v>
      </c>
      <c r="E100" s="265">
        <v>0</v>
      </c>
      <c r="F100" s="260" t="s">
        <v>79</v>
      </c>
    </row>
    <row r="101" spans="1:6" ht="12" customHeight="1">
      <c r="A101" s="236" t="s">
        <v>307</v>
      </c>
      <c r="B101" s="65" t="s">
        <v>308</v>
      </c>
      <c r="C101" s="265">
        <v>0</v>
      </c>
      <c r="D101" s="265">
        <v>0</v>
      </c>
      <c r="E101" s="265">
        <v>172800</v>
      </c>
      <c r="F101" s="260" t="s">
        <v>82</v>
      </c>
    </row>
    <row r="102" spans="1:6" ht="12" customHeight="1">
      <c r="A102" s="236" t="s">
        <v>309</v>
      </c>
      <c r="B102" s="65" t="s">
        <v>310</v>
      </c>
      <c r="C102" s="265">
        <v>0</v>
      </c>
      <c r="D102" s="265">
        <v>0</v>
      </c>
      <c r="E102" s="265">
        <v>0</v>
      </c>
      <c r="F102" s="260" t="s">
        <v>85</v>
      </c>
    </row>
    <row r="103" spans="1:6" ht="12" customHeight="1">
      <c r="A103" s="236" t="s">
        <v>311</v>
      </c>
      <c r="B103" s="66" t="s">
        <v>312</v>
      </c>
      <c r="C103" s="265"/>
      <c r="D103" s="265">
        <v>0</v>
      </c>
      <c r="E103" s="265">
        <v>0</v>
      </c>
      <c r="F103" s="260" t="s">
        <v>88</v>
      </c>
    </row>
    <row r="104" spans="1:6" ht="12" customHeight="1">
      <c r="A104" s="266" t="s">
        <v>313</v>
      </c>
      <c r="B104" s="68" t="s">
        <v>314</v>
      </c>
      <c r="C104" s="265">
        <v>0</v>
      </c>
      <c r="D104" s="265">
        <v>0</v>
      </c>
      <c r="E104" s="265">
        <v>0</v>
      </c>
      <c r="F104" s="260" t="s">
        <v>91</v>
      </c>
    </row>
    <row r="105" spans="1:6" ht="12" customHeight="1">
      <c r="A105" s="236" t="s">
        <v>315</v>
      </c>
      <c r="B105" s="68" t="s">
        <v>316</v>
      </c>
      <c r="C105" s="265">
        <v>0</v>
      </c>
      <c r="D105" s="265">
        <v>0</v>
      </c>
      <c r="E105" s="265">
        <v>0</v>
      </c>
      <c r="F105" s="260" t="s">
        <v>94</v>
      </c>
    </row>
    <row r="106" spans="1:6" s="261" customFormat="1" ht="12" customHeight="1">
      <c r="A106" s="267" t="s">
        <v>317</v>
      </c>
      <c r="B106" s="70" t="s">
        <v>318</v>
      </c>
      <c r="C106" s="268">
        <v>3000000</v>
      </c>
      <c r="D106" s="268">
        <v>3200000</v>
      </c>
      <c r="E106" s="268">
        <v>2720000</v>
      </c>
      <c r="F106" s="260" t="s">
        <v>97</v>
      </c>
    </row>
    <row r="107" spans="1:6" ht="12" customHeight="1">
      <c r="A107" s="14" t="s">
        <v>71</v>
      </c>
      <c r="B107" s="71" t="s">
        <v>319</v>
      </c>
      <c r="C107" s="83">
        <f>SUM(C108:C112)-C109-C111</f>
        <v>202926400</v>
      </c>
      <c r="D107" s="83">
        <f>SUM(D108:D112)-D109-D111</f>
        <v>238156523</v>
      </c>
      <c r="E107" s="83">
        <f>SUM(E108:E112)-E109-E111</f>
        <v>186489236</v>
      </c>
      <c r="F107" s="260" t="s">
        <v>100</v>
      </c>
    </row>
    <row r="108" spans="1:6" ht="12" customHeight="1">
      <c r="A108" s="234" t="s">
        <v>74</v>
      </c>
      <c r="B108" s="62" t="s">
        <v>320</v>
      </c>
      <c r="C108" s="269">
        <v>11429400</v>
      </c>
      <c r="D108" s="269">
        <v>25151531</v>
      </c>
      <c r="E108" s="269">
        <v>20960365</v>
      </c>
      <c r="F108" s="260" t="s">
        <v>103</v>
      </c>
    </row>
    <row r="109" spans="1:6" ht="12" customHeight="1">
      <c r="A109" s="234" t="s">
        <v>77</v>
      </c>
      <c r="B109" s="72" t="s">
        <v>321</v>
      </c>
      <c r="C109" s="269"/>
      <c r="D109" s="269"/>
      <c r="E109" s="269"/>
      <c r="F109" s="260" t="s">
        <v>106</v>
      </c>
    </row>
    <row r="110" spans="1:6" ht="12" customHeight="1">
      <c r="A110" s="234" t="s">
        <v>80</v>
      </c>
      <c r="B110" s="72" t="s">
        <v>322</v>
      </c>
      <c r="C110" s="264">
        <v>166497000</v>
      </c>
      <c r="D110" s="264">
        <v>159572870</v>
      </c>
      <c r="E110" s="264">
        <v>112146749</v>
      </c>
      <c r="F110" s="260" t="s">
        <v>109</v>
      </c>
    </row>
    <row r="111" spans="1:6" ht="12" customHeight="1">
      <c r="A111" s="234" t="s">
        <v>83</v>
      </c>
      <c r="B111" s="72" t="s">
        <v>323</v>
      </c>
      <c r="C111" s="38">
        <v>0</v>
      </c>
      <c r="D111" s="38">
        <v>0</v>
      </c>
      <c r="E111" s="38">
        <v>0</v>
      </c>
      <c r="F111" s="260" t="s">
        <v>112</v>
      </c>
    </row>
    <row r="112" spans="1:8" ht="12" customHeight="1">
      <c r="A112" s="234" t="s">
        <v>86</v>
      </c>
      <c r="B112" s="34" t="s">
        <v>324</v>
      </c>
      <c r="C112" s="38">
        <v>25000000</v>
      </c>
      <c r="D112" s="38">
        <v>53432122</v>
      </c>
      <c r="E112" s="38">
        <v>53382122</v>
      </c>
      <c r="F112" s="260" t="s">
        <v>115</v>
      </c>
      <c r="H112" s="84"/>
    </row>
    <row r="113" spans="1:6" ht="12" customHeight="1">
      <c r="A113" s="234" t="s">
        <v>89</v>
      </c>
      <c r="B113" s="73" t="s">
        <v>325</v>
      </c>
      <c r="C113" s="38">
        <v>0</v>
      </c>
      <c r="D113" s="38">
        <v>0</v>
      </c>
      <c r="E113" s="38">
        <v>0</v>
      </c>
      <c r="F113" s="260" t="s">
        <v>118</v>
      </c>
    </row>
    <row r="114" spans="1:6" ht="12" customHeight="1">
      <c r="A114" s="234" t="s">
        <v>326</v>
      </c>
      <c r="B114" s="74" t="s">
        <v>327</v>
      </c>
      <c r="C114" s="38">
        <v>0</v>
      </c>
      <c r="D114" s="38">
        <v>0</v>
      </c>
      <c r="E114" s="38">
        <v>0</v>
      </c>
      <c r="F114" s="260" t="s">
        <v>121</v>
      </c>
    </row>
    <row r="115" spans="1:6" ht="12" customHeight="1">
      <c r="A115" s="234" t="s">
        <v>328</v>
      </c>
      <c r="B115" s="66" t="s">
        <v>306</v>
      </c>
      <c r="C115" s="38">
        <v>0</v>
      </c>
      <c r="D115" s="38">
        <v>0</v>
      </c>
      <c r="E115" s="38">
        <v>0</v>
      </c>
      <c r="F115" s="260" t="s">
        <v>124</v>
      </c>
    </row>
    <row r="116" spans="1:6" ht="12" customHeight="1">
      <c r="A116" s="234" t="s">
        <v>329</v>
      </c>
      <c r="B116" s="66" t="s">
        <v>330</v>
      </c>
      <c r="C116" s="38">
        <v>0</v>
      </c>
      <c r="D116" s="38">
        <v>0</v>
      </c>
      <c r="E116" s="38">
        <v>0</v>
      </c>
      <c r="F116" s="260" t="s">
        <v>127</v>
      </c>
    </row>
    <row r="117" spans="1:6" ht="12" customHeight="1">
      <c r="A117" s="234" t="s">
        <v>331</v>
      </c>
      <c r="B117" s="66" t="s">
        <v>332</v>
      </c>
      <c r="C117" s="38">
        <v>0</v>
      </c>
      <c r="D117" s="38">
        <v>0</v>
      </c>
      <c r="E117" s="38">
        <v>0</v>
      </c>
      <c r="F117" s="260" t="s">
        <v>130</v>
      </c>
    </row>
    <row r="118" spans="1:6" ht="12" customHeight="1">
      <c r="A118" s="234" t="s">
        <v>333</v>
      </c>
      <c r="B118" s="66" t="s">
        <v>312</v>
      </c>
      <c r="C118" s="38">
        <v>0</v>
      </c>
      <c r="D118" s="38">
        <v>52432122</v>
      </c>
      <c r="E118" s="38">
        <v>52432122</v>
      </c>
      <c r="F118" s="260" t="s">
        <v>133</v>
      </c>
    </row>
    <row r="119" spans="1:6" ht="12" customHeight="1">
      <c r="A119" s="234" t="s">
        <v>334</v>
      </c>
      <c r="B119" s="66" t="s">
        <v>335</v>
      </c>
      <c r="C119" s="38">
        <v>1000000</v>
      </c>
      <c r="D119" s="38">
        <v>1000000</v>
      </c>
      <c r="E119" s="38">
        <v>950000</v>
      </c>
      <c r="F119" s="260" t="s">
        <v>136</v>
      </c>
    </row>
    <row r="120" spans="1:6" ht="12" customHeight="1">
      <c r="A120" s="266" t="s">
        <v>336</v>
      </c>
      <c r="B120" s="66" t="s">
        <v>337</v>
      </c>
      <c r="C120" s="40">
        <v>24000000</v>
      </c>
      <c r="D120" s="40"/>
      <c r="E120" s="40"/>
      <c r="F120" s="260" t="s">
        <v>139</v>
      </c>
    </row>
    <row r="121" spans="1:6" ht="12" customHeight="1">
      <c r="A121" s="14" t="s">
        <v>92</v>
      </c>
      <c r="B121" s="20" t="s">
        <v>338</v>
      </c>
      <c r="C121" s="83">
        <f>SUM(C122:C123)</f>
        <v>29743005</v>
      </c>
      <c r="D121" s="83">
        <f>SUM(D122:D123)</f>
        <v>108970068</v>
      </c>
      <c r="E121" s="83">
        <f>SUM(E122:E123)</f>
        <v>0</v>
      </c>
      <c r="F121" s="260" t="s">
        <v>142</v>
      </c>
    </row>
    <row r="122" spans="1:6" ht="12" customHeight="1">
      <c r="A122" s="234" t="s">
        <v>95</v>
      </c>
      <c r="B122" s="76" t="s">
        <v>339</v>
      </c>
      <c r="C122" s="269">
        <v>29743005</v>
      </c>
      <c r="D122" s="269">
        <v>108970068</v>
      </c>
      <c r="E122" s="269">
        <v>0</v>
      </c>
      <c r="F122" s="260" t="s">
        <v>145</v>
      </c>
    </row>
    <row r="123" spans="1:9" ht="12" customHeight="1">
      <c r="A123" s="238" t="s">
        <v>98</v>
      </c>
      <c r="B123" s="72" t="s">
        <v>340</v>
      </c>
      <c r="C123" s="265">
        <v>0</v>
      </c>
      <c r="D123" s="265">
        <v>0</v>
      </c>
      <c r="E123" s="265">
        <v>0</v>
      </c>
      <c r="F123" s="260" t="s">
        <v>148</v>
      </c>
      <c r="I123" s="84"/>
    </row>
    <row r="124" spans="1:6" ht="12" customHeight="1">
      <c r="A124" s="14" t="s">
        <v>341</v>
      </c>
      <c r="B124" s="20" t="s">
        <v>342</v>
      </c>
      <c r="C124" s="83">
        <f>C91+C107+C121</f>
        <v>376885205</v>
      </c>
      <c r="D124" s="83">
        <f>D91+D107+D121</f>
        <v>509811756</v>
      </c>
      <c r="E124" s="83">
        <f>E91+E107+E121</f>
        <v>317210847</v>
      </c>
      <c r="F124" s="260" t="s">
        <v>151</v>
      </c>
    </row>
    <row r="125" spans="1:6" ht="12" customHeight="1">
      <c r="A125" s="14" t="s">
        <v>134</v>
      </c>
      <c r="B125" s="20" t="s">
        <v>510</v>
      </c>
      <c r="C125" s="83"/>
      <c r="D125" s="83"/>
      <c r="E125" s="83"/>
      <c r="F125" s="260" t="s">
        <v>154</v>
      </c>
    </row>
    <row r="126" spans="1:6" ht="12" customHeight="1">
      <c r="A126" s="234" t="s">
        <v>137</v>
      </c>
      <c r="B126" s="76" t="s">
        <v>344</v>
      </c>
      <c r="C126" s="38">
        <v>0</v>
      </c>
      <c r="D126" s="38">
        <v>0</v>
      </c>
      <c r="E126" s="38">
        <v>0</v>
      </c>
      <c r="F126" s="260" t="s">
        <v>157</v>
      </c>
    </row>
    <row r="127" spans="1:6" ht="12" customHeight="1">
      <c r="A127" s="234" t="s">
        <v>140</v>
      </c>
      <c r="B127" s="76" t="s">
        <v>345</v>
      </c>
      <c r="C127" s="38">
        <v>0</v>
      </c>
      <c r="D127" s="38">
        <v>0</v>
      </c>
      <c r="E127" s="38">
        <v>0</v>
      </c>
      <c r="F127" s="260" t="s">
        <v>160</v>
      </c>
    </row>
    <row r="128" spans="1:6" ht="12" customHeight="1">
      <c r="A128" s="266" t="s">
        <v>143</v>
      </c>
      <c r="B128" s="77" t="s">
        <v>346</v>
      </c>
      <c r="C128" s="38">
        <v>0</v>
      </c>
      <c r="D128" s="38">
        <v>0</v>
      </c>
      <c r="E128" s="38">
        <v>0</v>
      </c>
      <c r="F128" s="260" t="s">
        <v>163</v>
      </c>
    </row>
    <row r="129" spans="1:6" ht="12" customHeight="1">
      <c r="A129" s="14" t="s">
        <v>167</v>
      </c>
      <c r="B129" s="20" t="s">
        <v>347</v>
      </c>
      <c r="C129" s="83">
        <f>SUM(C130:C133)</f>
        <v>0</v>
      </c>
      <c r="D129" s="83">
        <f>SUM(D130:D133)</f>
        <v>0</v>
      </c>
      <c r="E129" s="83">
        <f>SUM(E130:E133)</f>
        <v>0</v>
      </c>
      <c r="F129" s="260" t="s">
        <v>166</v>
      </c>
    </row>
    <row r="130" spans="1:6" ht="12" customHeight="1">
      <c r="A130" s="234" t="s">
        <v>170</v>
      </c>
      <c r="B130" s="76" t="s">
        <v>348</v>
      </c>
      <c r="C130" s="38">
        <v>0</v>
      </c>
      <c r="D130" s="38">
        <v>0</v>
      </c>
      <c r="E130" s="38">
        <v>0</v>
      </c>
      <c r="F130" s="260" t="s">
        <v>169</v>
      </c>
    </row>
    <row r="131" spans="1:6" ht="12" customHeight="1">
      <c r="A131" s="234" t="s">
        <v>173</v>
      </c>
      <c r="B131" s="76" t="s">
        <v>349</v>
      </c>
      <c r="C131" s="38">
        <v>0</v>
      </c>
      <c r="D131" s="38">
        <v>0</v>
      </c>
      <c r="E131" s="38">
        <v>0</v>
      </c>
      <c r="F131" s="260" t="s">
        <v>172</v>
      </c>
    </row>
    <row r="132" spans="1:6" ht="12" customHeight="1">
      <c r="A132" s="234" t="s">
        <v>176</v>
      </c>
      <c r="B132" s="76" t="s">
        <v>350</v>
      </c>
      <c r="C132" s="38">
        <v>0</v>
      </c>
      <c r="D132" s="38">
        <v>0</v>
      </c>
      <c r="E132" s="38">
        <v>0</v>
      </c>
      <c r="F132" s="260" t="s">
        <v>175</v>
      </c>
    </row>
    <row r="133" spans="1:6" s="261" customFormat="1" ht="12" customHeight="1">
      <c r="A133" s="266" t="s">
        <v>179</v>
      </c>
      <c r="B133" s="77" t="s">
        <v>351</v>
      </c>
      <c r="C133" s="38">
        <v>0</v>
      </c>
      <c r="D133" s="38">
        <v>0</v>
      </c>
      <c r="E133" s="38">
        <v>0</v>
      </c>
      <c r="F133" s="260" t="s">
        <v>178</v>
      </c>
    </row>
    <row r="134" spans="1:11" ht="12.75">
      <c r="A134" s="14" t="s">
        <v>352</v>
      </c>
      <c r="B134" s="20" t="s">
        <v>511</v>
      </c>
      <c r="C134" s="83">
        <f>SUM(C135:C139)</f>
        <v>61902048</v>
      </c>
      <c r="D134" s="83">
        <f>SUM(D135:D139)</f>
        <v>60070796</v>
      </c>
      <c r="E134" s="83">
        <f>SUM(E135:E139)</f>
        <v>60070796</v>
      </c>
      <c r="F134" s="260" t="s">
        <v>181</v>
      </c>
      <c r="K134" s="270"/>
    </row>
    <row r="135" spans="1:6" ht="12.75">
      <c r="A135" s="234" t="s">
        <v>188</v>
      </c>
      <c r="B135" s="76" t="s">
        <v>354</v>
      </c>
      <c r="C135" s="38">
        <v>0</v>
      </c>
      <c r="D135" s="38">
        <v>0</v>
      </c>
      <c r="E135" s="38">
        <v>0</v>
      </c>
      <c r="F135" s="260" t="s">
        <v>184</v>
      </c>
    </row>
    <row r="136" spans="1:6" ht="12" customHeight="1">
      <c r="A136" s="234" t="s">
        <v>191</v>
      </c>
      <c r="B136" s="76" t="s">
        <v>355</v>
      </c>
      <c r="C136" s="38">
        <v>2553282</v>
      </c>
      <c r="D136" s="38">
        <v>2553282</v>
      </c>
      <c r="E136" s="38">
        <v>2553282</v>
      </c>
      <c r="F136" s="260" t="s">
        <v>187</v>
      </c>
    </row>
    <row r="137" spans="1:6" s="261" customFormat="1" ht="12" customHeight="1">
      <c r="A137" s="234" t="s">
        <v>194</v>
      </c>
      <c r="B137" s="76" t="s">
        <v>512</v>
      </c>
      <c r="C137" s="38">
        <v>59348766</v>
      </c>
      <c r="D137" s="38">
        <v>57517514</v>
      </c>
      <c r="E137" s="38">
        <v>57517514</v>
      </c>
      <c r="F137" s="260" t="s">
        <v>190</v>
      </c>
    </row>
    <row r="138" spans="1:6" s="261" customFormat="1" ht="12" customHeight="1">
      <c r="A138" s="234" t="s">
        <v>197</v>
      </c>
      <c r="B138" s="76" t="s">
        <v>356</v>
      </c>
      <c r="C138" s="38">
        <v>0</v>
      </c>
      <c r="D138" s="38">
        <v>0</v>
      </c>
      <c r="E138" s="38">
        <v>0</v>
      </c>
      <c r="F138" s="260" t="s">
        <v>193</v>
      </c>
    </row>
    <row r="139" spans="1:6" s="261" customFormat="1" ht="12" customHeight="1">
      <c r="A139" s="266" t="s">
        <v>513</v>
      </c>
      <c r="B139" s="77" t="s">
        <v>357</v>
      </c>
      <c r="C139" s="38">
        <v>0</v>
      </c>
      <c r="D139" s="38">
        <v>0</v>
      </c>
      <c r="E139" s="38">
        <v>0</v>
      </c>
      <c r="F139" s="260" t="s">
        <v>196</v>
      </c>
    </row>
    <row r="140" spans="1:6" s="261" customFormat="1" ht="12" customHeight="1">
      <c r="A140" s="14" t="s">
        <v>200</v>
      </c>
      <c r="B140" s="20" t="s">
        <v>514</v>
      </c>
      <c r="C140" s="271"/>
      <c r="D140" s="271"/>
      <c r="E140" s="271"/>
      <c r="F140" s="260" t="s">
        <v>199</v>
      </c>
    </row>
    <row r="141" spans="1:6" s="261" customFormat="1" ht="12" customHeight="1">
      <c r="A141" s="234" t="s">
        <v>203</v>
      </c>
      <c r="B141" s="76" t="s">
        <v>359</v>
      </c>
      <c r="C141" s="38">
        <v>0</v>
      </c>
      <c r="D141" s="38">
        <v>0</v>
      </c>
      <c r="E141" s="38">
        <v>0</v>
      </c>
      <c r="F141" s="260" t="s">
        <v>202</v>
      </c>
    </row>
    <row r="142" spans="1:6" s="261" customFormat="1" ht="12" customHeight="1">
      <c r="A142" s="234" t="s">
        <v>206</v>
      </c>
      <c r="B142" s="76" t="s">
        <v>360</v>
      </c>
      <c r="C142" s="38">
        <v>0</v>
      </c>
      <c r="D142" s="38">
        <v>0</v>
      </c>
      <c r="E142" s="38">
        <v>0</v>
      </c>
      <c r="F142" s="260" t="s">
        <v>205</v>
      </c>
    </row>
    <row r="143" spans="1:6" s="261" customFormat="1" ht="12" customHeight="1">
      <c r="A143" s="234" t="s">
        <v>209</v>
      </c>
      <c r="B143" s="76" t="s">
        <v>361</v>
      </c>
      <c r="C143" s="38">
        <v>0</v>
      </c>
      <c r="D143" s="38">
        <v>0</v>
      </c>
      <c r="E143" s="38">
        <v>0</v>
      </c>
      <c r="F143" s="260" t="s">
        <v>208</v>
      </c>
    </row>
    <row r="144" spans="1:6" ht="12.75" customHeight="1">
      <c r="A144" s="234" t="s">
        <v>212</v>
      </c>
      <c r="B144" s="76" t="s">
        <v>362</v>
      </c>
      <c r="C144" s="38">
        <v>0</v>
      </c>
      <c r="D144" s="38">
        <v>0</v>
      </c>
      <c r="E144" s="38">
        <v>0</v>
      </c>
      <c r="F144" s="260" t="s">
        <v>211</v>
      </c>
    </row>
    <row r="145" spans="1:6" ht="12" customHeight="1">
      <c r="A145" s="14" t="s">
        <v>215</v>
      </c>
      <c r="B145" s="20" t="s">
        <v>363</v>
      </c>
      <c r="C145" s="272">
        <f>C125+C129+C134+C140</f>
        <v>61902048</v>
      </c>
      <c r="D145" s="272">
        <f>D125+D129+D134+D140</f>
        <v>60070796</v>
      </c>
      <c r="E145" s="272">
        <f>E125+E129+E134+E140</f>
        <v>60070796</v>
      </c>
      <c r="F145" s="260" t="s">
        <v>214</v>
      </c>
    </row>
    <row r="146" spans="1:8" ht="15" customHeight="1">
      <c r="A146" s="273" t="s">
        <v>364</v>
      </c>
      <c r="B146" s="80" t="s">
        <v>365</v>
      </c>
      <c r="C146" s="272">
        <f>C124+C145</f>
        <v>438787253</v>
      </c>
      <c r="D146" s="272">
        <f>D124+D145</f>
        <v>569882552</v>
      </c>
      <c r="E146" s="272">
        <f>E124+E145</f>
        <v>377281643</v>
      </c>
      <c r="F146" s="260" t="s">
        <v>217</v>
      </c>
      <c r="H146" s="84"/>
    </row>
    <row r="148" spans="1:5" ht="15" customHeight="1">
      <c r="A148" s="274" t="s">
        <v>515</v>
      </c>
      <c r="B148" s="275"/>
      <c r="C148" s="276">
        <v>12</v>
      </c>
      <c r="D148" s="277">
        <v>12</v>
      </c>
      <c r="E148" s="278">
        <v>12</v>
      </c>
    </row>
    <row r="149" spans="1:5" ht="14.25" customHeight="1">
      <c r="A149" s="274" t="s">
        <v>516</v>
      </c>
      <c r="B149" s="275"/>
      <c r="C149" s="276">
        <v>9</v>
      </c>
      <c r="D149" s="277">
        <v>9</v>
      </c>
      <c r="E149" s="278">
        <v>4</v>
      </c>
    </row>
    <row r="152" ht="12.75">
      <c r="E152" s="583"/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9"/>
  <sheetViews>
    <sheetView zoomScale="130" zoomScaleNormal="130" zoomScaleSheetLayoutView="100" zoomScalePageLayoutView="0" workbookViewId="0" topLeftCell="A1">
      <selection activeCell="E2" sqref="E2"/>
    </sheetView>
  </sheetViews>
  <sheetFormatPr defaultColWidth="9.375" defaultRowHeight="12.75"/>
  <cols>
    <col min="1" max="1" width="14.75390625" style="205" customWidth="1"/>
    <col min="2" max="2" width="64.625" style="206" customWidth="1"/>
    <col min="3" max="5" width="17.00390625" style="207" customWidth="1"/>
    <col min="6" max="6" width="0" style="86" hidden="1" customWidth="1"/>
    <col min="7" max="7" width="9.375" style="206" customWidth="1"/>
    <col min="8" max="8" width="11.75390625" style="206" bestFit="1" customWidth="1"/>
    <col min="9" max="9" width="11.50390625" style="206" bestFit="1" customWidth="1"/>
    <col min="10" max="16384" width="9.375" style="206" customWidth="1"/>
  </cols>
  <sheetData>
    <row r="1" spans="1:6" s="213" customFormat="1" ht="16.5" customHeight="1">
      <c r="A1" s="208"/>
      <c r="B1" s="209"/>
      <c r="C1" s="210"/>
      <c r="D1" s="211"/>
      <c r="E1" s="279" t="str">
        <f>+CONCATENATE("6.2. melléklet a 6/",LEFT(ÖSSZEFÜGGÉSEK!A4,4)+1,". (VII.17..) önkormányzati rendelethez")</f>
        <v>6.2. melléklet a 6/2020. (VII.17..) önkormányzati rendelethez</v>
      </c>
      <c r="F1" s="212"/>
    </row>
    <row r="2" spans="1:6" s="217" customFormat="1" ht="15.75" customHeight="1">
      <c r="A2" s="214" t="s">
        <v>374</v>
      </c>
      <c r="B2" s="655" t="s">
        <v>498</v>
      </c>
      <c r="C2" s="655"/>
      <c r="D2" s="655"/>
      <c r="E2" s="215" t="s">
        <v>499</v>
      </c>
      <c r="F2" s="216"/>
    </row>
    <row r="3" spans="1:6" s="217" customFormat="1" ht="22.5">
      <c r="A3" s="218" t="s">
        <v>500</v>
      </c>
      <c r="B3" s="656" t="s">
        <v>517</v>
      </c>
      <c r="C3" s="656"/>
      <c r="D3" s="656"/>
      <c r="E3" s="219" t="s">
        <v>518</v>
      </c>
      <c r="F3" s="216"/>
    </row>
    <row r="4" spans="1:6" s="223" customFormat="1" ht="15.75" customHeight="1">
      <c r="A4" s="220"/>
      <c r="B4" s="220"/>
      <c r="C4" s="221"/>
      <c r="D4" s="221"/>
      <c r="E4" s="221" t="s">
        <v>834</v>
      </c>
      <c r="F4" s="222"/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6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  <c r="F6" s="232"/>
    </row>
    <row r="7" spans="1:6" s="233" customFormat="1" ht="15.75" customHeight="1">
      <c r="A7" s="657" t="s">
        <v>372</v>
      </c>
      <c r="B7" s="657"/>
      <c r="C7" s="657"/>
      <c r="D7" s="657"/>
      <c r="E7" s="657"/>
      <c r="F7" s="232"/>
    </row>
    <row r="8" spans="1:6" s="233" customFormat="1" ht="12" customHeight="1">
      <c r="A8" s="14" t="s">
        <v>50</v>
      </c>
      <c r="B8" s="20" t="s">
        <v>51</v>
      </c>
      <c r="C8" s="58">
        <f>SUM(C9:C14)</f>
        <v>63832031</v>
      </c>
      <c r="D8" s="58">
        <f>SUM(D9:D14)</f>
        <v>73656080</v>
      </c>
      <c r="E8" s="58">
        <f>SUM(E9:E14)</f>
        <v>73656080</v>
      </c>
      <c r="F8" s="232" t="s">
        <v>52</v>
      </c>
    </row>
    <row r="9" spans="1:6" s="235" customFormat="1" ht="12" customHeight="1">
      <c r="A9" s="234" t="s">
        <v>53</v>
      </c>
      <c r="B9" s="25" t="s">
        <v>54</v>
      </c>
      <c r="C9" s="35">
        <v>45483345</v>
      </c>
      <c r="D9" s="35">
        <v>47948212</v>
      </c>
      <c r="E9" s="35">
        <v>47948212</v>
      </c>
      <c r="F9" s="232" t="s">
        <v>55</v>
      </c>
    </row>
    <row r="10" spans="1:6" s="237" customFormat="1" ht="12" customHeight="1">
      <c r="A10" s="236" t="s">
        <v>56</v>
      </c>
      <c r="B10" s="28" t="s">
        <v>57</v>
      </c>
      <c r="C10" s="37">
        <v>0</v>
      </c>
      <c r="D10" s="37">
        <v>0</v>
      </c>
      <c r="E10" s="37">
        <v>0</v>
      </c>
      <c r="F10" s="232" t="s">
        <v>58</v>
      </c>
    </row>
    <row r="11" spans="1:6" s="237" customFormat="1" ht="12" customHeight="1">
      <c r="A11" s="236" t="s">
        <v>59</v>
      </c>
      <c r="B11" s="28" t="s">
        <v>60</v>
      </c>
      <c r="C11" s="37">
        <v>16098086</v>
      </c>
      <c r="D11" s="37">
        <v>17202637</v>
      </c>
      <c r="E11" s="37">
        <v>17202637</v>
      </c>
      <c r="F11" s="232" t="s">
        <v>61</v>
      </c>
    </row>
    <row r="12" spans="1:6" s="237" customFormat="1" ht="12" customHeight="1">
      <c r="A12" s="236" t="s">
        <v>62</v>
      </c>
      <c r="B12" s="28" t="s">
        <v>63</v>
      </c>
      <c r="C12" s="37">
        <v>2250600</v>
      </c>
      <c r="D12" s="37">
        <v>2580716</v>
      </c>
      <c r="E12" s="37">
        <v>2580716</v>
      </c>
      <c r="F12" s="232" t="s">
        <v>64</v>
      </c>
    </row>
    <row r="13" spans="1:6" s="237" customFormat="1" ht="12" customHeight="1">
      <c r="A13" s="236" t="s">
        <v>65</v>
      </c>
      <c r="B13" s="28" t="s">
        <v>66</v>
      </c>
      <c r="C13" s="37">
        <v>0</v>
      </c>
      <c r="D13" s="37">
        <v>0</v>
      </c>
      <c r="E13" s="37">
        <v>0</v>
      </c>
      <c r="F13" s="232" t="s">
        <v>67</v>
      </c>
    </row>
    <row r="14" spans="1:6" s="235" customFormat="1" ht="12" customHeight="1">
      <c r="A14" s="238" t="s">
        <v>68</v>
      </c>
      <c r="B14" s="30" t="s">
        <v>69</v>
      </c>
      <c r="C14" s="39">
        <v>0</v>
      </c>
      <c r="D14" s="39">
        <v>5924515</v>
      </c>
      <c r="E14" s="39">
        <v>5924515</v>
      </c>
      <c r="F14" s="232" t="s">
        <v>70</v>
      </c>
    </row>
    <row r="15" spans="1:8" s="235" customFormat="1" ht="12" customHeight="1">
      <c r="A15" s="14" t="s">
        <v>71</v>
      </c>
      <c r="B15" s="31" t="s">
        <v>72</v>
      </c>
      <c r="C15" s="58">
        <f>SUM(C16:C21)</f>
        <v>14000000</v>
      </c>
      <c r="D15" s="58">
        <f>SUM(D16:D21)</f>
        <v>40293818</v>
      </c>
      <c r="E15" s="58">
        <f>SUM(E16:E21)</f>
        <v>40293818</v>
      </c>
      <c r="F15" s="232" t="s">
        <v>73</v>
      </c>
      <c r="H15" s="163"/>
    </row>
    <row r="16" spans="1:6" s="235" customFormat="1" ht="12" customHeight="1">
      <c r="A16" s="234" t="s">
        <v>74</v>
      </c>
      <c r="B16" s="25" t="s">
        <v>75</v>
      </c>
      <c r="C16" s="35">
        <v>0</v>
      </c>
      <c r="D16" s="35">
        <v>0</v>
      </c>
      <c r="E16" s="36">
        <v>0</v>
      </c>
      <c r="F16" s="232" t="s">
        <v>76</v>
      </c>
    </row>
    <row r="17" spans="1:6" s="235" customFormat="1" ht="12" customHeight="1">
      <c r="A17" s="236" t="s">
        <v>77</v>
      </c>
      <c r="B17" s="28" t="s">
        <v>78</v>
      </c>
      <c r="C17" s="37">
        <v>0</v>
      </c>
      <c r="D17" s="37">
        <v>0</v>
      </c>
      <c r="E17" s="38">
        <v>0</v>
      </c>
      <c r="F17" s="232" t="s">
        <v>79</v>
      </c>
    </row>
    <row r="18" spans="1:6" s="235" customFormat="1" ht="12" customHeight="1">
      <c r="A18" s="236" t="s">
        <v>80</v>
      </c>
      <c r="B18" s="28" t="s">
        <v>81</v>
      </c>
      <c r="C18" s="37">
        <v>0</v>
      </c>
      <c r="D18" s="38">
        <v>0</v>
      </c>
      <c r="E18" s="38">
        <v>0</v>
      </c>
      <c r="F18" s="232" t="s">
        <v>82</v>
      </c>
    </row>
    <row r="19" spans="1:6" s="235" customFormat="1" ht="12" customHeight="1">
      <c r="A19" s="236" t="s">
        <v>83</v>
      </c>
      <c r="B19" s="28" t="s">
        <v>84</v>
      </c>
      <c r="C19" s="37">
        <v>0</v>
      </c>
      <c r="D19" s="37">
        <v>0</v>
      </c>
      <c r="E19" s="38">
        <v>0</v>
      </c>
      <c r="F19" s="232" t="s">
        <v>85</v>
      </c>
    </row>
    <row r="20" spans="1:6" s="235" customFormat="1" ht="12" customHeight="1">
      <c r="A20" s="236" t="s">
        <v>86</v>
      </c>
      <c r="B20" s="28" t="s">
        <v>87</v>
      </c>
      <c r="C20" s="37">
        <v>14000000</v>
      </c>
      <c r="D20" s="38">
        <v>40293818</v>
      </c>
      <c r="E20" s="38">
        <v>40293818</v>
      </c>
      <c r="F20" s="232" t="s">
        <v>88</v>
      </c>
    </row>
    <row r="21" spans="1:6" s="237" customFormat="1" ht="12" customHeight="1">
      <c r="A21" s="238" t="s">
        <v>89</v>
      </c>
      <c r="B21" s="30" t="s">
        <v>90</v>
      </c>
      <c r="C21" s="39">
        <v>0</v>
      </c>
      <c r="D21" s="39">
        <v>0</v>
      </c>
      <c r="E21" s="40">
        <v>0</v>
      </c>
      <c r="F21" s="232" t="s">
        <v>91</v>
      </c>
    </row>
    <row r="22" spans="1:6" s="237" customFormat="1" ht="12" customHeight="1">
      <c r="A22" s="14" t="s">
        <v>92</v>
      </c>
      <c r="B22" s="20" t="s">
        <v>93</v>
      </c>
      <c r="C22" s="58">
        <f>SUM(C23:C28)</f>
        <v>95000000</v>
      </c>
      <c r="D22" s="58">
        <f>SUM(D23:D27)</f>
        <v>151681249</v>
      </c>
      <c r="E22" s="58">
        <f>SUM(E23:E27)</f>
        <v>151681249</v>
      </c>
      <c r="F22" s="232" t="s">
        <v>94</v>
      </c>
    </row>
    <row r="23" spans="1:6" s="237" customFormat="1" ht="12" customHeight="1">
      <c r="A23" s="234" t="s">
        <v>95</v>
      </c>
      <c r="B23" s="25" t="s">
        <v>96</v>
      </c>
      <c r="C23" s="35">
        <v>0</v>
      </c>
      <c r="D23" s="35">
        <v>10068043</v>
      </c>
      <c r="E23" s="36">
        <v>10068043</v>
      </c>
      <c r="F23" s="232" t="s">
        <v>97</v>
      </c>
    </row>
    <row r="24" spans="1:6" s="235" customFormat="1" ht="12" customHeight="1">
      <c r="A24" s="236" t="s">
        <v>98</v>
      </c>
      <c r="B24" s="28" t="s">
        <v>99</v>
      </c>
      <c r="C24" s="37">
        <v>0</v>
      </c>
      <c r="D24" s="37"/>
      <c r="E24" s="38">
        <v>0</v>
      </c>
      <c r="F24" s="232" t="s">
        <v>100</v>
      </c>
    </row>
    <row r="25" spans="1:6" s="237" customFormat="1" ht="12" customHeight="1">
      <c r="A25" s="236" t="s">
        <v>101</v>
      </c>
      <c r="B25" s="28" t="s">
        <v>102</v>
      </c>
      <c r="C25" s="37"/>
      <c r="D25" s="37"/>
      <c r="E25" s="38">
        <v>0</v>
      </c>
      <c r="F25" s="232" t="s">
        <v>103</v>
      </c>
    </row>
    <row r="26" spans="1:6" s="237" customFormat="1" ht="12" customHeight="1">
      <c r="A26" s="236" t="s">
        <v>104</v>
      </c>
      <c r="B26" s="28" t="s">
        <v>105</v>
      </c>
      <c r="C26" s="37">
        <v>0</v>
      </c>
      <c r="D26" s="37">
        <v>0</v>
      </c>
      <c r="E26" s="38">
        <v>0</v>
      </c>
      <c r="F26" s="232" t="s">
        <v>106</v>
      </c>
    </row>
    <row r="27" spans="1:6" s="237" customFormat="1" ht="12" customHeight="1">
      <c r="A27" s="236" t="s">
        <v>107</v>
      </c>
      <c r="B27" s="28" t="s">
        <v>108</v>
      </c>
      <c r="C27" s="37">
        <v>95000000</v>
      </c>
      <c r="D27" s="37">
        <v>141613206</v>
      </c>
      <c r="E27" s="38">
        <v>141613206</v>
      </c>
      <c r="F27" s="232" t="s">
        <v>109</v>
      </c>
    </row>
    <row r="28" spans="1:6" s="237" customFormat="1" ht="12" customHeight="1">
      <c r="A28" s="238" t="s">
        <v>110</v>
      </c>
      <c r="B28" s="30" t="s">
        <v>111</v>
      </c>
      <c r="C28" s="39">
        <v>0</v>
      </c>
      <c r="D28" s="39">
        <v>0</v>
      </c>
      <c r="E28" s="40">
        <v>0</v>
      </c>
      <c r="F28" s="232" t="s">
        <v>112</v>
      </c>
    </row>
    <row r="29" spans="1:6" s="237" customFormat="1" ht="12" customHeight="1">
      <c r="A29" s="14" t="s">
        <v>113</v>
      </c>
      <c r="B29" s="20" t="s">
        <v>114</v>
      </c>
      <c r="C29" s="58">
        <f>+C32+C33+C34+C35+C31</f>
        <v>80000000</v>
      </c>
      <c r="D29" s="58">
        <f>+D32+D33+D34+D35+D31</f>
        <v>93332274</v>
      </c>
      <c r="E29" s="58">
        <f>+E32+E33+E34+E35+E31</f>
        <v>93332274</v>
      </c>
      <c r="F29" s="232" t="s">
        <v>115</v>
      </c>
    </row>
    <row r="30" spans="1:6" s="237" customFormat="1" ht="12" customHeight="1">
      <c r="A30" s="234" t="s">
        <v>116</v>
      </c>
      <c r="B30" s="25" t="s">
        <v>117</v>
      </c>
      <c r="C30" s="239">
        <f>C31+C32</f>
        <v>74179000</v>
      </c>
      <c r="D30" s="239">
        <f>D31+D32</f>
        <v>86631378</v>
      </c>
      <c r="E30" s="239">
        <f>E31+E32</f>
        <v>86631378</v>
      </c>
      <c r="F30" s="232" t="s">
        <v>118</v>
      </c>
    </row>
    <row r="31" spans="1:6" s="237" customFormat="1" ht="12" customHeight="1">
      <c r="A31" s="236" t="s">
        <v>119</v>
      </c>
      <c r="B31" s="28" t="s">
        <v>120</v>
      </c>
      <c r="C31" s="37">
        <v>6000000</v>
      </c>
      <c r="D31" s="37">
        <v>6582209</v>
      </c>
      <c r="E31" s="38">
        <v>6582209</v>
      </c>
      <c r="F31" s="232" t="s">
        <v>121</v>
      </c>
    </row>
    <row r="32" spans="1:6" s="237" customFormat="1" ht="12" customHeight="1">
      <c r="A32" s="236" t="s">
        <v>122</v>
      </c>
      <c r="B32" s="28" t="s">
        <v>123</v>
      </c>
      <c r="C32" s="37">
        <v>68179000</v>
      </c>
      <c r="D32" s="37">
        <v>80049169</v>
      </c>
      <c r="E32" s="38">
        <v>80049169</v>
      </c>
      <c r="F32" s="232" t="s">
        <v>124</v>
      </c>
    </row>
    <row r="33" spans="1:6" s="237" customFormat="1" ht="12" customHeight="1">
      <c r="A33" s="236" t="s">
        <v>125</v>
      </c>
      <c r="B33" s="28" t="s">
        <v>126</v>
      </c>
      <c r="C33" s="37">
        <v>5000000</v>
      </c>
      <c r="D33" s="37">
        <v>6340602</v>
      </c>
      <c r="E33" s="38">
        <v>6340602</v>
      </c>
      <c r="F33" s="232" t="s">
        <v>127</v>
      </c>
    </row>
    <row r="34" spans="1:6" s="237" customFormat="1" ht="12" customHeight="1">
      <c r="A34" s="236" t="s">
        <v>128</v>
      </c>
      <c r="B34" s="28" t="s">
        <v>129</v>
      </c>
      <c r="C34" s="37">
        <v>0</v>
      </c>
      <c r="D34" s="37">
        <v>0</v>
      </c>
      <c r="E34" s="38">
        <v>0</v>
      </c>
      <c r="F34" s="232" t="s">
        <v>130</v>
      </c>
    </row>
    <row r="35" spans="1:6" s="237" customFormat="1" ht="12" customHeight="1">
      <c r="A35" s="238" t="s">
        <v>131</v>
      </c>
      <c r="B35" s="30" t="s">
        <v>132</v>
      </c>
      <c r="C35" s="39">
        <v>821000</v>
      </c>
      <c r="D35" s="39">
        <v>360294</v>
      </c>
      <c r="E35" s="40">
        <v>360294</v>
      </c>
      <c r="F35" s="232" t="s">
        <v>133</v>
      </c>
    </row>
    <row r="36" spans="1:6" s="237" customFormat="1" ht="12" customHeight="1">
      <c r="A36" s="14" t="s">
        <v>134</v>
      </c>
      <c r="B36" s="20" t="s">
        <v>135</v>
      </c>
      <c r="C36" s="58">
        <f>SUM(C37:C46)</f>
        <v>8000000</v>
      </c>
      <c r="D36" s="58">
        <f>SUM(D37:D46)</f>
        <v>7695237</v>
      </c>
      <c r="E36" s="58">
        <f>SUM(E37:E46)</f>
        <v>7695237</v>
      </c>
      <c r="F36" s="232" t="s">
        <v>136</v>
      </c>
    </row>
    <row r="37" spans="1:6" s="237" customFormat="1" ht="12" customHeight="1">
      <c r="A37" s="234" t="s">
        <v>137</v>
      </c>
      <c r="B37" s="25" t="s">
        <v>138</v>
      </c>
      <c r="C37" s="35">
        <v>0</v>
      </c>
      <c r="D37" s="35">
        <v>0</v>
      </c>
      <c r="E37" s="36">
        <v>0</v>
      </c>
      <c r="F37" s="232" t="s">
        <v>139</v>
      </c>
    </row>
    <row r="38" spans="1:6" s="237" customFormat="1" ht="12" customHeight="1">
      <c r="A38" s="236" t="s">
        <v>140</v>
      </c>
      <c r="B38" s="28" t="s">
        <v>141</v>
      </c>
      <c r="C38" s="37">
        <v>700000</v>
      </c>
      <c r="D38" s="37">
        <v>76370</v>
      </c>
      <c r="E38" s="38">
        <v>76370</v>
      </c>
      <c r="F38" s="232" t="s">
        <v>142</v>
      </c>
    </row>
    <row r="39" spans="1:6" s="237" customFormat="1" ht="12" customHeight="1">
      <c r="A39" s="236" t="s">
        <v>143</v>
      </c>
      <c r="B39" s="28" t="s">
        <v>144</v>
      </c>
      <c r="C39" s="37">
        <v>100000</v>
      </c>
      <c r="D39" s="37">
        <v>0</v>
      </c>
      <c r="E39" s="38">
        <v>0</v>
      </c>
      <c r="F39" s="232" t="s">
        <v>145</v>
      </c>
    </row>
    <row r="40" spans="1:6" s="237" customFormat="1" ht="12" customHeight="1">
      <c r="A40" s="236" t="s">
        <v>146</v>
      </c>
      <c r="B40" s="28" t="s">
        <v>147</v>
      </c>
      <c r="C40" s="37">
        <v>5100000</v>
      </c>
      <c r="D40" s="38">
        <v>3701729</v>
      </c>
      <c r="E40" s="38">
        <v>3701729</v>
      </c>
      <c r="F40" s="232" t="s">
        <v>148</v>
      </c>
    </row>
    <row r="41" spans="1:6" s="237" customFormat="1" ht="12" customHeight="1">
      <c r="A41" s="236" t="s">
        <v>149</v>
      </c>
      <c r="B41" s="28" t="s">
        <v>150</v>
      </c>
      <c r="C41" s="37">
        <v>1000000</v>
      </c>
      <c r="D41" s="38">
        <v>1264767</v>
      </c>
      <c r="E41" s="38">
        <v>1264767</v>
      </c>
      <c r="F41" s="232" t="s">
        <v>151</v>
      </c>
    </row>
    <row r="42" spans="1:6" s="237" customFormat="1" ht="12" customHeight="1">
      <c r="A42" s="236" t="s">
        <v>152</v>
      </c>
      <c r="B42" s="28" t="s">
        <v>153</v>
      </c>
      <c r="C42" s="37">
        <v>1000000</v>
      </c>
      <c r="D42" s="38">
        <v>1138582</v>
      </c>
      <c r="E42" s="38">
        <v>1138582</v>
      </c>
      <c r="F42" s="232" t="s">
        <v>154</v>
      </c>
    </row>
    <row r="43" spans="1:6" s="237" customFormat="1" ht="12" customHeight="1">
      <c r="A43" s="236" t="s">
        <v>155</v>
      </c>
      <c r="B43" s="28" t="s">
        <v>156</v>
      </c>
      <c r="C43" s="37">
        <v>0</v>
      </c>
      <c r="D43" s="37">
        <v>0</v>
      </c>
      <c r="E43" s="38">
        <v>0</v>
      </c>
      <c r="F43" s="232" t="s">
        <v>157</v>
      </c>
    </row>
    <row r="44" spans="1:6" s="237" customFormat="1" ht="12" customHeight="1">
      <c r="A44" s="236" t="s">
        <v>158</v>
      </c>
      <c r="B44" s="28" t="s">
        <v>159</v>
      </c>
      <c r="C44" s="37">
        <v>100000</v>
      </c>
      <c r="D44" s="37">
        <v>448200</v>
      </c>
      <c r="E44" s="38">
        <v>448200</v>
      </c>
      <c r="F44" s="232" t="s">
        <v>160</v>
      </c>
    </row>
    <row r="45" spans="1:6" s="237" customFormat="1" ht="12" customHeight="1">
      <c r="A45" s="236" t="s">
        <v>161</v>
      </c>
      <c r="B45" s="28" t="s">
        <v>162</v>
      </c>
      <c r="C45" s="37">
        <v>0</v>
      </c>
      <c r="D45" s="37">
        <v>0</v>
      </c>
      <c r="E45" s="38">
        <v>0</v>
      </c>
      <c r="F45" s="232" t="s">
        <v>163</v>
      </c>
    </row>
    <row r="46" spans="1:6" s="235" customFormat="1" ht="12" customHeight="1">
      <c r="A46" s="238" t="s">
        <v>164</v>
      </c>
      <c r="B46" s="30" t="s">
        <v>165</v>
      </c>
      <c r="C46" s="39">
        <v>0</v>
      </c>
      <c r="D46" s="39">
        <f>515811+549778</f>
        <v>1065589</v>
      </c>
      <c r="E46" s="39">
        <f>515811+549778</f>
        <v>1065589</v>
      </c>
      <c r="F46" s="232" t="s">
        <v>166</v>
      </c>
    </row>
    <row r="47" spans="1:6" s="237" customFormat="1" ht="12" customHeight="1">
      <c r="A47" s="14" t="s">
        <v>167</v>
      </c>
      <c r="B47" s="20" t="s">
        <v>168</v>
      </c>
      <c r="C47" s="58">
        <f>SUM(C48:C52)</f>
        <v>0</v>
      </c>
      <c r="D47" s="58">
        <f>SUM(D48:D52)</f>
        <v>186614</v>
      </c>
      <c r="E47" s="58">
        <f>SUM(E48:E52)</f>
        <v>186614</v>
      </c>
      <c r="F47" s="232" t="s">
        <v>169</v>
      </c>
    </row>
    <row r="48" spans="1:6" s="237" customFormat="1" ht="12" customHeight="1">
      <c r="A48" s="234" t="s">
        <v>170</v>
      </c>
      <c r="B48" s="25" t="s">
        <v>171</v>
      </c>
      <c r="C48" s="35">
        <v>0</v>
      </c>
      <c r="D48" s="35">
        <v>0</v>
      </c>
      <c r="E48" s="36">
        <v>0</v>
      </c>
      <c r="F48" s="232" t="s">
        <v>172</v>
      </c>
    </row>
    <row r="49" spans="1:6" s="237" customFormat="1" ht="12" customHeight="1">
      <c r="A49" s="236" t="s">
        <v>173</v>
      </c>
      <c r="B49" s="28" t="s">
        <v>174</v>
      </c>
      <c r="C49" s="37">
        <v>0</v>
      </c>
      <c r="D49" s="37">
        <v>100000</v>
      </c>
      <c r="E49" s="38">
        <v>100000</v>
      </c>
      <c r="F49" s="232" t="s">
        <v>175</v>
      </c>
    </row>
    <row r="50" spans="1:6" s="237" customFormat="1" ht="12" customHeight="1">
      <c r="A50" s="236" t="s">
        <v>176</v>
      </c>
      <c r="B50" s="28" t="s">
        <v>177</v>
      </c>
      <c r="C50" s="37">
        <v>0</v>
      </c>
      <c r="D50" s="37">
        <v>86614</v>
      </c>
      <c r="E50" s="38">
        <v>86614</v>
      </c>
      <c r="F50" s="232" t="s">
        <v>178</v>
      </c>
    </row>
    <row r="51" spans="1:6" s="237" customFormat="1" ht="12" customHeight="1">
      <c r="A51" s="236" t="s">
        <v>179</v>
      </c>
      <c r="B51" s="28" t="s">
        <v>180</v>
      </c>
      <c r="C51" s="37">
        <v>0</v>
      </c>
      <c r="D51" s="37">
        <v>0</v>
      </c>
      <c r="E51" s="38">
        <v>0</v>
      </c>
      <c r="F51" s="232" t="s">
        <v>181</v>
      </c>
    </row>
    <row r="52" spans="1:6" s="237" customFormat="1" ht="12" customHeight="1">
      <c r="A52" s="238" t="s">
        <v>182</v>
      </c>
      <c r="B52" s="30" t="s">
        <v>183</v>
      </c>
      <c r="C52" s="39">
        <v>0</v>
      </c>
      <c r="D52" s="39">
        <v>0</v>
      </c>
      <c r="E52" s="40">
        <v>0</v>
      </c>
      <c r="F52" s="232" t="s">
        <v>184</v>
      </c>
    </row>
    <row r="53" spans="1:6" s="237" customFormat="1" ht="12" customHeight="1">
      <c r="A53" s="14" t="s">
        <v>185</v>
      </c>
      <c r="B53" s="20" t="s">
        <v>186</v>
      </c>
      <c r="C53" s="58">
        <f>SUM(C54:C57)</f>
        <v>0</v>
      </c>
      <c r="D53" s="58">
        <f>SUM(D54:D56)</f>
        <v>0</v>
      </c>
      <c r="E53" s="58">
        <f>SUM(E54:E56)</f>
        <v>0</v>
      </c>
      <c r="F53" s="232" t="s">
        <v>187</v>
      </c>
    </row>
    <row r="54" spans="1:6" s="235" customFormat="1" ht="12" customHeight="1">
      <c r="A54" s="234" t="s">
        <v>188</v>
      </c>
      <c r="B54" s="25" t="s">
        <v>189</v>
      </c>
      <c r="C54" s="35">
        <v>0</v>
      </c>
      <c r="D54" s="35">
        <v>0</v>
      </c>
      <c r="E54" s="36">
        <v>0</v>
      </c>
      <c r="F54" s="232" t="s">
        <v>190</v>
      </c>
    </row>
    <row r="55" spans="1:6" s="235" customFormat="1" ht="12" customHeight="1">
      <c r="A55" s="236" t="s">
        <v>191</v>
      </c>
      <c r="B55" s="28" t="s">
        <v>192</v>
      </c>
      <c r="C55" s="37"/>
      <c r="D55" s="37"/>
      <c r="E55" s="38">
        <v>0</v>
      </c>
      <c r="F55" s="232" t="s">
        <v>193</v>
      </c>
    </row>
    <row r="56" spans="1:6" s="235" customFormat="1" ht="12" customHeight="1">
      <c r="A56" s="236" t="s">
        <v>194</v>
      </c>
      <c r="B56" s="28" t="s">
        <v>195</v>
      </c>
      <c r="C56" s="37">
        <v>0</v>
      </c>
      <c r="D56" s="37">
        <v>0</v>
      </c>
      <c r="E56" s="38">
        <v>0</v>
      </c>
      <c r="F56" s="232" t="s">
        <v>196</v>
      </c>
    </row>
    <row r="57" spans="1:6" s="235" customFormat="1" ht="12" customHeight="1">
      <c r="A57" s="238" t="s">
        <v>197</v>
      </c>
      <c r="B57" s="30" t="s">
        <v>198</v>
      </c>
      <c r="C57" s="39">
        <v>0</v>
      </c>
      <c r="D57" s="39">
        <v>0</v>
      </c>
      <c r="E57" s="40">
        <v>0</v>
      </c>
      <c r="F57" s="232" t="s">
        <v>199</v>
      </c>
    </row>
    <row r="58" spans="1:6" s="237" customFormat="1" ht="12" customHeight="1">
      <c r="A58" s="14" t="s">
        <v>200</v>
      </c>
      <c r="B58" s="31" t="s">
        <v>201</v>
      </c>
      <c r="C58" s="58">
        <f>SUM(C59:C62)</f>
        <v>0</v>
      </c>
      <c r="D58" s="58">
        <f>SUM(D59:D62)</f>
        <v>22432122</v>
      </c>
      <c r="E58" s="58">
        <f>SUM(E59:E62)</f>
        <v>22432122</v>
      </c>
      <c r="F58" s="232" t="s">
        <v>202</v>
      </c>
    </row>
    <row r="59" spans="1:6" s="237" customFormat="1" ht="12" customHeight="1">
      <c r="A59" s="234" t="s">
        <v>203</v>
      </c>
      <c r="B59" s="25" t="s">
        <v>204</v>
      </c>
      <c r="C59" s="37">
        <v>0</v>
      </c>
      <c r="D59" s="37">
        <v>0</v>
      </c>
      <c r="E59" s="38">
        <v>0</v>
      </c>
      <c r="F59" s="232" t="s">
        <v>205</v>
      </c>
    </row>
    <row r="60" spans="1:6" s="237" customFormat="1" ht="12" customHeight="1">
      <c r="A60" s="236" t="s">
        <v>206</v>
      </c>
      <c r="B60" s="28" t="s">
        <v>506</v>
      </c>
      <c r="C60" s="37"/>
      <c r="D60" s="37">
        <v>22432122</v>
      </c>
      <c r="E60" s="38">
        <v>22432122</v>
      </c>
      <c r="F60" s="232" t="s">
        <v>208</v>
      </c>
    </row>
    <row r="61" spans="1:6" s="237" customFormat="1" ht="12" customHeight="1">
      <c r="A61" s="236" t="s">
        <v>209</v>
      </c>
      <c r="B61" s="28" t="s">
        <v>210</v>
      </c>
      <c r="C61" s="37">
        <v>0</v>
      </c>
      <c r="D61" s="37">
        <v>0</v>
      </c>
      <c r="E61" s="38">
        <v>0</v>
      </c>
      <c r="F61" s="232" t="s">
        <v>211</v>
      </c>
    </row>
    <row r="62" spans="1:6" s="237" customFormat="1" ht="12" customHeight="1">
      <c r="A62" s="238" t="s">
        <v>212</v>
      </c>
      <c r="B62" s="30" t="s">
        <v>213</v>
      </c>
      <c r="C62" s="37">
        <v>0</v>
      </c>
      <c r="D62" s="37">
        <v>0</v>
      </c>
      <c r="E62" s="38">
        <v>0</v>
      </c>
      <c r="F62" s="232" t="s">
        <v>214</v>
      </c>
    </row>
    <row r="63" spans="1:6" s="237" customFormat="1" ht="12" customHeight="1">
      <c r="A63" s="14" t="s">
        <v>215</v>
      </c>
      <c r="B63" s="20" t="s">
        <v>216</v>
      </c>
      <c r="C63" s="58">
        <f>C8+C15+C22+C29+C36+C47+C53+C58</f>
        <v>260832031</v>
      </c>
      <c r="D63" s="58">
        <f>D8+D15+D22+D29+D36+D47+D53+D58</f>
        <v>389277394</v>
      </c>
      <c r="E63" s="58">
        <f>E8+E15+E22+E29+E36+E47+E53+E58</f>
        <v>389277394</v>
      </c>
      <c r="F63" s="232" t="s">
        <v>217</v>
      </c>
    </row>
    <row r="64" spans="1:8" s="237" customFormat="1" ht="12" customHeight="1">
      <c r="A64" s="240" t="s">
        <v>507</v>
      </c>
      <c r="B64" s="31" t="s">
        <v>219</v>
      </c>
      <c r="C64" s="58"/>
      <c r="D64" s="58"/>
      <c r="E64" s="241"/>
      <c r="F64" s="232" t="s">
        <v>220</v>
      </c>
      <c r="H64" s="582"/>
    </row>
    <row r="65" spans="1:6" s="237" customFormat="1" ht="12" customHeight="1">
      <c r="A65" s="234" t="s">
        <v>221</v>
      </c>
      <c r="B65" s="25" t="s">
        <v>222</v>
      </c>
      <c r="C65" s="37">
        <v>0</v>
      </c>
      <c r="D65" s="37">
        <v>0</v>
      </c>
      <c r="E65" s="38">
        <v>0</v>
      </c>
      <c r="F65" s="232" t="s">
        <v>223</v>
      </c>
    </row>
    <row r="66" spans="1:6" s="237" customFormat="1" ht="12" customHeight="1">
      <c r="A66" s="236" t="s">
        <v>224</v>
      </c>
      <c r="B66" s="28" t="s">
        <v>225</v>
      </c>
      <c r="C66" s="37">
        <v>0</v>
      </c>
      <c r="D66" s="37">
        <v>0</v>
      </c>
      <c r="E66" s="38">
        <v>0</v>
      </c>
      <c r="F66" s="232" t="s">
        <v>226</v>
      </c>
    </row>
    <row r="67" spans="1:6" s="237" customFormat="1" ht="12" customHeight="1">
      <c r="A67" s="238" t="s">
        <v>227</v>
      </c>
      <c r="B67" s="242" t="s">
        <v>508</v>
      </c>
      <c r="C67" s="37">
        <v>0</v>
      </c>
      <c r="D67" s="37">
        <v>0</v>
      </c>
      <c r="E67" s="38">
        <v>0</v>
      </c>
      <c r="F67" s="232" t="s">
        <v>229</v>
      </c>
    </row>
    <row r="68" spans="1:6" s="237" customFormat="1" ht="12" customHeight="1">
      <c r="A68" s="240" t="s">
        <v>230</v>
      </c>
      <c r="B68" s="31" t="s">
        <v>231</v>
      </c>
      <c r="C68" s="58">
        <f>SUM(C69:C72)</f>
        <v>0</v>
      </c>
      <c r="D68" s="58">
        <f>SUM(D69:D72)</f>
        <v>0</v>
      </c>
      <c r="E68" s="58">
        <f>SUM(E69:E72)</f>
        <v>0</v>
      </c>
      <c r="F68" s="232" t="s">
        <v>232</v>
      </c>
    </row>
    <row r="69" spans="1:6" s="237" customFormat="1" ht="12" customHeight="1">
      <c r="A69" s="234" t="s">
        <v>233</v>
      </c>
      <c r="B69" s="25" t="s">
        <v>234</v>
      </c>
      <c r="C69" s="37">
        <v>0</v>
      </c>
      <c r="D69" s="37">
        <v>0</v>
      </c>
      <c r="E69" s="38">
        <v>0</v>
      </c>
      <c r="F69" s="232" t="s">
        <v>235</v>
      </c>
    </row>
    <row r="70" spans="1:6" s="237" customFormat="1" ht="12" customHeight="1">
      <c r="A70" s="236" t="s">
        <v>236</v>
      </c>
      <c r="B70" s="28" t="s">
        <v>237</v>
      </c>
      <c r="C70" s="37">
        <v>0</v>
      </c>
      <c r="D70" s="37">
        <v>0</v>
      </c>
      <c r="E70" s="38">
        <v>0</v>
      </c>
      <c r="F70" s="232" t="s">
        <v>238</v>
      </c>
    </row>
    <row r="71" spans="1:6" s="237" customFormat="1" ht="12" customHeight="1">
      <c r="A71" s="236" t="s">
        <v>239</v>
      </c>
      <c r="B71" s="28" t="s">
        <v>240</v>
      </c>
      <c r="C71" s="37">
        <v>0</v>
      </c>
      <c r="D71" s="37">
        <v>0</v>
      </c>
      <c r="E71" s="38">
        <v>0</v>
      </c>
      <c r="F71" s="232" t="s">
        <v>241</v>
      </c>
    </row>
    <row r="72" spans="1:6" s="237" customFormat="1" ht="12" customHeight="1">
      <c r="A72" s="238" t="s">
        <v>242</v>
      </c>
      <c r="B72" s="30" t="s">
        <v>243</v>
      </c>
      <c r="C72" s="37">
        <v>0</v>
      </c>
      <c r="D72" s="37">
        <v>0</v>
      </c>
      <c r="E72" s="38">
        <v>0</v>
      </c>
      <c r="F72" s="232" t="s">
        <v>244</v>
      </c>
    </row>
    <row r="73" spans="1:6" s="237" customFormat="1" ht="12" customHeight="1">
      <c r="A73" s="240" t="s">
        <v>245</v>
      </c>
      <c r="B73" s="31" t="s">
        <v>246</v>
      </c>
      <c r="C73" s="58">
        <f>SUM(C74:C75)</f>
        <v>177955222</v>
      </c>
      <c r="D73" s="58">
        <f>SUM(D74:D75)</f>
        <v>177955222</v>
      </c>
      <c r="E73" s="58">
        <f>SUM(E74:E75)</f>
        <v>177955222</v>
      </c>
      <c r="F73" s="232" t="s">
        <v>247</v>
      </c>
    </row>
    <row r="74" spans="1:6" s="237" customFormat="1" ht="12" customHeight="1">
      <c r="A74" s="234" t="s">
        <v>248</v>
      </c>
      <c r="B74" s="25" t="s">
        <v>249</v>
      </c>
      <c r="C74" s="37">
        <v>177955222</v>
      </c>
      <c r="D74" s="37">
        <v>177955222</v>
      </c>
      <c r="E74" s="38">
        <v>177955222</v>
      </c>
      <c r="F74" s="232" t="s">
        <v>250</v>
      </c>
    </row>
    <row r="75" spans="1:8" s="237" customFormat="1" ht="12" customHeight="1">
      <c r="A75" s="238" t="s">
        <v>251</v>
      </c>
      <c r="B75" s="30" t="s">
        <v>252</v>
      </c>
      <c r="C75" s="37">
        <v>0</v>
      </c>
      <c r="D75" s="37">
        <v>0</v>
      </c>
      <c r="E75" s="38">
        <v>0</v>
      </c>
      <c r="F75" s="232" t="s">
        <v>253</v>
      </c>
      <c r="H75" s="582"/>
    </row>
    <row r="76" spans="1:6" s="237" customFormat="1" ht="12" customHeight="1">
      <c r="A76" s="240" t="s">
        <v>254</v>
      </c>
      <c r="B76" s="31" t="s">
        <v>255</v>
      </c>
      <c r="C76" s="58">
        <f>SUM(C77:C79)</f>
        <v>0</v>
      </c>
      <c r="D76" s="58">
        <f>SUM(D77:D79)</f>
        <v>2649936</v>
      </c>
      <c r="E76" s="58">
        <f>SUM(E77:E79)</f>
        <v>2649936</v>
      </c>
      <c r="F76" s="232" t="s">
        <v>256</v>
      </c>
    </row>
    <row r="77" spans="1:6" s="237" customFormat="1" ht="12" customHeight="1">
      <c r="A77" s="234" t="s">
        <v>257</v>
      </c>
      <c r="B77" s="25" t="s">
        <v>258</v>
      </c>
      <c r="C77" s="37">
        <v>0</v>
      </c>
      <c r="D77" s="37">
        <v>2649936</v>
      </c>
      <c r="E77" s="38">
        <v>2649936</v>
      </c>
      <c r="F77" s="232" t="s">
        <v>259</v>
      </c>
    </row>
    <row r="78" spans="1:6" s="237" customFormat="1" ht="12" customHeight="1">
      <c r="A78" s="236" t="s">
        <v>260</v>
      </c>
      <c r="B78" s="28" t="s">
        <v>261</v>
      </c>
      <c r="C78" s="37">
        <v>0</v>
      </c>
      <c r="D78" s="37">
        <v>0</v>
      </c>
      <c r="E78" s="38">
        <v>0</v>
      </c>
      <c r="F78" s="232" t="s">
        <v>262</v>
      </c>
    </row>
    <row r="79" spans="1:6" s="237" customFormat="1" ht="12" customHeight="1">
      <c r="A79" s="238" t="s">
        <v>263</v>
      </c>
      <c r="B79" s="30" t="s">
        <v>264</v>
      </c>
      <c r="C79" s="37">
        <v>0</v>
      </c>
      <c r="D79" s="37">
        <v>0</v>
      </c>
      <c r="E79" s="38">
        <v>0</v>
      </c>
      <c r="F79" s="232" t="s">
        <v>265</v>
      </c>
    </row>
    <row r="80" spans="1:6" s="237" customFormat="1" ht="12" customHeight="1">
      <c r="A80" s="240" t="s">
        <v>266</v>
      </c>
      <c r="B80" s="31" t="s">
        <v>267</v>
      </c>
      <c r="C80" s="58"/>
      <c r="D80" s="58"/>
      <c r="E80" s="241"/>
      <c r="F80" s="232" t="s">
        <v>268</v>
      </c>
    </row>
    <row r="81" spans="1:6" s="237" customFormat="1" ht="12" customHeight="1">
      <c r="A81" s="243" t="s">
        <v>269</v>
      </c>
      <c r="B81" s="25" t="s">
        <v>270</v>
      </c>
      <c r="C81" s="37">
        <v>0</v>
      </c>
      <c r="D81" s="37">
        <v>0</v>
      </c>
      <c r="E81" s="38">
        <v>0</v>
      </c>
      <c r="F81" s="232" t="s">
        <v>271</v>
      </c>
    </row>
    <row r="82" spans="1:6" s="237" customFormat="1" ht="12" customHeight="1">
      <c r="A82" s="244" t="s">
        <v>272</v>
      </c>
      <c r="B82" s="28" t="s">
        <v>273</v>
      </c>
      <c r="C82" s="37">
        <v>0</v>
      </c>
      <c r="D82" s="37">
        <v>0</v>
      </c>
      <c r="E82" s="38">
        <v>0</v>
      </c>
      <c r="F82" s="232" t="s">
        <v>274</v>
      </c>
    </row>
    <row r="83" spans="1:6" s="237" customFormat="1" ht="12" customHeight="1">
      <c r="A83" s="244" t="s">
        <v>275</v>
      </c>
      <c r="B83" s="28" t="s">
        <v>276</v>
      </c>
      <c r="C83" s="37">
        <v>0</v>
      </c>
      <c r="D83" s="37">
        <v>0</v>
      </c>
      <c r="E83" s="38">
        <v>0</v>
      </c>
      <c r="F83" s="232" t="s">
        <v>277</v>
      </c>
    </row>
    <row r="84" spans="1:6" s="237" customFormat="1" ht="12" customHeight="1">
      <c r="A84" s="245" t="s">
        <v>278</v>
      </c>
      <c r="B84" s="30" t="s">
        <v>279</v>
      </c>
      <c r="C84" s="37">
        <v>0</v>
      </c>
      <c r="D84" s="37">
        <v>0</v>
      </c>
      <c r="E84" s="38">
        <v>0</v>
      </c>
      <c r="F84" s="232" t="s">
        <v>280</v>
      </c>
    </row>
    <row r="85" spans="1:6" s="237" customFormat="1" ht="12" customHeight="1">
      <c r="A85" s="240" t="s">
        <v>281</v>
      </c>
      <c r="B85" s="31" t="s">
        <v>282</v>
      </c>
      <c r="C85" s="246">
        <v>0</v>
      </c>
      <c r="D85" s="246">
        <v>0</v>
      </c>
      <c r="E85" s="247">
        <v>0</v>
      </c>
      <c r="F85" s="232" t="s">
        <v>283</v>
      </c>
    </row>
    <row r="86" spans="1:6" s="237" customFormat="1" ht="12" customHeight="1">
      <c r="A86" s="240" t="s">
        <v>284</v>
      </c>
      <c r="B86" s="248" t="s">
        <v>285</v>
      </c>
      <c r="C86" s="58">
        <f>C64+C68+C73+C76+C80+C85</f>
        <v>177955222</v>
      </c>
      <c r="D86" s="58">
        <f>D64+D68+D73+D76+D80+D85</f>
        <v>180605158</v>
      </c>
      <c r="E86" s="58">
        <f>E64+E68+E73+E76+E80+E85</f>
        <v>180605158</v>
      </c>
      <c r="F86" s="232" t="s">
        <v>286</v>
      </c>
    </row>
    <row r="87" spans="1:11" s="237" customFormat="1" ht="12" customHeight="1">
      <c r="A87" s="249" t="s">
        <v>287</v>
      </c>
      <c r="B87" s="250" t="s">
        <v>509</v>
      </c>
      <c r="C87" s="58">
        <f>C63+C86</f>
        <v>438787253</v>
      </c>
      <c r="D87" s="58">
        <f>D63+D86</f>
        <v>569882552</v>
      </c>
      <c r="E87" s="58">
        <f>E63+E86</f>
        <v>569882552</v>
      </c>
      <c r="F87" s="232" t="s">
        <v>289</v>
      </c>
      <c r="I87" s="582"/>
      <c r="J87" s="582"/>
      <c r="K87" s="582"/>
    </row>
    <row r="88" spans="1:6" s="237" customFormat="1" ht="15" customHeight="1">
      <c r="A88" s="251"/>
      <c r="B88" s="252"/>
      <c r="C88" s="253"/>
      <c r="D88" s="253"/>
      <c r="E88" s="253"/>
      <c r="F88" s="254"/>
    </row>
    <row r="89" spans="1:9" ht="12.75">
      <c r="A89" s="255"/>
      <c r="B89" s="256"/>
      <c r="C89" s="257"/>
      <c r="D89" s="257"/>
      <c r="E89" s="257"/>
      <c r="I89" s="84"/>
    </row>
    <row r="90" spans="1:6" s="233" customFormat="1" ht="16.5" customHeight="1">
      <c r="A90" s="657" t="s">
        <v>373</v>
      </c>
      <c r="B90" s="657"/>
      <c r="C90" s="657"/>
      <c r="D90" s="657"/>
      <c r="E90" s="657"/>
      <c r="F90" s="232"/>
    </row>
    <row r="91" spans="1:6" s="261" customFormat="1" ht="12" customHeight="1">
      <c r="A91" s="258" t="s">
        <v>50</v>
      </c>
      <c r="B91" s="57" t="s">
        <v>293</v>
      </c>
      <c r="C91" s="259">
        <f>SUM(C92:C96)</f>
        <v>144215800</v>
      </c>
      <c r="D91" s="259">
        <f>SUM(D92:D96)</f>
        <v>162685165</v>
      </c>
      <c r="E91" s="259">
        <f>SUM(E92:E96)</f>
        <v>130721611</v>
      </c>
      <c r="F91" s="260" t="s">
        <v>52</v>
      </c>
    </row>
    <row r="92" spans="1:6" ht="12" customHeight="1">
      <c r="A92" s="262" t="s">
        <v>53</v>
      </c>
      <c r="B92" s="60" t="s">
        <v>294</v>
      </c>
      <c r="C92" s="263">
        <v>51000000</v>
      </c>
      <c r="D92" s="263">
        <v>54137500</v>
      </c>
      <c r="E92" s="263">
        <v>48130756</v>
      </c>
      <c r="F92" s="260" t="s">
        <v>55</v>
      </c>
    </row>
    <row r="93" spans="1:6" ht="12" customHeight="1">
      <c r="A93" s="236" t="s">
        <v>56</v>
      </c>
      <c r="B93" s="62" t="s">
        <v>295</v>
      </c>
      <c r="C93" s="264">
        <v>10200000</v>
      </c>
      <c r="D93" s="264">
        <v>10200000</v>
      </c>
      <c r="E93" s="264">
        <v>8501692</v>
      </c>
      <c r="F93" s="260" t="s">
        <v>58</v>
      </c>
    </row>
    <row r="94" spans="1:6" ht="12" customHeight="1">
      <c r="A94" s="236" t="s">
        <v>59</v>
      </c>
      <c r="B94" s="62" t="s">
        <v>296</v>
      </c>
      <c r="C94" s="265">
        <v>76000000</v>
      </c>
      <c r="D94" s="265">
        <v>90731865</v>
      </c>
      <c r="E94" s="265">
        <v>68997363</v>
      </c>
      <c r="F94" s="260" t="s">
        <v>61</v>
      </c>
    </row>
    <row r="95" spans="1:6" ht="12" customHeight="1">
      <c r="A95" s="236" t="s">
        <v>62</v>
      </c>
      <c r="B95" s="63" t="s">
        <v>297</v>
      </c>
      <c r="C95" s="265">
        <v>3363000</v>
      </c>
      <c r="D95" s="265">
        <v>3763000</v>
      </c>
      <c r="E95" s="265">
        <v>1744000</v>
      </c>
      <c r="F95" s="260" t="s">
        <v>64</v>
      </c>
    </row>
    <row r="96" spans="1:6" ht="12" customHeight="1">
      <c r="A96" s="236" t="s">
        <v>298</v>
      </c>
      <c r="B96" s="64" t="s">
        <v>299</v>
      </c>
      <c r="C96" s="265">
        <f>33395805-29743005</f>
        <v>3652800</v>
      </c>
      <c r="D96" s="265">
        <f>112822868-108970068</f>
        <v>3852800</v>
      </c>
      <c r="E96" s="265">
        <v>3347800</v>
      </c>
      <c r="F96" s="260" t="s">
        <v>67</v>
      </c>
    </row>
    <row r="97" spans="1:8" ht="12" customHeight="1">
      <c r="A97" s="236" t="s">
        <v>68</v>
      </c>
      <c r="B97" s="62" t="s">
        <v>300</v>
      </c>
      <c r="C97" s="265">
        <v>0</v>
      </c>
      <c r="D97" s="265">
        <v>0</v>
      </c>
      <c r="E97" s="265">
        <v>0</v>
      </c>
      <c r="F97" s="260" t="s">
        <v>70</v>
      </c>
      <c r="H97" s="84"/>
    </row>
    <row r="98" spans="1:6" ht="12" customHeight="1">
      <c r="A98" s="236" t="s">
        <v>301</v>
      </c>
      <c r="B98" s="65" t="s">
        <v>302</v>
      </c>
      <c r="C98" s="265">
        <v>0</v>
      </c>
      <c r="D98" s="265">
        <v>0</v>
      </c>
      <c r="E98" s="265">
        <v>0</v>
      </c>
      <c r="F98" s="260" t="s">
        <v>73</v>
      </c>
    </row>
    <row r="99" spans="1:8" ht="12" customHeight="1">
      <c r="A99" s="236" t="s">
        <v>303</v>
      </c>
      <c r="B99" s="66" t="s">
        <v>304</v>
      </c>
      <c r="C99" s="265">
        <v>0</v>
      </c>
      <c r="D99" s="265">
        <v>0</v>
      </c>
      <c r="E99" s="265">
        <v>0</v>
      </c>
      <c r="F99" s="260" t="s">
        <v>76</v>
      </c>
      <c r="H99" s="84"/>
    </row>
    <row r="100" spans="1:6" ht="12" customHeight="1">
      <c r="A100" s="236" t="s">
        <v>305</v>
      </c>
      <c r="B100" s="66" t="s">
        <v>306</v>
      </c>
      <c r="C100" s="265">
        <v>0</v>
      </c>
      <c r="D100" s="265">
        <v>0</v>
      </c>
      <c r="E100" s="265">
        <v>0</v>
      </c>
      <c r="F100" s="260" t="s">
        <v>79</v>
      </c>
    </row>
    <row r="101" spans="1:6" ht="12" customHeight="1">
      <c r="A101" s="236" t="s">
        <v>307</v>
      </c>
      <c r="B101" s="65" t="s">
        <v>308</v>
      </c>
      <c r="C101" s="265">
        <v>0</v>
      </c>
      <c r="D101" s="265">
        <v>0</v>
      </c>
      <c r="E101" s="265">
        <v>172800</v>
      </c>
      <c r="F101" s="260" t="s">
        <v>82</v>
      </c>
    </row>
    <row r="102" spans="1:8" ht="12" customHeight="1">
      <c r="A102" s="236" t="s">
        <v>309</v>
      </c>
      <c r="B102" s="65" t="s">
        <v>310</v>
      </c>
      <c r="C102" s="265">
        <v>0</v>
      </c>
      <c r="D102" s="265">
        <v>0</v>
      </c>
      <c r="E102" s="265">
        <v>0</v>
      </c>
      <c r="F102" s="260" t="s">
        <v>85</v>
      </c>
      <c r="H102" s="84"/>
    </row>
    <row r="103" spans="1:6" ht="12" customHeight="1">
      <c r="A103" s="236" t="s">
        <v>311</v>
      </c>
      <c r="B103" s="66" t="s">
        <v>312</v>
      </c>
      <c r="C103" s="265"/>
      <c r="D103" s="265">
        <v>0</v>
      </c>
      <c r="E103" s="265">
        <v>0</v>
      </c>
      <c r="F103" s="260" t="s">
        <v>88</v>
      </c>
    </row>
    <row r="104" spans="1:6" ht="12" customHeight="1">
      <c r="A104" s="266" t="s">
        <v>313</v>
      </c>
      <c r="B104" s="68" t="s">
        <v>314</v>
      </c>
      <c r="C104" s="265">
        <v>0</v>
      </c>
      <c r="D104" s="265">
        <v>0</v>
      </c>
      <c r="E104" s="265">
        <v>0</v>
      </c>
      <c r="F104" s="260" t="s">
        <v>91</v>
      </c>
    </row>
    <row r="105" spans="1:8" ht="12" customHeight="1">
      <c r="A105" s="236" t="s">
        <v>315</v>
      </c>
      <c r="B105" s="68" t="s">
        <v>316</v>
      </c>
      <c r="C105" s="265">
        <v>0</v>
      </c>
      <c r="D105" s="265">
        <v>0</v>
      </c>
      <c r="E105" s="265">
        <v>0</v>
      </c>
      <c r="F105" s="260" t="s">
        <v>94</v>
      </c>
      <c r="H105" s="84"/>
    </row>
    <row r="106" spans="1:6" s="261" customFormat="1" ht="12" customHeight="1">
      <c r="A106" s="267" t="s">
        <v>317</v>
      </c>
      <c r="B106" s="70" t="s">
        <v>318</v>
      </c>
      <c r="C106" s="268">
        <v>3000000</v>
      </c>
      <c r="D106" s="268">
        <v>3200000</v>
      </c>
      <c r="E106" s="268">
        <v>2720000</v>
      </c>
      <c r="F106" s="260" t="s">
        <v>97</v>
      </c>
    </row>
    <row r="107" spans="1:6" ht="12" customHeight="1">
      <c r="A107" s="14" t="s">
        <v>71</v>
      </c>
      <c r="B107" s="71" t="s">
        <v>319</v>
      </c>
      <c r="C107" s="83">
        <f>SUM(C108:C112)-C109-C111</f>
        <v>202926400</v>
      </c>
      <c r="D107" s="83">
        <f>SUM(D108:D112)-D109-D111</f>
        <v>238156523</v>
      </c>
      <c r="E107" s="83">
        <f>SUM(E108:E112)-E109-E111</f>
        <v>186489236</v>
      </c>
      <c r="F107" s="260" t="s">
        <v>100</v>
      </c>
    </row>
    <row r="108" spans="1:6" ht="12" customHeight="1">
      <c r="A108" s="234" t="s">
        <v>74</v>
      </c>
      <c r="B108" s="62" t="s">
        <v>320</v>
      </c>
      <c r="C108" s="269">
        <v>11429400</v>
      </c>
      <c r="D108" s="269">
        <v>25151531</v>
      </c>
      <c r="E108" s="269">
        <v>20960365</v>
      </c>
      <c r="F108" s="260" t="s">
        <v>103</v>
      </c>
    </row>
    <row r="109" spans="1:6" ht="12" customHeight="1">
      <c r="A109" s="234" t="s">
        <v>77</v>
      </c>
      <c r="B109" s="72" t="s">
        <v>321</v>
      </c>
      <c r="C109" s="269"/>
      <c r="D109" s="269"/>
      <c r="E109" s="269"/>
      <c r="F109" s="260" t="s">
        <v>106</v>
      </c>
    </row>
    <row r="110" spans="1:6" ht="12" customHeight="1">
      <c r="A110" s="234" t="s">
        <v>80</v>
      </c>
      <c r="B110" s="72" t="s">
        <v>322</v>
      </c>
      <c r="C110" s="264">
        <v>166497000</v>
      </c>
      <c r="D110" s="264">
        <v>159572870</v>
      </c>
      <c r="E110" s="264">
        <v>112146749</v>
      </c>
      <c r="F110" s="260" t="s">
        <v>109</v>
      </c>
    </row>
    <row r="111" spans="1:6" ht="12" customHeight="1">
      <c r="A111" s="234" t="s">
        <v>83</v>
      </c>
      <c r="B111" s="72" t="s">
        <v>323</v>
      </c>
      <c r="C111" s="38">
        <v>0</v>
      </c>
      <c r="D111" s="38">
        <v>0</v>
      </c>
      <c r="E111" s="38">
        <v>0</v>
      </c>
      <c r="F111" s="260" t="s">
        <v>112</v>
      </c>
    </row>
    <row r="112" spans="1:6" ht="12" customHeight="1">
      <c r="A112" s="234" t="s">
        <v>86</v>
      </c>
      <c r="B112" s="34" t="s">
        <v>324</v>
      </c>
      <c r="C112" s="38">
        <v>25000000</v>
      </c>
      <c r="D112" s="38">
        <v>53432122</v>
      </c>
      <c r="E112" s="38">
        <v>53382122</v>
      </c>
      <c r="F112" s="260" t="s">
        <v>115</v>
      </c>
    </row>
    <row r="113" spans="1:6" ht="12" customHeight="1">
      <c r="A113" s="234" t="s">
        <v>89</v>
      </c>
      <c r="B113" s="73" t="s">
        <v>325</v>
      </c>
      <c r="C113" s="38">
        <v>0</v>
      </c>
      <c r="D113" s="38">
        <v>0</v>
      </c>
      <c r="E113" s="38">
        <v>0</v>
      </c>
      <c r="F113" s="260" t="s">
        <v>118</v>
      </c>
    </row>
    <row r="114" spans="1:6" ht="12" customHeight="1">
      <c r="A114" s="234" t="s">
        <v>326</v>
      </c>
      <c r="B114" s="74" t="s">
        <v>327</v>
      </c>
      <c r="C114" s="38">
        <v>0</v>
      </c>
      <c r="D114" s="38">
        <v>0</v>
      </c>
      <c r="E114" s="38">
        <v>0</v>
      </c>
      <c r="F114" s="260" t="s">
        <v>121</v>
      </c>
    </row>
    <row r="115" spans="1:6" ht="12" customHeight="1">
      <c r="A115" s="234" t="s">
        <v>328</v>
      </c>
      <c r="B115" s="66" t="s">
        <v>306</v>
      </c>
      <c r="C115" s="38">
        <v>0</v>
      </c>
      <c r="D115" s="38">
        <v>0</v>
      </c>
      <c r="E115" s="38">
        <v>0</v>
      </c>
      <c r="F115" s="260" t="s">
        <v>124</v>
      </c>
    </row>
    <row r="116" spans="1:6" ht="12" customHeight="1">
      <c r="A116" s="234" t="s">
        <v>329</v>
      </c>
      <c r="B116" s="66" t="s">
        <v>330</v>
      </c>
      <c r="C116" s="38">
        <v>0</v>
      </c>
      <c r="D116" s="38">
        <v>0</v>
      </c>
      <c r="E116" s="38">
        <v>0</v>
      </c>
      <c r="F116" s="260" t="s">
        <v>127</v>
      </c>
    </row>
    <row r="117" spans="1:6" ht="12" customHeight="1">
      <c r="A117" s="234" t="s">
        <v>331</v>
      </c>
      <c r="B117" s="66" t="s">
        <v>332</v>
      </c>
      <c r="C117" s="38">
        <v>0</v>
      </c>
      <c r="D117" s="38">
        <v>0</v>
      </c>
      <c r="E117" s="38">
        <v>0</v>
      </c>
      <c r="F117" s="260" t="s">
        <v>130</v>
      </c>
    </row>
    <row r="118" spans="1:6" ht="12" customHeight="1">
      <c r="A118" s="234" t="s">
        <v>333</v>
      </c>
      <c r="B118" s="66" t="s">
        <v>312</v>
      </c>
      <c r="C118" s="38">
        <v>0</v>
      </c>
      <c r="D118" s="38">
        <v>52432122</v>
      </c>
      <c r="E118" s="38">
        <v>52432122</v>
      </c>
      <c r="F118" s="260" t="s">
        <v>133</v>
      </c>
    </row>
    <row r="119" spans="1:6" ht="12" customHeight="1">
      <c r="A119" s="234" t="s">
        <v>334</v>
      </c>
      <c r="B119" s="66" t="s">
        <v>335</v>
      </c>
      <c r="C119" s="38">
        <v>1000000</v>
      </c>
      <c r="D119" s="38">
        <v>1000000</v>
      </c>
      <c r="E119" s="38">
        <v>950000</v>
      </c>
      <c r="F119" s="260" t="s">
        <v>136</v>
      </c>
    </row>
    <row r="120" spans="1:6" ht="12" customHeight="1">
      <c r="A120" s="266" t="s">
        <v>336</v>
      </c>
      <c r="B120" s="66" t="s">
        <v>337</v>
      </c>
      <c r="C120" s="40">
        <v>24000000</v>
      </c>
      <c r="D120" s="40"/>
      <c r="E120" s="40"/>
      <c r="F120" s="260" t="s">
        <v>139</v>
      </c>
    </row>
    <row r="121" spans="1:6" ht="12" customHeight="1">
      <c r="A121" s="14" t="s">
        <v>92</v>
      </c>
      <c r="B121" s="20" t="s">
        <v>338</v>
      </c>
      <c r="C121" s="83">
        <f>SUM(C122:C123)</f>
        <v>29743005</v>
      </c>
      <c r="D121" s="83">
        <f>SUM(D122:D123)</f>
        <v>108970068</v>
      </c>
      <c r="E121" s="83">
        <f>SUM(E122:E123)</f>
        <v>0</v>
      </c>
      <c r="F121" s="260" t="s">
        <v>142</v>
      </c>
    </row>
    <row r="122" spans="1:6" ht="12" customHeight="1">
      <c r="A122" s="234" t="s">
        <v>95</v>
      </c>
      <c r="B122" s="76" t="s">
        <v>339</v>
      </c>
      <c r="C122" s="269">
        <v>29743005</v>
      </c>
      <c r="D122" s="269">
        <v>108970068</v>
      </c>
      <c r="E122" s="269">
        <v>0</v>
      </c>
      <c r="F122" s="260" t="s">
        <v>145</v>
      </c>
    </row>
    <row r="123" spans="1:6" ht="12" customHeight="1">
      <c r="A123" s="238" t="s">
        <v>98</v>
      </c>
      <c r="B123" s="72" t="s">
        <v>340</v>
      </c>
      <c r="C123" s="265">
        <v>0</v>
      </c>
      <c r="D123" s="265">
        <v>0</v>
      </c>
      <c r="E123" s="265">
        <v>0</v>
      </c>
      <c r="F123" s="260" t="s">
        <v>148</v>
      </c>
    </row>
    <row r="124" spans="1:6" ht="12" customHeight="1">
      <c r="A124" s="14" t="s">
        <v>341</v>
      </c>
      <c r="B124" s="20" t="s">
        <v>342</v>
      </c>
      <c r="C124" s="83">
        <f>C91+C107+C121</f>
        <v>376885205</v>
      </c>
      <c r="D124" s="83">
        <f>D91+D107+D121</f>
        <v>509811756</v>
      </c>
      <c r="E124" s="83">
        <f>E91+E107+E121</f>
        <v>317210847</v>
      </c>
      <c r="F124" s="260" t="s">
        <v>151</v>
      </c>
    </row>
    <row r="125" spans="1:8" ht="12" customHeight="1">
      <c r="A125" s="14" t="s">
        <v>134</v>
      </c>
      <c r="B125" s="20" t="s">
        <v>510</v>
      </c>
      <c r="C125" s="83"/>
      <c r="D125" s="83"/>
      <c r="E125" s="83"/>
      <c r="F125" s="260" t="s">
        <v>154</v>
      </c>
      <c r="H125" s="84"/>
    </row>
    <row r="126" spans="1:8" ht="12" customHeight="1">
      <c r="A126" s="234" t="s">
        <v>137</v>
      </c>
      <c r="B126" s="76" t="s">
        <v>344</v>
      </c>
      <c r="C126" s="38">
        <v>0</v>
      </c>
      <c r="D126" s="38">
        <v>0</v>
      </c>
      <c r="E126" s="38">
        <v>0</v>
      </c>
      <c r="F126" s="260" t="s">
        <v>157</v>
      </c>
      <c r="H126" s="84"/>
    </row>
    <row r="127" spans="1:8" ht="12" customHeight="1">
      <c r="A127" s="234" t="s">
        <v>140</v>
      </c>
      <c r="B127" s="76" t="s">
        <v>345</v>
      </c>
      <c r="C127" s="38">
        <v>0</v>
      </c>
      <c r="D127" s="38">
        <v>0</v>
      </c>
      <c r="E127" s="38">
        <v>0</v>
      </c>
      <c r="F127" s="260" t="s">
        <v>160</v>
      </c>
      <c r="H127" s="84"/>
    </row>
    <row r="128" spans="1:6" ht="12" customHeight="1">
      <c r="A128" s="266" t="s">
        <v>143</v>
      </c>
      <c r="B128" s="77" t="s">
        <v>346</v>
      </c>
      <c r="C128" s="38">
        <v>0</v>
      </c>
      <c r="D128" s="38">
        <v>0</v>
      </c>
      <c r="E128" s="38">
        <v>0</v>
      </c>
      <c r="F128" s="260" t="s">
        <v>163</v>
      </c>
    </row>
    <row r="129" spans="1:6" ht="12" customHeight="1">
      <c r="A129" s="14" t="s">
        <v>167</v>
      </c>
      <c r="B129" s="20" t="s">
        <v>347</v>
      </c>
      <c r="C129" s="83">
        <f>SUM(C130:C133)</f>
        <v>0</v>
      </c>
      <c r="D129" s="83">
        <f>SUM(D130:D133)</f>
        <v>0</v>
      </c>
      <c r="E129" s="83">
        <f>SUM(E130:E133)</f>
        <v>0</v>
      </c>
      <c r="F129" s="260" t="s">
        <v>166</v>
      </c>
    </row>
    <row r="130" spans="1:6" ht="12" customHeight="1">
      <c r="A130" s="234" t="s">
        <v>170</v>
      </c>
      <c r="B130" s="76" t="s">
        <v>348</v>
      </c>
      <c r="C130" s="38">
        <v>0</v>
      </c>
      <c r="D130" s="38">
        <v>0</v>
      </c>
      <c r="E130" s="38">
        <v>0</v>
      </c>
      <c r="F130" s="260" t="s">
        <v>169</v>
      </c>
    </row>
    <row r="131" spans="1:6" ht="12" customHeight="1">
      <c r="A131" s="234" t="s">
        <v>173</v>
      </c>
      <c r="B131" s="76" t="s">
        <v>349</v>
      </c>
      <c r="C131" s="38">
        <v>0</v>
      </c>
      <c r="D131" s="38">
        <v>0</v>
      </c>
      <c r="E131" s="38">
        <v>0</v>
      </c>
      <c r="F131" s="260" t="s">
        <v>172</v>
      </c>
    </row>
    <row r="132" spans="1:6" ht="12" customHeight="1">
      <c r="A132" s="234" t="s">
        <v>176</v>
      </c>
      <c r="B132" s="76" t="s">
        <v>350</v>
      </c>
      <c r="C132" s="38">
        <v>0</v>
      </c>
      <c r="D132" s="38">
        <v>0</v>
      </c>
      <c r="E132" s="38">
        <v>0</v>
      </c>
      <c r="F132" s="260" t="s">
        <v>175</v>
      </c>
    </row>
    <row r="133" spans="1:6" s="261" customFormat="1" ht="12" customHeight="1">
      <c r="A133" s="266" t="s">
        <v>179</v>
      </c>
      <c r="B133" s="77" t="s">
        <v>351</v>
      </c>
      <c r="C133" s="38">
        <v>0</v>
      </c>
      <c r="D133" s="38">
        <v>0</v>
      </c>
      <c r="E133" s="38">
        <v>0</v>
      </c>
      <c r="F133" s="260" t="s">
        <v>178</v>
      </c>
    </row>
    <row r="134" spans="1:11" ht="12.75">
      <c r="A134" s="14" t="s">
        <v>352</v>
      </c>
      <c r="B134" s="20" t="s">
        <v>511</v>
      </c>
      <c r="C134" s="83">
        <f>SUM(C135:C139)</f>
        <v>61902048</v>
      </c>
      <c r="D134" s="83">
        <f>SUM(D135:D139)</f>
        <v>60070796</v>
      </c>
      <c r="E134" s="83">
        <f>SUM(E135:E139)</f>
        <v>60070796</v>
      </c>
      <c r="F134" s="260" t="s">
        <v>181</v>
      </c>
      <c r="K134" s="270"/>
    </row>
    <row r="135" spans="1:6" ht="12.75">
      <c r="A135" s="234" t="s">
        <v>188</v>
      </c>
      <c r="B135" s="76" t="s">
        <v>354</v>
      </c>
      <c r="C135" s="38">
        <v>0</v>
      </c>
      <c r="D135" s="38">
        <v>0</v>
      </c>
      <c r="E135" s="38">
        <v>0</v>
      </c>
      <c r="F135" s="260" t="s">
        <v>184</v>
      </c>
    </row>
    <row r="136" spans="1:6" ht="12" customHeight="1">
      <c r="A136" s="234" t="s">
        <v>191</v>
      </c>
      <c r="B136" s="76" t="s">
        <v>355</v>
      </c>
      <c r="C136" s="38">
        <v>2553282</v>
      </c>
      <c r="D136" s="38">
        <v>2553282</v>
      </c>
      <c r="E136" s="38">
        <v>2553282</v>
      </c>
      <c r="F136" s="260" t="s">
        <v>187</v>
      </c>
    </row>
    <row r="137" spans="1:6" ht="12" customHeight="1">
      <c r="A137" s="234" t="s">
        <v>194</v>
      </c>
      <c r="B137" s="76" t="s">
        <v>512</v>
      </c>
      <c r="C137" s="38">
        <v>59348766</v>
      </c>
      <c r="D137" s="38">
        <v>57517514</v>
      </c>
      <c r="E137" s="38">
        <v>57517514</v>
      </c>
      <c r="F137" s="260" t="s">
        <v>190</v>
      </c>
    </row>
    <row r="138" spans="1:6" s="261" customFormat="1" ht="12" customHeight="1">
      <c r="A138" s="234" t="s">
        <v>197</v>
      </c>
      <c r="B138" s="76" t="s">
        <v>356</v>
      </c>
      <c r="C138" s="38">
        <v>0</v>
      </c>
      <c r="D138" s="38">
        <v>0</v>
      </c>
      <c r="E138" s="38">
        <v>0</v>
      </c>
      <c r="F138" s="260" t="s">
        <v>193</v>
      </c>
    </row>
    <row r="139" spans="1:6" s="261" customFormat="1" ht="12" customHeight="1">
      <c r="A139" s="266" t="s">
        <v>513</v>
      </c>
      <c r="B139" s="77" t="s">
        <v>357</v>
      </c>
      <c r="C139" s="38">
        <v>0</v>
      </c>
      <c r="D139" s="38">
        <v>0</v>
      </c>
      <c r="E139" s="38">
        <v>0</v>
      </c>
      <c r="F139" s="260" t="s">
        <v>196</v>
      </c>
    </row>
    <row r="140" spans="1:6" s="261" customFormat="1" ht="12" customHeight="1">
      <c r="A140" s="14" t="s">
        <v>200</v>
      </c>
      <c r="B140" s="20" t="s">
        <v>514</v>
      </c>
      <c r="C140" s="271"/>
      <c r="D140" s="271"/>
      <c r="E140" s="271"/>
      <c r="F140" s="260" t="s">
        <v>199</v>
      </c>
    </row>
    <row r="141" spans="1:6" s="261" customFormat="1" ht="12" customHeight="1">
      <c r="A141" s="234" t="s">
        <v>203</v>
      </c>
      <c r="B141" s="76" t="s">
        <v>359</v>
      </c>
      <c r="C141" s="38">
        <v>0</v>
      </c>
      <c r="D141" s="38">
        <v>0</v>
      </c>
      <c r="E141" s="38">
        <v>0</v>
      </c>
      <c r="F141" s="260" t="s">
        <v>202</v>
      </c>
    </row>
    <row r="142" spans="1:6" s="261" customFormat="1" ht="12" customHeight="1">
      <c r="A142" s="234" t="s">
        <v>206</v>
      </c>
      <c r="B142" s="76" t="s">
        <v>360</v>
      </c>
      <c r="C142" s="38">
        <v>0</v>
      </c>
      <c r="D142" s="38">
        <v>0</v>
      </c>
      <c r="E142" s="38">
        <v>0</v>
      </c>
      <c r="F142" s="260" t="s">
        <v>205</v>
      </c>
    </row>
    <row r="143" spans="1:6" s="261" customFormat="1" ht="12" customHeight="1">
      <c r="A143" s="234" t="s">
        <v>209</v>
      </c>
      <c r="B143" s="76" t="s">
        <v>361</v>
      </c>
      <c r="C143" s="38">
        <v>0</v>
      </c>
      <c r="D143" s="38">
        <v>0</v>
      </c>
      <c r="E143" s="38">
        <v>0</v>
      </c>
      <c r="F143" s="260" t="s">
        <v>208</v>
      </c>
    </row>
    <row r="144" spans="1:6" ht="12.75" customHeight="1">
      <c r="A144" s="234" t="s">
        <v>212</v>
      </c>
      <c r="B144" s="76" t="s">
        <v>362</v>
      </c>
      <c r="C144" s="38">
        <v>0</v>
      </c>
      <c r="D144" s="38">
        <v>0</v>
      </c>
      <c r="E144" s="38">
        <v>0</v>
      </c>
      <c r="F144" s="260" t="s">
        <v>211</v>
      </c>
    </row>
    <row r="145" spans="1:6" ht="12" customHeight="1">
      <c r="A145" s="14" t="s">
        <v>215</v>
      </c>
      <c r="B145" s="20" t="s">
        <v>363</v>
      </c>
      <c r="C145" s="272">
        <f>C125+C129+C134+C140</f>
        <v>61902048</v>
      </c>
      <c r="D145" s="272">
        <f>D125+D129+D134+D140</f>
        <v>60070796</v>
      </c>
      <c r="E145" s="272">
        <f>E125+E129+E134+E140</f>
        <v>60070796</v>
      </c>
      <c r="F145" s="260" t="s">
        <v>214</v>
      </c>
    </row>
    <row r="146" spans="1:8" ht="15" customHeight="1">
      <c r="A146" s="273" t="s">
        <v>364</v>
      </c>
      <c r="B146" s="80" t="s">
        <v>365</v>
      </c>
      <c r="C146" s="272">
        <f>C124+C145</f>
        <v>438787253</v>
      </c>
      <c r="D146" s="272">
        <f>D124+D145</f>
        <v>569882552</v>
      </c>
      <c r="E146" s="272">
        <f>E124+E145</f>
        <v>377281643</v>
      </c>
      <c r="F146" s="260" t="s">
        <v>217</v>
      </c>
      <c r="H146" s="84"/>
    </row>
    <row r="147" ht="12.75">
      <c r="H147" s="84"/>
    </row>
    <row r="148" spans="1:5" ht="15" customHeight="1">
      <c r="A148" s="274" t="s">
        <v>519</v>
      </c>
      <c r="B148" s="275"/>
      <c r="C148" s="276">
        <v>12</v>
      </c>
      <c r="D148" s="277">
        <v>12</v>
      </c>
      <c r="E148" s="278">
        <v>12</v>
      </c>
    </row>
    <row r="149" spans="1:5" ht="14.25" customHeight="1">
      <c r="A149" s="274" t="s">
        <v>516</v>
      </c>
      <c r="B149" s="275"/>
      <c r="C149" s="276">
        <v>9</v>
      </c>
      <c r="D149" s="277">
        <v>9</v>
      </c>
      <c r="E149" s="278">
        <v>4</v>
      </c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9"/>
  <sheetViews>
    <sheetView zoomScaleSheetLayoutView="100" zoomScalePageLayoutView="0" workbookViewId="0" topLeftCell="A1">
      <selection activeCell="E2" sqref="E2"/>
    </sheetView>
  </sheetViews>
  <sheetFormatPr defaultColWidth="9.375" defaultRowHeight="12.75"/>
  <cols>
    <col min="1" max="1" width="14.75390625" style="205" customWidth="1"/>
    <col min="2" max="2" width="65.375" style="206" customWidth="1"/>
    <col min="3" max="5" width="17.00390625" style="207" customWidth="1"/>
    <col min="6" max="6" width="9.375" style="206" customWidth="1"/>
    <col min="7" max="7" width="9.50390625" style="206" bestFit="1" customWidth="1"/>
    <col min="8" max="16384" width="9.375" style="206" customWidth="1"/>
  </cols>
  <sheetData>
    <row r="1" spans="1:5" s="213" customFormat="1" ht="16.5" customHeight="1">
      <c r="A1" s="208"/>
      <c r="B1" s="209"/>
      <c r="C1" s="210"/>
      <c r="D1" s="211"/>
      <c r="E1" s="210" t="str">
        <f>+CONCATENATE("6.3. melléklet a 6/",LEFT(ÖSSZEFÜGGÉSEK!A4,4)+1,". (VII.17..) önkormányzati rendelethez")</f>
        <v>6.3. melléklet a 6/2020. (VII.17..) önkormányzati rendelethez</v>
      </c>
    </row>
    <row r="2" spans="1:5" s="217" customFormat="1" ht="15.75" customHeight="1">
      <c r="A2" s="214" t="s">
        <v>374</v>
      </c>
      <c r="B2" s="655" t="s">
        <v>498</v>
      </c>
      <c r="C2" s="655"/>
      <c r="D2" s="655"/>
      <c r="E2" s="215" t="s">
        <v>499</v>
      </c>
    </row>
    <row r="3" spans="1:5" s="217" customFormat="1" ht="22.5">
      <c r="A3" s="218" t="s">
        <v>500</v>
      </c>
      <c r="B3" s="656" t="s">
        <v>520</v>
      </c>
      <c r="C3" s="656"/>
      <c r="D3" s="656"/>
      <c r="E3" s="219" t="s">
        <v>521</v>
      </c>
    </row>
    <row r="4" spans="1:5" s="223" customFormat="1" ht="15.75" customHeight="1">
      <c r="A4" s="220"/>
      <c r="B4" s="220"/>
      <c r="C4" s="221"/>
      <c r="D4" s="221"/>
      <c r="E4" s="221" t="s">
        <v>502</v>
      </c>
    </row>
    <row r="5" spans="1:5" ht="22.5">
      <c r="A5" s="224" t="s">
        <v>503</v>
      </c>
      <c r="B5" s="225" t="s">
        <v>504</v>
      </c>
      <c r="C5" s="226" t="s">
        <v>42</v>
      </c>
      <c r="D5" s="226" t="s">
        <v>43</v>
      </c>
      <c r="E5" s="227" t="s">
        <v>44</v>
      </c>
    </row>
    <row r="6" spans="1:5" s="233" customFormat="1" ht="12.75" customHeight="1">
      <c r="A6" s="228" t="s">
        <v>45</v>
      </c>
      <c r="B6" s="229" t="s">
        <v>46</v>
      </c>
      <c r="C6" s="229" t="s">
        <v>47</v>
      </c>
      <c r="D6" s="230" t="s">
        <v>48</v>
      </c>
      <c r="E6" s="231" t="s">
        <v>49</v>
      </c>
    </row>
    <row r="7" spans="1:5" s="233" customFormat="1" ht="15.75" customHeight="1">
      <c r="A7" s="657" t="s">
        <v>372</v>
      </c>
      <c r="B7" s="657"/>
      <c r="C7" s="657"/>
      <c r="D7" s="657"/>
      <c r="E7" s="657"/>
    </row>
    <row r="8" spans="1:5" s="233" customFormat="1" ht="12" customHeight="1">
      <c r="A8" s="14" t="s">
        <v>50</v>
      </c>
      <c r="B8" s="20" t="s">
        <v>51</v>
      </c>
      <c r="C8" s="58">
        <f>SUM(C9:C14)</f>
        <v>0</v>
      </c>
      <c r="D8" s="58">
        <f>SUM(D9:D14)</f>
        <v>0</v>
      </c>
      <c r="E8" s="241">
        <f>SUM(E9:E14)</f>
        <v>0</v>
      </c>
    </row>
    <row r="9" spans="1:5" s="235" customFormat="1" ht="12" customHeight="1">
      <c r="A9" s="234" t="s">
        <v>53</v>
      </c>
      <c r="B9" s="25" t="s">
        <v>54</v>
      </c>
      <c r="C9" s="35"/>
      <c r="D9" s="35"/>
      <c r="E9" s="36"/>
    </row>
    <row r="10" spans="1:5" s="237" customFormat="1" ht="12" customHeight="1">
      <c r="A10" s="236" t="s">
        <v>56</v>
      </c>
      <c r="B10" s="28" t="s">
        <v>57</v>
      </c>
      <c r="C10" s="37"/>
      <c r="D10" s="37"/>
      <c r="E10" s="38"/>
    </row>
    <row r="11" spans="1:5" s="237" customFormat="1" ht="12" customHeight="1">
      <c r="A11" s="236" t="s">
        <v>59</v>
      </c>
      <c r="B11" s="28" t="s">
        <v>60</v>
      </c>
      <c r="C11" s="37"/>
      <c r="D11" s="37"/>
      <c r="E11" s="38"/>
    </row>
    <row r="12" spans="1:5" s="237" customFormat="1" ht="12" customHeight="1">
      <c r="A12" s="236" t="s">
        <v>62</v>
      </c>
      <c r="B12" s="28" t="s">
        <v>63</v>
      </c>
      <c r="C12" s="37"/>
      <c r="D12" s="37"/>
      <c r="E12" s="38"/>
    </row>
    <row r="13" spans="1:5" s="237" customFormat="1" ht="12" customHeight="1">
      <c r="A13" s="236" t="s">
        <v>65</v>
      </c>
      <c r="B13" s="28" t="s">
        <v>66</v>
      </c>
      <c r="C13" s="37"/>
      <c r="D13" s="37"/>
      <c r="E13" s="38"/>
    </row>
    <row r="14" spans="1:5" s="235" customFormat="1" ht="12" customHeight="1">
      <c r="A14" s="238" t="s">
        <v>68</v>
      </c>
      <c r="B14" s="30" t="s">
        <v>69</v>
      </c>
      <c r="C14" s="39"/>
      <c r="D14" s="39"/>
      <c r="E14" s="40"/>
    </row>
    <row r="15" spans="1:5" s="235" customFormat="1" ht="12" customHeight="1">
      <c r="A15" s="14" t="s">
        <v>71</v>
      </c>
      <c r="B15" s="31" t="s">
        <v>72</v>
      </c>
      <c r="C15" s="58">
        <f>SUM(C16:C20)</f>
        <v>0</v>
      </c>
      <c r="D15" s="58">
        <f>SUM(D16:D20)</f>
        <v>0</v>
      </c>
      <c r="E15" s="241">
        <f>SUM(E16:E20)</f>
        <v>0</v>
      </c>
    </row>
    <row r="16" spans="1:5" s="235" customFormat="1" ht="12" customHeight="1">
      <c r="A16" s="234" t="s">
        <v>74</v>
      </c>
      <c r="B16" s="25" t="s">
        <v>75</v>
      </c>
      <c r="C16" s="35"/>
      <c r="D16" s="35"/>
      <c r="E16" s="36"/>
    </row>
    <row r="17" spans="1:5" s="235" customFormat="1" ht="12" customHeight="1">
      <c r="A17" s="236" t="s">
        <v>77</v>
      </c>
      <c r="B17" s="28" t="s">
        <v>78</v>
      </c>
      <c r="C17" s="37"/>
      <c r="D17" s="37"/>
      <c r="E17" s="38"/>
    </row>
    <row r="18" spans="1:5" s="235" customFormat="1" ht="12" customHeight="1">
      <c r="A18" s="236" t="s">
        <v>80</v>
      </c>
      <c r="B18" s="28" t="s">
        <v>81</v>
      </c>
      <c r="C18" s="37"/>
      <c r="D18" s="37">
        <v>0</v>
      </c>
      <c r="E18" s="38">
        <v>0</v>
      </c>
    </row>
    <row r="19" spans="1:5" s="235" customFormat="1" ht="12" customHeight="1">
      <c r="A19" s="236" t="s">
        <v>83</v>
      </c>
      <c r="B19" s="28" t="s">
        <v>84</v>
      </c>
      <c r="C19" s="37"/>
      <c r="D19" s="37"/>
      <c r="E19" s="38"/>
    </row>
    <row r="20" spans="1:5" s="235" customFormat="1" ht="12" customHeight="1">
      <c r="A20" s="236" t="s">
        <v>86</v>
      </c>
      <c r="B20" s="28" t="s">
        <v>87</v>
      </c>
      <c r="C20" s="37"/>
      <c r="D20" s="37"/>
      <c r="E20" s="38"/>
    </row>
    <row r="21" spans="1:5" s="237" customFormat="1" ht="12" customHeight="1">
      <c r="A21" s="238" t="s">
        <v>89</v>
      </c>
      <c r="B21" s="30" t="s">
        <v>90</v>
      </c>
      <c r="C21" s="39"/>
      <c r="D21" s="39"/>
      <c r="E21" s="40"/>
    </row>
    <row r="22" spans="1:5" s="237" customFormat="1" ht="12" customHeight="1">
      <c r="A22" s="14" t="s">
        <v>92</v>
      </c>
      <c r="B22" s="20" t="s">
        <v>93</v>
      </c>
      <c r="C22" s="58">
        <f>SUM(C23:C27)</f>
        <v>0</v>
      </c>
      <c r="D22" s="58">
        <f>SUM(D23:D27)</f>
        <v>0</v>
      </c>
      <c r="E22" s="241">
        <f>SUM(E23:E27)</f>
        <v>0</v>
      </c>
    </row>
    <row r="23" spans="1:5" s="237" customFormat="1" ht="12" customHeight="1">
      <c r="A23" s="234" t="s">
        <v>95</v>
      </c>
      <c r="B23" s="25" t="s">
        <v>96</v>
      </c>
      <c r="C23" s="35"/>
      <c r="D23" s="35">
        <v>0</v>
      </c>
      <c r="E23" s="36">
        <v>0</v>
      </c>
    </row>
    <row r="24" spans="1:5" s="235" customFormat="1" ht="12" customHeight="1">
      <c r="A24" s="236" t="s">
        <v>98</v>
      </c>
      <c r="B24" s="28" t="s">
        <v>99</v>
      </c>
      <c r="C24" s="37"/>
      <c r="D24" s="37"/>
      <c r="E24" s="38"/>
    </row>
    <row r="25" spans="1:5" s="237" customFormat="1" ht="12" customHeight="1">
      <c r="A25" s="236" t="s">
        <v>101</v>
      </c>
      <c r="B25" s="28" t="s">
        <v>102</v>
      </c>
      <c r="C25" s="37"/>
      <c r="D25" s="37"/>
      <c r="E25" s="38"/>
    </row>
    <row r="26" spans="1:5" s="237" customFormat="1" ht="12" customHeight="1">
      <c r="A26" s="236" t="s">
        <v>104</v>
      </c>
      <c r="B26" s="28" t="s">
        <v>105</v>
      </c>
      <c r="C26" s="37"/>
      <c r="D26" s="37"/>
      <c r="E26" s="38"/>
    </row>
    <row r="27" spans="1:5" s="237" customFormat="1" ht="12" customHeight="1">
      <c r="A27" s="236" t="s">
        <v>107</v>
      </c>
      <c r="B27" s="28" t="s">
        <v>108</v>
      </c>
      <c r="C27" s="37"/>
      <c r="D27" s="37"/>
      <c r="E27" s="38">
        <v>0</v>
      </c>
    </row>
    <row r="28" spans="1:5" s="237" customFormat="1" ht="12" customHeight="1">
      <c r="A28" s="238" t="s">
        <v>110</v>
      </c>
      <c r="B28" s="30" t="s">
        <v>111</v>
      </c>
      <c r="C28" s="39"/>
      <c r="D28" s="39"/>
      <c r="E28" s="40">
        <v>0</v>
      </c>
    </row>
    <row r="29" spans="1:5" s="237" customFormat="1" ht="12" customHeight="1">
      <c r="A29" s="14" t="s">
        <v>113</v>
      </c>
      <c r="B29" s="20" t="s">
        <v>114</v>
      </c>
      <c r="C29" s="58">
        <f>+C30+C33+C34+C35</f>
        <v>0</v>
      </c>
      <c r="D29" s="58">
        <f>+D30+D33+D34+D35</f>
        <v>0</v>
      </c>
      <c r="E29" s="241">
        <f>+E30+E33+E34+E35</f>
        <v>0</v>
      </c>
    </row>
    <row r="30" spans="1:5" s="237" customFormat="1" ht="12" customHeight="1">
      <c r="A30" s="234" t="s">
        <v>116</v>
      </c>
      <c r="B30" s="25" t="s">
        <v>117</v>
      </c>
      <c r="C30" s="239">
        <f>+C31+C32</f>
        <v>0</v>
      </c>
      <c r="D30" s="239">
        <f>+D31+D32</f>
        <v>0</v>
      </c>
      <c r="E30" s="280">
        <f>+E31+E32</f>
        <v>0</v>
      </c>
    </row>
    <row r="31" spans="1:5" s="237" customFormat="1" ht="12" customHeight="1">
      <c r="A31" s="236" t="s">
        <v>119</v>
      </c>
      <c r="B31" s="28" t="s">
        <v>120</v>
      </c>
      <c r="C31" s="37"/>
      <c r="D31" s="37"/>
      <c r="E31" s="38"/>
    </row>
    <row r="32" spans="1:5" s="237" customFormat="1" ht="12" customHeight="1">
      <c r="A32" s="236" t="s">
        <v>122</v>
      </c>
      <c r="B32" s="28" t="s">
        <v>123</v>
      </c>
      <c r="C32" s="37"/>
      <c r="D32" s="37"/>
      <c r="E32" s="38"/>
    </row>
    <row r="33" spans="1:5" s="237" customFormat="1" ht="12" customHeight="1">
      <c r="A33" s="236" t="s">
        <v>125</v>
      </c>
      <c r="B33" s="28" t="s">
        <v>126</v>
      </c>
      <c r="C33" s="37"/>
      <c r="D33" s="37"/>
      <c r="E33" s="38"/>
    </row>
    <row r="34" spans="1:5" s="237" customFormat="1" ht="12" customHeight="1">
      <c r="A34" s="236" t="s">
        <v>128</v>
      </c>
      <c r="B34" s="28" t="s">
        <v>129</v>
      </c>
      <c r="C34" s="37"/>
      <c r="D34" s="37"/>
      <c r="E34" s="38"/>
    </row>
    <row r="35" spans="1:5" s="237" customFormat="1" ht="12" customHeight="1">
      <c r="A35" s="238" t="s">
        <v>131</v>
      </c>
      <c r="B35" s="30" t="s">
        <v>132</v>
      </c>
      <c r="C35" s="39"/>
      <c r="D35" s="39"/>
      <c r="E35" s="40"/>
    </row>
    <row r="36" spans="1:5" s="237" customFormat="1" ht="12" customHeight="1">
      <c r="A36" s="14" t="s">
        <v>134</v>
      </c>
      <c r="B36" s="20" t="s">
        <v>135</v>
      </c>
      <c r="C36" s="58">
        <f>SUM(C37:C46)</f>
        <v>0</v>
      </c>
      <c r="D36" s="58">
        <f>SUM(D37:D46)</f>
        <v>0</v>
      </c>
      <c r="E36" s="241">
        <f>SUM(E37:E46)</f>
        <v>0</v>
      </c>
    </row>
    <row r="37" spans="1:5" s="237" customFormat="1" ht="12" customHeight="1">
      <c r="A37" s="234" t="s">
        <v>137</v>
      </c>
      <c r="B37" s="25" t="s">
        <v>138</v>
      </c>
      <c r="C37" s="35"/>
      <c r="D37" s="35"/>
      <c r="E37" s="36"/>
    </row>
    <row r="38" spans="1:5" s="237" customFormat="1" ht="12" customHeight="1">
      <c r="A38" s="236" t="s">
        <v>140</v>
      </c>
      <c r="B38" s="28" t="s">
        <v>141</v>
      </c>
      <c r="C38" s="37"/>
      <c r="D38" s="37"/>
      <c r="E38" s="38"/>
    </row>
    <row r="39" spans="1:5" s="237" customFormat="1" ht="12" customHeight="1">
      <c r="A39" s="236" t="s">
        <v>143</v>
      </c>
      <c r="B39" s="28" t="s">
        <v>144</v>
      </c>
      <c r="C39" s="37"/>
      <c r="D39" s="37"/>
      <c r="E39" s="38"/>
    </row>
    <row r="40" spans="1:5" s="237" customFormat="1" ht="12" customHeight="1">
      <c r="A40" s="236" t="s">
        <v>146</v>
      </c>
      <c r="B40" s="28" t="s">
        <v>147</v>
      </c>
      <c r="C40" s="37"/>
      <c r="D40" s="37"/>
      <c r="E40" s="38"/>
    </row>
    <row r="41" spans="1:5" s="237" customFormat="1" ht="12" customHeight="1">
      <c r="A41" s="236" t="s">
        <v>149</v>
      </c>
      <c r="B41" s="28" t="s">
        <v>150</v>
      </c>
      <c r="C41" s="37"/>
      <c r="D41" s="37"/>
      <c r="E41" s="38"/>
    </row>
    <row r="42" spans="1:5" s="237" customFormat="1" ht="12" customHeight="1">
      <c r="A42" s="236" t="s">
        <v>152</v>
      </c>
      <c r="B42" s="28" t="s">
        <v>153</v>
      </c>
      <c r="C42" s="37"/>
      <c r="D42" s="37"/>
      <c r="E42" s="38"/>
    </row>
    <row r="43" spans="1:5" s="237" customFormat="1" ht="12" customHeight="1">
      <c r="A43" s="236" t="s">
        <v>155</v>
      </c>
      <c r="B43" s="28" t="s">
        <v>156</v>
      </c>
      <c r="C43" s="37"/>
      <c r="D43" s="37"/>
      <c r="E43" s="38"/>
    </row>
    <row r="44" spans="1:5" s="237" customFormat="1" ht="12" customHeight="1">
      <c r="A44" s="236" t="s">
        <v>158</v>
      </c>
      <c r="B44" s="28" t="s">
        <v>159</v>
      </c>
      <c r="C44" s="37"/>
      <c r="D44" s="37"/>
      <c r="E44" s="38"/>
    </row>
    <row r="45" spans="1:5" s="237" customFormat="1" ht="12" customHeight="1">
      <c r="A45" s="236" t="s">
        <v>161</v>
      </c>
      <c r="B45" s="28" t="s">
        <v>162</v>
      </c>
      <c r="C45" s="37"/>
      <c r="D45" s="37"/>
      <c r="E45" s="38"/>
    </row>
    <row r="46" spans="1:5" s="235" customFormat="1" ht="12" customHeight="1">
      <c r="A46" s="238" t="s">
        <v>164</v>
      </c>
      <c r="B46" s="30" t="s">
        <v>165</v>
      </c>
      <c r="C46" s="39"/>
      <c r="D46" s="39"/>
      <c r="E46" s="40"/>
    </row>
    <row r="47" spans="1:5" s="237" customFormat="1" ht="12" customHeight="1">
      <c r="A47" s="14" t="s">
        <v>167</v>
      </c>
      <c r="B47" s="20" t="s">
        <v>168</v>
      </c>
      <c r="C47" s="58">
        <f>SUM(C48:C52)</f>
        <v>0</v>
      </c>
      <c r="D47" s="58">
        <f>SUM(D48:D52)</f>
        <v>0</v>
      </c>
      <c r="E47" s="241">
        <f>SUM(E48:E52)</f>
        <v>0</v>
      </c>
    </row>
    <row r="48" spans="1:5" s="237" customFormat="1" ht="12" customHeight="1">
      <c r="A48" s="234" t="s">
        <v>170</v>
      </c>
      <c r="B48" s="25" t="s">
        <v>171</v>
      </c>
      <c r="C48" s="35"/>
      <c r="D48" s="35"/>
      <c r="E48" s="36"/>
    </row>
    <row r="49" spans="1:5" s="237" customFormat="1" ht="12" customHeight="1">
      <c r="A49" s="236" t="s">
        <v>173</v>
      </c>
      <c r="B49" s="28" t="s">
        <v>174</v>
      </c>
      <c r="C49" s="37"/>
      <c r="D49" s="37">
        <v>0</v>
      </c>
      <c r="E49" s="38">
        <v>0</v>
      </c>
    </row>
    <row r="50" spans="1:5" s="237" customFormat="1" ht="12" customHeight="1">
      <c r="A50" s="236" t="s">
        <v>176</v>
      </c>
      <c r="B50" s="28" t="s">
        <v>177</v>
      </c>
      <c r="C50" s="37"/>
      <c r="D50" s="37">
        <v>0</v>
      </c>
      <c r="E50" s="38">
        <v>0</v>
      </c>
    </row>
    <row r="51" spans="1:5" s="237" customFormat="1" ht="12" customHeight="1">
      <c r="A51" s="236" t="s">
        <v>179</v>
      </c>
      <c r="B51" s="28" t="s">
        <v>180</v>
      </c>
      <c r="C51" s="37"/>
      <c r="D51" s="37"/>
      <c r="E51" s="38"/>
    </row>
    <row r="52" spans="1:5" s="237" customFormat="1" ht="12" customHeight="1">
      <c r="A52" s="238" t="s">
        <v>182</v>
      </c>
      <c r="B52" s="30" t="s">
        <v>183</v>
      </c>
      <c r="C52" s="39"/>
      <c r="D52" s="39"/>
      <c r="E52" s="40"/>
    </row>
    <row r="53" spans="1:5" s="237" customFormat="1" ht="12" customHeight="1">
      <c r="A53" s="14" t="s">
        <v>185</v>
      </c>
      <c r="B53" s="20" t="s">
        <v>186</v>
      </c>
      <c r="C53" s="58">
        <f>SUM(C54:C56)</f>
        <v>0</v>
      </c>
      <c r="D53" s="58">
        <f>SUM(D54:D56)</f>
        <v>0</v>
      </c>
      <c r="E53" s="241">
        <f>SUM(E54:E56)</f>
        <v>0</v>
      </c>
    </row>
    <row r="54" spans="1:5" s="235" customFormat="1" ht="12" customHeight="1">
      <c r="A54" s="234" t="s">
        <v>188</v>
      </c>
      <c r="B54" s="25" t="s">
        <v>189</v>
      </c>
      <c r="C54" s="35"/>
      <c r="D54" s="35"/>
      <c r="E54" s="36"/>
    </row>
    <row r="55" spans="1:5" s="235" customFormat="1" ht="12" customHeight="1">
      <c r="A55" s="236" t="s">
        <v>191</v>
      </c>
      <c r="B55" s="28" t="s">
        <v>192</v>
      </c>
      <c r="C55" s="37"/>
      <c r="D55" s="37">
        <v>0</v>
      </c>
      <c r="E55" s="38">
        <v>0</v>
      </c>
    </row>
    <row r="56" spans="1:5" s="235" customFormat="1" ht="12" customHeight="1">
      <c r="A56" s="236" t="s">
        <v>194</v>
      </c>
      <c r="B56" s="28" t="s">
        <v>195</v>
      </c>
      <c r="C56" s="37"/>
      <c r="D56" s="37"/>
      <c r="E56" s="38"/>
    </row>
    <row r="57" spans="1:5" s="235" customFormat="1" ht="12" customHeight="1">
      <c r="A57" s="238" t="s">
        <v>197</v>
      </c>
      <c r="B57" s="30" t="s">
        <v>198</v>
      </c>
      <c r="C57" s="39"/>
      <c r="D57" s="39"/>
      <c r="E57" s="40"/>
    </row>
    <row r="58" spans="1:5" s="237" customFormat="1" ht="12" customHeight="1">
      <c r="A58" s="14" t="s">
        <v>200</v>
      </c>
      <c r="B58" s="31" t="s">
        <v>201</v>
      </c>
      <c r="C58" s="58">
        <f>SUM(C59:C61)</f>
        <v>0</v>
      </c>
      <c r="D58" s="58">
        <f>SUM(D59:D61)</f>
        <v>0</v>
      </c>
      <c r="E58" s="241">
        <f>SUM(E59:E61)</f>
        <v>0</v>
      </c>
    </row>
    <row r="59" spans="1:5" s="237" customFormat="1" ht="12" customHeight="1">
      <c r="A59" s="234" t="s">
        <v>203</v>
      </c>
      <c r="B59" s="25" t="s">
        <v>204</v>
      </c>
      <c r="C59" s="37"/>
      <c r="D59" s="37"/>
      <c r="E59" s="38"/>
    </row>
    <row r="60" spans="1:5" s="237" customFormat="1" ht="12" customHeight="1">
      <c r="A60" s="236" t="s">
        <v>206</v>
      </c>
      <c r="B60" s="28" t="s">
        <v>506</v>
      </c>
      <c r="C60" s="37"/>
      <c r="D60" s="37"/>
      <c r="E60" s="38"/>
    </row>
    <row r="61" spans="1:5" s="237" customFormat="1" ht="12" customHeight="1">
      <c r="A61" s="236" t="s">
        <v>209</v>
      </c>
      <c r="B61" s="28" t="s">
        <v>210</v>
      </c>
      <c r="C61" s="37"/>
      <c r="D61" s="37"/>
      <c r="E61" s="38"/>
    </row>
    <row r="62" spans="1:5" s="237" customFormat="1" ht="12" customHeight="1">
      <c r="A62" s="238" t="s">
        <v>212</v>
      </c>
      <c r="B62" s="30" t="s">
        <v>213</v>
      </c>
      <c r="C62" s="37"/>
      <c r="D62" s="37"/>
      <c r="E62" s="38"/>
    </row>
    <row r="63" spans="1:5" s="237" customFormat="1" ht="12" customHeight="1">
      <c r="A63" s="14" t="s">
        <v>215</v>
      </c>
      <c r="B63" s="20" t="s">
        <v>216</v>
      </c>
      <c r="C63" s="58">
        <f>+C8+C15+C22+C29+C36+C47+C53+C58</f>
        <v>0</v>
      </c>
      <c r="D63" s="58">
        <f>+D8+D15+D22+D29+D36+D47+D53+D58</f>
        <v>0</v>
      </c>
      <c r="E63" s="241">
        <f>+E8+E15+E22+E29+E36+E47+E53+E58</f>
        <v>0</v>
      </c>
    </row>
    <row r="64" spans="1:5" s="237" customFormat="1" ht="12" customHeight="1">
      <c r="A64" s="240" t="s">
        <v>507</v>
      </c>
      <c r="B64" s="31" t="s">
        <v>219</v>
      </c>
      <c r="C64" s="58">
        <f>SUM(C65:C67)</f>
        <v>0</v>
      </c>
      <c r="D64" s="58">
        <f>SUM(D65:D67)</f>
        <v>0</v>
      </c>
      <c r="E64" s="241">
        <f>SUM(E65:E67)</f>
        <v>0</v>
      </c>
    </row>
    <row r="65" spans="1:5" s="237" customFormat="1" ht="12" customHeight="1">
      <c r="A65" s="234" t="s">
        <v>221</v>
      </c>
      <c r="B65" s="25" t="s">
        <v>222</v>
      </c>
      <c r="C65" s="37"/>
      <c r="D65" s="37"/>
      <c r="E65" s="38"/>
    </row>
    <row r="66" spans="1:5" s="237" customFormat="1" ht="12" customHeight="1">
      <c r="A66" s="236" t="s">
        <v>224</v>
      </c>
      <c r="B66" s="28" t="s">
        <v>225</v>
      </c>
      <c r="C66" s="37"/>
      <c r="D66" s="37"/>
      <c r="E66" s="38"/>
    </row>
    <row r="67" spans="1:5" s="237" customFormat="1" ht="12" customHeight="1">
      <c r="A67" s="238" t="s">
        <v>227</v>
      </c>
      <c r="B67" s="242" t="s">
        <v>508</v>
      </c>
      <c r="C67" s="37"/>
      <c r="D67" s="37"/>
      <c r="E67" s="38"/>
    </row>
    <row r="68" spans="1:5" s="237" customFormat="1" ht="12" customHeight="1">
      <c r="A68" s="240" t="s">
        <v>230</v>
      </c>
      <c r="B68" s="31" t="s">
        <v>231</v>
      </c>
      <c r="C68" s="58">
        <f>SUM(C69:C72)</f>
        <v>0</v>
      </c>
      <c r="D68" s="58">
        <f>SUM(D69:D72)</f>
        <v>0</v>
      </c>
      <c r="E68" s="241">
        <f>SUM(E69:E72)</f>
        <v>0</v>
      </c>
    </row>
    <row r="69" spans="1:5" s="237" customFormat="1" ht="12" customHeight="1">
      <c r="A69" s="234" t="s">
        <v>233</v>
      </c>
      <c r="B69" s="25" t="s">
        <v>234</v>
      </c>
      <c r="C69" s="37"/>
      <c r="D69" s="37"/>
      <c r="E69" s="38"/>
    </row>
    <row r="70" spans="1:5" s="237" customFormat="1" ht="12" customHeight="1">
      <c r="A70" s="236" t="s">
        <v>236</v>
      </c>
      <c r="B70" s="28" t="s">
        <v>237</v>
      </c>
      <c r="C70" s="37"/>
      <c r="D70" s="37"/>
      <c r="E70" s="38"/>
    </row>
    <row r="71" spans="1:5" s="237" customFormat="1" ht="12" customHeight="1">
      <c r="A71" s="236" t="s">
        <v>239</v>
      </c>
      <c r="B71" s="28" t="s">
        <v>240</v>
      </c>
      <c r="C71" s="37"/>
      <c r="D71" s="37"/>
      <c r="E71" s="38"/>
    </row>
    <row r="72" spans="1:5" s="237" customFormat="1" ht="12" customHeight="1">
      <c r="A72" s="238" t="s">
        <v>242</v>
      </c>
      <c r="B72" s="30" t="s">
        <v>243</v>
      </c>
      <c r="C72" s="37"/>
      <c r="D72" s="37"/>
      <c r="E72" s="38"/>
    </row>
    <row r="73" spans="1:5" s="237" customFormat="1" ht="12" customHeight="1">
      <c r="A73" s="240" t="s">
        <v>245</v>
      </c>
      <c r="B73" s="31" t="s">
        <v>246</v>
      </c>
      <c r="C73" s="58">
        <f>SUM(C74:C75)</f>
        <v>0</v>
      </c>
      <c r="D73" s="58">
        <f>SUM(D74:D75)</f>
        <v>0</v>
      </c>
      <c r="E73" s="241">
        <f>SUM(E74:E75)</f>
        <v>0</v>
      </c>
    </row>
    <row r="74" spans="1:5" s="237" customFormat="1" ht="12" customHeight="1">
      <c r="A74" s="234" t="s">
        <v>248</v>
      </c>
      <c r="B74" s="25" t="s">
        <v>249</v>
      </c>
      <c r="C74" s="37">
        <v>0</v>
      </c>
      <c r="D74" s="37">
        <v>0</v>
      </c>
      <c r="E74" s="38"/>
    </row>
    <row r="75" spans="1:5" s="237" customFormat="1" ht="12" customHeight="1">
      <c r="A75" s="238" t="s">
        <v>251</v>
      </c>
      <c r="B75" s="30" t="s">
        <v>252</v>
      </c>
      <c r="C75" s="37"/>
      <c r="D75" s="37"/>
      <c r="E75" s="38"/>
    </row>
    <row r="76" spans="1:5" s="237" customFormat="1" ht="12" customHeight="1">
      <c r="A76" s="240" t="s">
        <v>254</v>
      </c>
      <c r="B76" s="31" t="s">
        <v>255</v>
      </c>
      <c r="C76" s="58">
        <f>SUM(C77:C79)</f>
        <v>0</v>
      </c>
      <c r="D76" s="58">
        <f>SUM(D77:D79)</f>
        <v>0</v>
      </c>
      <c r="E76" s="241">
        <f>SUM(E77:E79)</f>
        <v>0</v>
      </c>
    </row>
    <row r="77" spans="1:5" s="237" customFormat="1" ht="12" customHeight="1">
      <c r="A77" s="234" t="s">
        <v>257</v>
      </c>
      <c r="B77" s="25" t="s">
        <v>258</v>
      </c>
      <c r="C77" s="37"/>
      <c r="D77" s="37"/>
      <c r="E77" s="38"/>
    </row>
    <row r="78" spans="1:5" s="237" customFormat="1" ht="12" customHeight="1">
      <c r="A78" s="236" t="s">
        <v>260</v>
      </c>
      <c r="B78" s="28" t="s">
        <v>261</v>
      </c>
      <c r="C78" s="37"/>
      <c r="D78" s="37"/>
      <c r="E78" s="38"/>
    </row>
    <row r="79" spans="1:5" s="237" customFormat="1" ht="12" customHeight="1">
      <c r="A79" s="238" t="s">
        <v>263</v>
      </c>
      <c r="B79" s="30" t="s">
        <v>264</v>
      </c>
      <c r="C79" s="37">
        <v>0</v>
      </c>
      <c r="D79" s="37">
        <v>0</v>
      </c>
      <c r="E79" s="38">
        <v>0</v>
      </c>
    </row>
    <row r="80" spans="1:5" s="237" customFormat="1" ht="12" customHeight="1">
      <c r="A80" s="240" t="s">
        <v>266</v>
      </c>
      <c r="B80" s="31" t="s">
        <v>267</v>
      </c>
      <c r="C80" s="58">
        <f>SUM(C81:C84)</f>
        <v>0</v>
      </c>
      <c r="D80" s="58">
        <f>SUM(D81:D84)</f>
        <v>0</v>
      </c>
      <c r="E80" s="241">
        <f>SUM(E81:E84)</f>
        <v>0</v>
      </c>
    </row>
    <row r="81" spans="1:5" s="237" customFormat="1" ht="12" customHeight="1">
      <c r="A81" s="243" t="s">
        <v>269</v>
      </c>
      <c r="B81" s="25" t="s">
        <v>270</v>
      </c>
      <c r="C81" s="37"/>
      <c r="D81" s="37"/>
      <c r="E81" s="38"/>
    </row>
    <row r="82" spans="1:5" s="237" customFormat="1" ht="12" customHeight="1">
      <c r="A82" s="244" t="s">
        <v>272</v>
      </c>
      <c r="B82" s="28" t="s">
        <v>273</v>
      </c>
      <c r="C82" s="37"/>
      <c r="D82" s="37"/>
      <c r="E82" s="38"/>
    </row>
    <row r="83" spans="1:5" s="237" customFormat="1" ht="12" customHeight="1">
      <c r="A83" s="244" t="s">
        <v>275</v>
      </c>
      <c r="B83" s="28" t="s">
        <v>276</v>
      </c>
      <c r="C83" s="37"/>
      <c r="D83" s="37"/>
      <c r="E83" s="38"/>
    </row>
    <row r="84" spans="1:5" s="237" customFormat="1" ht="12" customHeight="1">
      <c r="A84" s="245" t="s">
        <v>278</v>
      </c>
      <c r="B84" s="30" t="s">
        <v>279</v>
      </c>
      <c r="C84" s="37"/>
      <c r="D84" s="37"/>
      <c r="E84" s="38"/>
    </row>
    <row r="85" spans="1:5" s="237" customFormat="1" ht="12" customHeight="1">
      <c r="A85" s="240" t="s">
        <v>281</v>
      </c>
      <c r="B85" s="31" t="s">
        <v>282</v>
      </c>
      <c r="C85" s="246"/>
      <c r="D85" s="246"/>
      <c r="E85" s="247"/>
    </row>
    <row r="86" spans="1:5" s="237" customFormat="1" ht="12" customHeight="1">
      <c r="A86" s="240" t="s">
        <v>284</v>
      </c>
      <c r="B86" s="248" t="s">
        <v>285</v>
      </c>
      <c r="C86" s="58">
        <f>+C64+C68+C73+C76+C80+C85</f>
        <v>0</v>
      </c>
      <c r="D86" s="58">
        <f>+D64+D68+D73+D76+D80+D85</f>
        <v>0</v>
      </c>
      <c r="E86" s="241">
        <f>+E64+E68+E73+E76+E80+E85</f>
        <v>0</v>
      </c>
    </row>
    <row r="87" spans="1:5" s="237" customFormat="1" ht="12" customHeight="1">
      <c r="A87" s="249" t="s">
        <v>287</v>
      </c>
      <c r="B87" s="250" t="s">
        <v>509</v>
      </c>
      <c r="C87" s="58">
        <f>+C63+C86</f>
        <v>0</v>
      </c>
      <c r="D87" s="58">
        <f>+D63+D86</f>
        <v>0</v>
      </c>
      <c r="E87" s="241">
        <f>+E63+E86</f>
        <v>0</v>
      </c>
    </row>
    <row r="88" spans="1:5" s="237" customFormat="1" ht="15" customHeight="1">
      <c r="A88" s="251"/>
      <c r="B88" s="252"/>
      <c r="C88" s="253"/>
      <c r="D88" s="253"/>
      <c r="E88" s="253"/>
    </row>
    <row r="89" spans="1:5" ht="12.75">
      <c r="A89" s="255"/>
      <c r="B89" s="256"/>
      <c r="C89" s="257"/>
      <c r="D89" s="257"/>
      <c r="E89" s="257"/>
    </row>
    <row r="90" spans="1:5" s="233" customFormat="1" ht="16.5" customHeight="1">
      <c r="A90" s="657" t="s">
        <v>373</v>
      </c>
      <c r="B90" s="657"/>
      <c r="C90" s="657"/>
      <c r="D90" s="657"/>
      <c r="E90" s="657"/>
    </row>
    <row r="91" spans="1:5" s="261" customFormat="1" ht="12" customHeight="1">
      <c r="A91" s="258" t="s">
        <v>50</v>
      </c>
      <c r="B91" s="57" t="s">
        <v>293</v>
      </c>
      <c r="C91" s="259">
        <f>C106+C101</f>
        <v>0</v>
      </c>
      <c r="D91" s="259">
        <f>D106+D101</f>
        <v>0</v>
      </c>
      <c r="E91" s="259">
        <f>E106+E101</f>
        <v>0</v>
      </c>
    </row>
    <row r="92" spans="1:5" ht="12" customHeight="1">
      <c r="A92" s="262" t="s">
        <v>53</v>
      </c>
      <c r="B92" s="60" t="s">
        <v>294</v>
      </c>
      <c r="C92" s="263"/>
      <c r="D92" s="263"/>
      <c r="E92" s="263"/>
    </row>
    <row r="93" spans="1:5" ht="12" customHeight="1">
      <c r="A93" s="236" t="s">
        <v>56</v>
      </c>
      <c r="B93" s="62" t="s">
        <v>295</v>
      </c>
      <c r="C93" s="264"/>
      <c r="D93" s="264"/>
      <c r="E93" s="264"/>
    </row>
    <row r="94" spans="1:5" ht="12" customHeight="1">
      <c r="A94" s="236" t="s">
        <v>59</v>
      </c>
      <c r="B94" s="62" t="s">
        <v>296</v>
      </c>
      <c r="C94" s="265">
        <v>0</v>
      </c>
      <c r="D94" s="265">
        <v>0</v>
      </c>
      <c r="E94" s="265">
        <v>0</v>
      </c>
    </row>
    <row r="95" spans="1:5" ht="12" customHeight="1">
      <c r="A95" s="236" t="s">
        <v>62</v>
      </c>
      <c r="B95" s="63" t="s">
        <v>297</v>
      </c>
      <c r="C95" s="265">
        <v>0</v>
      </c>
      <c r="D95" s="265">
        <v>0</v>
      </c>
      <c r="E95" s="265">
        <v>0</v>
      </c>
    </row>
    <row r="96" spans="1:5" ht="12" customHeight="1">
      <c r="A96" s="236" t="s">
        <v>298</v>
      </c>
      <c r="B96" s="64" t="s">
        <v>299</v>
      </c>
      <c r="C96" s="265">
        <v>0</v>
      </c>
      <c r="D96" s="265">
        <v>0</v>
      </c>
      <c r="E96" s="265">
        <v>0</v>
      </c>
    </row>
    <row r="97" spans="1:5" ht="12" customHeight="1">
      <c r="A97" s="236" t="s">
        <v>68</v>
      </c>
      <c r="B97" s="62" t="s">
        <v>300</v>
      </c>
      <c r="C97" s="265"/>
      <c r="D97" s="265"/>
      <c r="E97" s="265"/>
    </row>
    <row r="98" spans="1:5" ht="12" customHeight="1">
      <c r="A98" s="236" t="s">
        <v>301</v>
      </c>
      <c r="B98" s="65" t="s">
        <v>302</v>
      </c>
      <c r="C98" s="265"/>
      <c r="D98" s="265"/>
      <c r="E98" s="265"/>
    </row>
    <row r="99" spans="1:5" ht="12" customHeight="1">
      <c r="A99" s="236" t="s">
        <v>303</v>
      </c>
      <c r="B99" s="66" t="s">
        <v>304</v>
      </c>
      <c r="C99" s="265">
        <v>0</v>
      </c>
      <c r="D99" s="265">
        <v>0</v>
      </c>
      <c r="E99" s="265">
        <v>0</v>
      </c>
    </row>
    <row r="100" spans="1:5" ht="12" customHeight="1">
      <c r="A100" s="236" t="s">
        <v>305</v>
      </c>
      <c r="B100" s="66" t="s">
        <v>306</v>
      </c>
      <c r="C100" s="265"/>
      <c r="D100" s="265"/>
      <c r="E100" s="265"/>
    </row>
    <row r="101" spans="1:5" ht="12" customHeight="1">
      <c r="A101" s="236" t="s">
        <v>307</v>
      </c>
      <c r="B101" s="65" t="s">
        <v>308</v>
      </c>
      <c r="C101" s="265">
        <v>0</v>
      </c>
      <c r="D101" s="265">
        <v>0</v>
      </c>
      <c r="E101" s="265">
        <v>0</v>
      </c>
    </row>
    <row r="102" spans="1:5" ht="12" customHeight="1">
      <c r="A102" s="236" t="s">
        <v>309</v>
      </c>
      <c r="B102" s="65" t="s">
        <v>310</v>
      </c>
      <c r="C102" s="265"/>
      <c r="D102" s="265"/>
      <c r="E102" s="265"/>
    </row>
    <row r="103" spans="1:5" ht="12" customHeight="1">
      <c r="A103" s="236" t="s">
        <v>311</v>
      </c>
      <c r="B103" s="66" t="s">
        <v>312</v>
      </c>
      <c r="C103" s="265"/>
      <c r="D103" s="265"/>
      <c r="E103" s="265"/>
    </row>
    <row r="104" spans="1:5" ht="12" customHeight="1">
      <c r="A104" s="266" t="s">
        <v>313</v>
      </c>
      <c r="B104" s="68" t="s">
        <v>314</v>
      </c>
      <c r="C104" s="265"/>
      <c r="D104" s="265"/>
      <c r="E104" s="265"/>
    </row>
    <row r="105" spans="1:5" ht="12" customHeight="1">
      <c r="A105" s="236" t="s">
        <v>315</v>
      </c>
      <c r="B105" s="68" t="s">
        <v>316</v>
      </c>
      <c r="C105" s="265"/>
      <c r="D105" s="265"/>
      <c r="E105" s="265"/>
    </row>
    <row r="106" spans="1:5" s="261" customFormat="1" ht="12" customHeight="1">
      <c r="A106" s="267" t="s">
        <v>317</v>
      </c>
      <c r="B106" s="70" t="s">
        <v>318</v>
      </c>
      <c r="C106" s="268"/>
      <c r="D106" s="268"/>
      <c r="E106" s="268"/>
    </row>
    <row r="107" spans="1:5" ht="12" customHeight="1">
      <c r="A107" s="14" t="s">
        <v>71</v>
      </c>
      <c r="B107" s="71" t="s">
        <v>319</v>
      </c>
      <c r="C107" s="83">
        <f>+C108+C110+C112</f>
        <v>0</v>
      </c>
      <c r="D107" s="83">
        <f>+D108+D110+D112</f>
        <v>0</v>
      </c>
      <c r="E107" s="83">
        <f>+E108+E110+E112</f>
        <v>0</v>
      </c>
    </row>
    <row r="108" spans="1:5" ht="12" customHeight="1">
      <c r="A108" s="234" t="s">
        <v>74</v>
      </c>
      <c r="B108" s="62" t="s">
        <v>320</v>
      </c>
      <c r="C108" s="269">
        <v>0</v>
      </c>
      <c r="D108" s="269">
        <v>0</v>
      </c>
      <c r="E108" s="269">
        <v>0</v>
      </c>
    </row>
    <row r="109" spans="1:8" ht="12" customHeight="1">
      <c r="A109" s="234" t="s">
        <v>77</v>
      </c>
      <c r="B109" s="72" t="s">
        <v>321</v>
      </c>
      <c r="C109" s="269"/>
      <c r="D109" s="269"/>
      <c r="E109" s="269"/>
      <c r="G109" s="84"/>
      <c r="H109" s="84"/>
    </row>
    <row r="110" spans="1:5" ht="12" customHeight="1">
      <c r="A110" s="234" t="s">
        <v>80</v>
      </c>
      <c r="B110" s="72" t="s">
        <v>322</v>
      </c>
      <c r="C110" s="264">
        <v>0</v>
      </c>
      <c r="D110" s="264">
        <v>0</v>
      </c>
      <c r="E110" s="264">
        <v>0</v>
      </c>
    </row>
    <row r="111" spans="1:5" ht="12" customHeight="1">
      <c r="A111" s="234" t="s">
        <v>83</v>
      </c>
      <c r="B111" s="72" t="s">
        <v>323</v>
      </c>
      <c r="C111" s="38"/>
      <c r="D111" s="38">
        <v>0</v>
      </c>
      <c r="E111" s="38">
        <v>0</v>
      </c>
    </row>
    <row r="112" spans="1:5" ht="12" customHeight="1">
      <c r="A112" s="234" t="s">
        <v>86</v>
      </c>
      <c r="B112" s="34" t="s">
        <v>324</v>
      </c>
      <c r="C112" s="38">
        <v>0</v>
      </c>
      <c r="D112" s="38">
        <v>0</v>
      </c>
      <c r="E112" s="38">
        <v>0</v>
      </c>
    </row>
    <row r="113" spans="1:5" ht="12" customHeight="1">
      <c r="A113" s="234" t="s">
        <v>89</v>
      </c>
      <c r="B113" s="73" t="s">
        <v>325</v>
      </c>
      <c r="C113" s="38"/>
      <c r="D113" s="38"/>
      <c r="E113" s="38"/>
    </row>
    <row r="114" spans="1:5" ht="12" customHeight="1">
      <c r="A114" s="234" t="s">
        <v>326</v>
      </c>
      <c r="B114" s="74" t="s">
        <v>327</v>
      </c>
      <c r="C114" s="38"/>
      <c r="D114" s="38"/>
      <c r="E114" s="38"/>
    </row>
    <row r="115" spans="1:5" ht="12" customHeight="1">
      <c r="A115" s="234" t="s">
        <v>328</v>
      </c>
      <c r="B115" s="66" t="s">
        <v>306</v>
      </c>
      <c r="C115" s="38"/>
      <c r="D115" s="38"/>
      <c r="E115" s="38"/>
    </row>
    <row r="116" spans="1:5" ht="12" customHeight="1">
      <c r="A116" s="234" t="s">
        <v>329</v>
      </c>
      <c r="B116" s="66" t="s">
        <v>330</v>
      </c>
      <c r="C116" s="38"/>
      <c r="D116" s="38">
        <v>0</v>
      </c>
      <c r="E116" s="38">
        <v>0</v>
      </c>
    </row>
    <row r="117" spans="1:5" ht="12" customHeight="1">
      <c r="A117" s="234" t="s">
        <v>331</v>
      </c>
      <c r="B117" s="66" t="s">
        <v>332</v>
      </c>
      <c r="C117" s="38"/>
      <c r="D117" s="38"/>
      <c r="E117" s="38"/>
    </row>
    <row r="118" spans="1:5" ht="12" customHeight="1">
      <c r="A118" s="234" t="s">
        <v>333</v>
      </c>
      <c r="B118" s="66" t="s">
        <v>312</v>
      </c>
      <c r="C118" s="38"/>
      <c r="D118" s="38">
        <v>0</v>
      </c>
      <c r="E118" s="38">
        <v>0</v>
      </c>
    </row>
    <row r="119" spans="1:5" ht="12" customHeight="1">
      <c r="A119" s="234" t="s">
        <v>334</v>
      </c>
      <c r="B119" s="66" t="s">
        <v>335</v>
      </c>
      <c r="C119" s="38">
        <v>0</v>
      </c>
      <c r="D119" s="38">
        <v>0</v>
      </c>
      <c r="E119" s="38">
        <v>0</v>
      </c>
    </row>
    <row r="120" spans="1:5" ht="12" customHeight="1">
      <c r="A120" s="266" t="s">
        <v>336</v>
      </c>
      <c r="B120" s="66" t="s">
        <v>337</v>
      </c>
      <c r="C120" s="40"/>
      <c r="D120" s="40">
        <v>0</v>
      </c>
      <c r="E120" s="40">
        <v>0</v>
      </c>
    </row>
    <row r="121" spans="1:5" ht="12" customHeight="1">
      <c r="A121" s="14" t="s">
        <v>92</v>
      </c>
      <c r="B121" s="20" t="s">
        <v>338</v>
      </c>
      <c r="C121" s="83">
        <f>+C122+C123</f>
        <v>0</v>
      </c>
      <c r="D121" s="83">
        <f>+D122+D123</f>
        <v>0</v>
      </c>
      <c r="E121" s="83">
        <f>+E122+E123</f>
        <v>0</v>
      </c>
    </row>
    <row r="122" spans="1:5" ht="12" customHeight="1">
      <c r="A122" s="234" t="s">
        <v>95</v>
      </c>
      <c r="B122" s="76" t="s">
        <v>339</v>
      </c>
      <c r="C122" s="269"/>
      <c r="D122" s="269"/>
      <c r="E122" s="269"/>
    </row>
    <row r="123" spans="1:5" ht="12" customHeight="1">
      <c r="A123" s="238" t="s">
        <v>98</v>
      </c>
      <c r="B123" s="72" t="s">
        <v>340</v>
      </c>
      <c r="C123" s="265"/>
      <c r="D123" s="265"/>
      <c r="E123" s="265"/>
    </row>
    <row r="124" spans="1:5" ht="12" customHeight="1">
      <c r="A124" s="14" t="s">
        <v>341</v>
      </c>
      <c r="B124" s="20" t="s">
        <v>342</v>
      </c>
      <c r="C124" s="83">
        <f>+C91+C107+C121</f>
        <v>0</v>
      </c>
      <c r="D124" s="83">
        <f>+D91+D107+D121</f>
        <v>0</v>
      </c>
      <c r="E124" s="83">
        <f>+E91+E107+E121</f>
        <v>0</v>
      </c>
    </row>
    <row r="125" spans="1:5" ht="12" customHeight="1">
      <c r="A125" s="14" t="s">
        <v>134</v>
      </c>
      <c r="B125" s="20" t="s">
        <v>510</v>
      </c>
      <c r="C125" s="83">
        <f>+C126+C127+C128</f>
        <v>0</v>
      </c>
      <c r="D125" s="83">
        <f>+D126+D127+D128</f>
        <v>0</v>
      </c>
      <c r="E125" s="83">
        <f>+E126+E127+E128</f>
        <v>0</v>
      </c>
    </row>
    <row r="126" spans="1:5" ht="12" customHeight="1">
      <c r="A126" s="234" t="s">
        <v>137</v>
      </c>
      <c r="B126" s="76" t="s">
        <v>344</v>
      </c>
      <c r="C126" s="38"/>
      <c r="D126" s="38"/>
      <c r="E126" s="38"/>
    </row>
    <row r="127" spans="1:5" ht="12" customHeight="1">
      <c r="A127" s="234" t="s">
        <v>140</v>
      </c>
      <c r="B127" s="76" t="s">
        <v>345</v>
      </c>
      <c r="C127" s="38"/>
      <c r="D127" s="38"/>
      <c r="E127" s="38"/>
    </row>
    <row r="128" spans="1:5" ht="12" customHeight="1">
      <c r="A128" s="266" t="s">
        <v>143</v>
      </c>
      <c r="B128" s="77" t="s">
        <v>346</v>
      </c>
      <c r="C128" s="38"/>
      <c r="D128" s="38"/>
      <c r="E128" s="38"/>
    </row>
    <row r="129" spans="1:5" ht="12" customHeight="1">
      <c r="A129" s="14" t="s">
        <v>167</v>
      </c>
      <c r="B129" s="20" t="s">
        <v>347</v>
      </c>
      <c r="C129" s="83">
        <f>+C130+C131+C132+C133</f>
        <v>0</v>
      </c>
      <c r="D129" s="83">
        <f>+D130+D131+D132+D133</f>
        <v>0</v>
      </c>
      <c r="E129" s="83">
        <f>+E130+E131+E132+E133</f>
        <v>0</v>
      </c>
    </row>
    <row r="130" spans="1:5" ht="12" customHeight="1">
      <c r="A130" s="234" t="s">
        <v>170</v>
      </c>
      <c r="B130" s="76" t="s">
        <v>348</v>
      </c>
      <c r="C130" s="38"/>
      <c r="D130" s="38"/>
      <c r="E130" s="38"/>
    </row>
    <row r="131" spans="1:5" ht="12" customHeight="1">
      <c r="A131" s="234" t="s">
        <v>173</v>
      </c>
      <c r="B131" s="76" t="s">
        <v>349</v>
      </c>
      <c r="C131" s="38"/>
      <c r="D131" s="38"/>
      <c r="E131" s="38"/>
    </row>
    <row r="132" spans="1:5" ht="12" customHeight="1">
      <c r="A132" s="234" t="s">
        <v>176</v>
      </c>
      <c r="B132" s="76" t="s">
        <v>350</v>
      </c>
      <c r="C132" s="38"/>
      <c r="D132" s="38"/>
      <c r="E132" s="38"/>
    </row>
    <row r="133" spans="1:5" s="261" customFormat="1" ht="12" customHeight="1">
      <c r="A133" s="266" t="s">
        <v>179</v>
      </c>
      <c r="B133" s="77" t="s">
        <v>351</v>
      </c>
      <c r="C133" s="38"/>
      <c r="D133" s="38"/>
      <c r="E133" s="38"/>
    </row>
    <row r="134" spans="1:11" ht="12.75">
      <c r="A134" s="14" t="s">
        <v>352</v>
      </c>
      <c r="B134" s="20" t="s">
        <v>511</v>
      </c>
      <c r="C134" s="83">
        <f>+C135+C136+C138+C139+C137</f>
        <v>0</v>
      </c>
      <c r="D134" s="83">
        <f>+D135+D136+D138+D139+D137</f>
        <v>0</v>
      </c>
      <c r="E134" s="83">
        <f>+E135+E136+E138+E139+E137</f>
        <v>0</v>
      </c>
      <c r="K134" s="270"/>
    </row>
    <row r="135" spans="1:5" ht="12.75">
      <c r="A135" s="234" t="s">
        <v>188</v>
      </c>
      <c r="B135" s="76" t="s">
        <v>354</v>
      </c>
      <c r="C135" s="38"/>
      <c r="D135" s="38"/>
      <c r="E135" s="38"/>
    </row>
    <row r="136" spans="1:5" ht="12" customHeight="1">
      <c r="A136" s="234" t="s">
        <v>191</v>
      </c>
      <c r="B136" s="76" t="s">
        <v>355</v>
      </c>
      <c r="C136" s="38"/>
      <c r="D136" s="38"/>
      <c r="E136" s="38"/>
    </row>
    <row r="137" spans="1:5" ht="12" customHeight="1">
      <c r="A137" s="234" t="s">
        <v>194</v>
      </c>
      <c r="B137" s="76" t="s">
        <v>512</v>
      </c>
      <c r="C137" s="38"/>
      <c r="D137" s="38"/>
      <c r="E137" s="38"/>
    </row>
    <row r="138" spans="1:5" s="261" customFormat="1" ht="12" customHeight="1">
      <c r="A138" s="234" t="s">
        <v>197</v>
      </c>
      <c r="B138" s="76" t="s">
        <v>356</v>
      </c>
      <c r="C138" s="38">
        <v>0</v>
      </c>
      <c r="D138" s="38">
        <v>0</v>
      </c>
      <c r="E138" s="38">
        <v>0</v>
      </c>
    </row>
    <row r="139" spans="1:5" s="261" customFormat="1" ht="12" customHeight="1">
      <c r="A139" s="266" t="s">
        <v>513</v>
      </c>
      <c r="B139" s="77" t="s">
        <v>357</v>
      </c>
      <c r="C139" s="38"/>
      <c r="D139" s="38"/>
      <c r="E139" s="38"/>
    </row>
    <row r="140" spans="1:5" s="261" customFormat="1" ht="12" customHeight="1">
      <c r="A140" s="14" t="s">
        <v>200</v>
      </c>
      <c r="B140" s="20" t="s">
        <v>514</v>
      </c>
      <c r="C140" s="271">
        <f>+C141+C142+C143+C144</f>
        <v>0</v>
      </c>
      <c r="D140" s="271">
        <f>+D141+D142+D143+D144</f>
        <v>0</v>
      </c>
      <c r="E140" s="271">
        <f>+E141+E142+E143+E144</f>
        <v>0</v>
      </c>
    </row>
    <row r="141" spans="1:5" s="261" customFormat="1" ht="12" customHeight="1">
      <c r="A141" s="234" t="s">
        <v>203</v>
      </c>
      <c r="B141" s="76" t="s">
        <v>359</v>
      </c>
      <c r="C141" s="38"/>
      <c r="D141" s="38"/>
      <c r="E141" s="38"/>
    </row>
    <row r="142" spans="1:5" s="261" customFormat="1" ht="12" customHeight="1">
      <c r="A142" s="234" t="s">
        <v>206</v>
      </c>
      <c r="B142" s="76" t="s">
        <v>360</v>
      </c>
      <c r="C142" s="38"/>
      <c r="D142" s="38"/>
      <c r="E142" s="38"/>
    </row>
    <row r="143" spans="1:5" s="261" customFormat="1" ht="12" customHeight="1">
      <c r="A143" s="234" t="s">
        <v>209</v>
      </c>
      <c r="B143" s="76" t="s">
        <v>361</v>
      </c>
      <c r="C143" s="38"/>
      <c r="D143" s="38"/>
      <c r="E143" s="38"/>
    </row>
    <row r="144" spans="1:5" ht="12.75" customHeight="1">
      <c r="A144" s="234" t="s">
        <v>212</v>
      </c>
      <c r="B144" s="76" t="s">
        <v>362</v>
      </c>
      <c r="C144" s="38"/>
      <c r="D144" s="38"/>
      <c r="E144" s="38"/>
    </row>
    <row r="145" spans="1:5" ht="12" customHeight="1" thickBot="1">
      <c r="A145" s="14" t="s">
        <v>215</v>
      </c>
      <c r="B145" s="20" t="s">
        <v>363</v>
      </c>
      <c r="C145" s="272">
        <f>+C125+C129+C134+C140</f>
        <v>0</v>
      </c>
      <c r="D145" s="272">
        <f>+D125+D129+D134+D140</f>
        <v>0</v>
      </c>
      <c r="E145" s="272">
        <f>+E125+E129+E134+E140</f>
        <v>0</v>
      </c>
    </row>
    <row r="146" spans="1:9" ht="15" customHeight="1" thickBot="1">
      <c r="A146" s="273" t="s">
        <v>364</v>
      </c>
      <c r="B146" s="80" t="s">
        <v>365</v>
      </c>
      <c r="C146" s="272">
        <f>C124+C145</f>
        <v>0</v>
      </c>
      <c r="D146" s="272">
        <f>D124+D145</f>
        <v>0</v>
      </c>
      <c r="E146" s="272">
        <f>E124+E145</f>
        <v>0</v>
      </c>
      <c r="G146" s="84"/>
      <c r="H146" s="84"/>
      <c r="I146" s="84"/>
    </row>
    <row r="148" spans="1:8" ht="15" customHeight="1">
      <c r="A148" s="274" t="s">
        <v>515</v>
      </c>
      <c r="B148" s="275"/>
      <c r="C148" s="276"/>
      <c r="D148" s="277"/>
      <c r="E148" s="278"/>
      <c r="H148" s="84"/>
    </row>
    <row r="149" spans="1:5" ht="14.25" customHeight="1">
      <c r="A149" s="274" t="s">
        <v>516</v>
      </c>
      <c r="B149" s="275"/>
      <c r="C149" s="276"/>
      <c r="D149" s="277"/>
      <c r="E149" s="278"/>
    </row>
  </sheetData>
  <sheetProtection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Önkormányzat</cp:lastModifiedBy>
  <cp:lastPrinted>2018-04-11T12:55:38Z</cp:lastPrinted>
  <dcterms:created xsi:type="dcterms:W3CDTF">2015-04-10T05:56:51Z</dcterms:created>
  <dcterms:modified xsi:type="dcterms:W3CDTF">2020-07-24T08:25:38Z</dcterms:modified>
  <cp:category/>
  <cp:version/>
  <cp:contentType/>
  <cp:contentStatus/>
</cp:coreProperties>
</file>